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GES\Downloads\기타\"/>
    </mc:Choice>
  </mc:AlternateContent>
  <xr:revisionPtr revIDLastSave="0" documentId="13_ncr:1_{265DA611-5519-4897-819F-4E278EB95D9A}" xr6:coauthVersionLast="47" xr6:coauthVersionMax="47" xr10:uidLastSave="{00000000-0000-0000-0000-000000000000}"/>
  <bookViews>
    <workbookView xWindow="40380" yWindow="1845" windowWidth="23670" windowHeight="12945" xr2:uid="{00000000-000D-0000-FFFF-FFFF00000000}"/>
  </bookViews>
  <sheets>
    <sheet name="뱅샐현황" sheetId="28" r:id="rId1"/>
    <sheet name="대시보드" sheetId="1" r:id="rId2"/>
    <sheet name="관심종목" sheetId="2" r:id="rId3"/>
    <sheet name="BD" sheetId="3" r:id="rId4"/>
    <sheet name="SPY" sheetId="4" r:id="rId5"/>
    <sheet name="VNQ" sheetId="5" r:id="rId6"/>
    <sheet name="VEA" sheetId="6" r:id="rId7"/>
    <sheet name="EWJ" sheetId="7" r:id="rId8"/>
    <sheet name="IWM" sheetId="8" r:id="rId9"/>
    <sheet name="VGK" sheetId="9" r:id="rId10"/>
    <sheet name="QQQ" sheetId="10" r:id="rId11"/>
    <sheet name="DBC" sheetId="11" r:id="rId12"/>
    <sheet name="BND" sheetId="12" r:id="rId13"/>
    <sheet name="VWO" sheetId="13" r:id="rId14"/>
    <sheet name="EMB" sheetId="14" r:id="rId15"/>
    <sheet name="BWX" sheetId="15" r:id="rId16"/>
    <sheet name="HYG" sheetId="16" r:id="rId17"/>
    <sheet name="TIP" sheetId="17" r:id="rId18"/>
    <sheet name="EFA" sheetId="18" r:id="rId19"/>
    <sheet name="EEM" sheetId="19" r:id="rId20"/>
    <sheet name="AGG" sheetId="20" r:id="rId21"/>
    <sheet name="LQD" sheetId="21" r:id="rId22"/>
    <sheet name="IEF" sheetId="22" r:id="rId23"/>
    <sheet name="SHY" sheetId="23" r:id="rId24"/>
    <sheet name="TLT" sheetId="24" r:id="rId25"/>
    <sheet name="GLD" sheetId="25" r:id="rId26"/>
    <sheet name="BIL" sheetId="26" r:id="rId27"/>
    <sheet name="시트4" sheetId="27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28" l="1"/>
  <c r="F149" i="28"/>
  <c r="D149" i="28"/>
  <c r="H136" i="28"/>
  <c r="G136" i="28"/>
  <c r="F136" i="28"/>
  <c r="F115" i="28"/>
  <c r="B106" i="28"/>
  <c r="I104" i="28"/>
  <c r="E104" i="28"/>
  <c r="M39" i="28"/>
  <c r="L39" i="28"/>
  <c r="E39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C38" i="28"/>
  <c r="D38" i="28" s="1"/>
  <c r="D37" i="28"/>
  <c r="C37" i="28"/>
  <c r="C36" i="28"/>
  <c r="D36" i="28" s="1"/>
  <c r="C35" i="28"/>
  <c r="D35" i="28" s="1"/>
  <c r="C34" i="28"/>
  <c r="D34" i="28" s="1"/>
  <c r="D33" i="28"/>
  <c r="C33" i="28"/>
  <c r="C32" i="28"/>
  <c r="D32" i="28" s="1"/>
  <c r="C31" i="28"/>
  <c r="D31" i="28" s="1"/>
  <c r="C30" i="28"/>
  <c r="D30" i="28" s="1"/>
  <c r="D29" i="28"/>
  <c r="C29" i="28"/>
  <c r="C28" i="28"/>
  <c r="D28" i="28" s="1"/>
  <c r="C27" i="28"/>
  <c r="D27" i="28" s="1"/>
  <c r="C26" i="28"/>
  <c r="D26" i="28" s="1"/>
  <c r="D25" i="28"/>
  <c r="C25" i="28"/>
  <c r="C24" i="28"/>
  <c r="D24" i="28" s="1"/>
  <c r="C23" i="28"/>
  <c r="D23" i="28" s="1"/>
  <c r="C22" i="28"/>
  <c r="D22" i="28" s="1"/>
  <c r="D21" i="28"/>
  <c r="C21" i="28"/>
  <c r="C20" i="28"/>
  <c r="D20" i="28" s="1"/>
  <c r="C19" i="28"/>
  <c r="D19" i="28" s="1"/>
  <c r="Q18" i="28"/>
  <c r="Q39" i="28" s="1"/>
  <c r="P18" i="28"/>
  <c r="P39" i="28" s="1"/>
  <c r="O18" i="28"/>
  <c r="O39" i="28" s="1"/>
  <c r="N18" i="28"/>
  <c r="N39" i="28" s="1"/>
  <c r="M18" i="28"/>
  <c r="L18" i="28"/>
  <c r="K18" i="28"/>
  <c r="K39" i="28" s="1"/>
  <c r="J18" i="28"/>
  <c r="J39" i="28" s="1"/>
  <c r="I18" i="28"/>
  <c r="I39" i="28" s="1"/>
  <c r="H18" i="28"/>
  <c r="H39" i="28" s="1"/>
  <c r="G18" i="28"/>
  <c r="G39" i="28" s="1"/>
  <c r="F18" i="28"/>
  <c r="F39" i="28" s="1"/>
  <c r="E18" i="28"/>
  <c r="C18" i="28" s="1"/>
  <c r="D18" i="28" s="1"/>
  <c r="C17" i="28"/>
  <c r="D17" i="28" s="1"/>
  <c r="D16" i="28"/>
  <c r="C16" i="28"/>
  <c r="D15" i="28"/>
  <c r="C15" i="28"/>
  <c r="D14" i="28"/>
  <c r="C14" i="28"/>
  <c r="C13" i="28"/>
  <c r="D13" i="28" s="1"/>
  <c r="D12" i="28"/>
  <c r="C12" i="28"/>
  <c r="C39" i="28" l="1"/>
  <c r="D39" i="28" s="1"/>
  <c r="G278" i="26" l="1"/>
  <c r="F278" i="26"/>
  <c r="E278" i="26"/>
  <c r="D278" i="26"/>
  <c r="C278" i="26"/>
  <c r="B278" i="26"/>
  <c r="G277" i="26"/>
  <c r="F277" i="26"/>
  <c r="E277" i="26"/>
  <c r="D277" i="26"/>
  <c r="C277" i="26"/>
  <c r="B277" i="26"/>
  <c r="G276" i="26"/>
  <c r="F276" i="26"/>
  <c r="E276" i="26"/>
  <c r="D276" i="26"/>
  <c r="C276" i="26"/>
  <c r="B276" i="26"/>
  <c r="G275" i="26"/>
  <c r="F275" i="26"/>
  <c r="E275" i="26"/>
  <c r="D275" i="26"/>
  <c r="C275" i="26"/>
  <c r="B275" i="26"/>
  <c r="G274" i="26"/>
  <c r="F274" i="26"/>
  <c r="E274" i="26"/>
  <c r="D274" i="26"/>
  <c r="C274" i="26"/>
  <c r="B274" i="26"/>
  <c r="G273" i="26"/>
  <c r="F273" i="26"/>
  <c r="E273" i="26"/>
  <c r="D273" i="26"/>
  <c r="C273" i="26"/>
  <c r="B273" i="26"/>
  <c r="G272" i="26"/>
  <c r="F272" i="26"/>
  <c r="E272" i="26"/>
  <c r="D272" i="26"/>
  <c r="C272" i="26"/>
  <c r="B272" i="26"/>
  <c r="G271" i="26"/>
  <c r="F271" i="26"/>
  <c r="E271" i="26"/>
  <c r="D271" i="26"/>
  <c r="C271" i="26"/>
  <c r="B271" i="26"/>
  <c r="G270" i="26"/>
  <c r="F270" i="26"/>
  <c r="E270" i="26"/>
  <c r="D270" i="26"/>
  <c r="C270" i="26"/>
  <c r="B270" i="26"/>
  <c r="G269" i="26"/>
  <c r="F269" i="26"/>
  <c r="E269" i="26"/>
  <c r="D269" i="26"/>
  <c r="C269" i="26"/>
  <c r="B269" i="26"/>
  <c r="G268" i="26"/>
  <c r="F268" i="26"/>
  <c r="E268" i="26"/>
  <c r="D268" i="26"/>
  <c r="C268" i="26"/>
  <c r="B268" i="26"/>
  <c r="G267" i="26"/>
  <c r="F267" i="26"/>
  <c r="E267" i="26"/>
  <c r="D267" i="26"/>
  <c r="C267" i="26"/>
  <c r="B267" i="26"/>
  <c r="G266" i="26"/>
  <c r="F266" i="26"/>
  <c r="E266" i="26"/>
  <c r="D266" i="26"/>
  <c r="C266" i="26"/>
  <c r="B266" i="26"/>
  <c r="G265" i="26"/>
  <c r="F265" i="26"/>
  <c r="E265" i="26"/>
  <c r="D265" i="26"/>
  <c r="C265" i="26"/>
  <c r="B265" i="26"/>
  <c r="G264" i="26"/>
  <c r="F264" i="26"/>
  <c r="E264" i="26"/>
  <c r="D264" i="26"/>
  <c r="C264" i="26"/>
  <c r="B264" i="26"/>
  <c r="G263" i="26"/>
  <c r="F263" i="26"/>
  <c r="E263" i="26"/>
  <c r="D263" i="26"/>
  <c r="C263" i="26"/>
  <c r="B263" i="26"/>
  <c r="G262" i="26"/>
  <c r="F262" i="26"/>
  <c r="E262" i="26"/>
  <c r="D262" i="26"/>
  <c r="C262" i="26"/>
  <c r="B262" i="26"/>
  <c r="G261" i="26"/>
  <c r="F261" i="26"/>
  <c r="E261" i="26"/>
  <c r="D261" i="26"/>
  <c r="C261" i="26"/>
  <c r="B261" i="26"/>
  <c r="G260" i="26"/>
  <c r="F260" i="26"/>
  <c r="E260" i="26"/>
  <c r="D260" i="26"/>
  <c r="C260" i="26"/>
  <c r="B260" i="26"/>
  <c r="G259" i="26"/>
  <c r="F259" i="26"/>
  <c r="E259" i="26"/>
  <c r="D259" i="26"/>
  <c r="C259" i="26"/>
  <c r="B259" i="26"/>
  <c r="G258" i="26"/>
  <c r="F258" i="26"/>
  <c r="E258" i="26"/>
  <c r="D258" i="26"/>
  <c r="C258" i="26"/>
  <c r="B258" i="26"/>
  <c r="G257" i="26"/>
  <c r="F257" i="26"/>
  <c r="E257" i="26"/>
  <c r="D257" i="26"/>
  <c r="C257" i="26"/>
  <c r="B257" i="26"/>
  <c r="G256" i="26"/>
  <c r="F256" i="26"/>
  <c r="P29" i="2" s="1"/>
  <c r="E256" i="26"/>
  <c r="D256" i="26"/>
  <c r="C256" i="26"/>
  <c r="B256" i="26"/>
  <c r="G255" i="26"/>
  <c r="F255" i="26"/>
  <c r="E255" i="26"/>
  <c r="D255" i="26"/>
  <c r="C255" i="26"/>
  <c r="B255" i="26"/>
  <c r="G254" i="26"/>
  <c r="F254" i="26"/>
  <c r="E254" i="26"/>
  <c r="D254" i="26"/>
  <c r="C254" i="26"/>
  <c r="B254" i="26"/>
  <c r="G253" i="26"/>
  <c r="F253" i="26"/>
  <c r="E253" i="26"/>
  <c r="D253" i="26"/>
  <c r="C253" i="26"/>
  <c r="B253" i="26"/>
  <c r="G252" i="26"/>
  <c r="F252" i="26"/>
  <c r="E252" i="26"/>
  <c r="D252" i="26"/>
  <c r="C252" i="26"/>
  <c r="B252" i="26"/>
  <c r="G251" i="26"/>
  <c r="F251" i="26"/>
  <c r="E251" i="26"/>
  <c r="D251" i="26"/>
  <c r="C251" i="26"/>
  <c r="B251" i="26"/>
  <c r="G250" i="26"/>
  <c r="F250" i="26"/>
  <c r="E250" i="26"/>
  <c r="D250" i="26"/>
  <c r="C250" i="26"/>
  <c r="B250" i="26"/>
  <c r="G249" i="26"/>
  <c r="F249" i="26"/>
  <c r="E249" i="26"/>
  <c r="D249" i="26"/>
  <c r="C249" i="26"/>
  <c r="B249" i="26"/>
  <c r="G248" i="26"/>
  <c r="F248" i="26"/>
  <c r="E248" i="26"/>
  <c r="D248" i="26"/>
  <c r="C248" i="26"/>
  <c r="B248" i="26"/>
  <c r="G247" i="26"/>
  <c r="F247" i="26"/>
  <c r="E247" i="26"/>
  <c r="D247" i="26"/>
  <c r="C247" i="26"/>
  <c r="B247" i="26"/>
  <c r="G246" i="26"/>
  <c r="F246" i="26"/>
  <c r="E246" i="26"/>
  <c r="D246" i="26"/>
  <c r="C246" i="26"/>
  <c r="B246" i="26"/>
  <c r="G245" i="26"/>
  <c r="F245" i="26"/>
  <c r="E245" i="26"/>
  <c r="D245" i="26"/>
  <c r="C245" i="26"/>
  <c r="B245" i="26"/>
  <c r="G244" i="26"/>
  <c r="F244" i="26"/>
  <c r="E244" i="26"/>
  <c r="D244" i="26"/>
  <c r="C244" i="26"/>
  <c r="B244" i="26"/>
  <c r="G243" i="26"/>
  <c r="F243" i="26"/>
  <c r="E243" i="26"/>
  <c r="D243" i="26"/>
  <c r="C243" i="26"/>
  <c r="B243" i="26"/>
  <c r="G242" i="26"/>
  <c r="F242" i="26"/>
  <c r="E242" i="26"/>
  <c r="D242" i="26"/>
  <c r="C242" i="26"/>
  <c r="B242" i="26"/>
  <c r="G241" i="26"/>
  <c r="F241" i="26"/>
  <c r="E241" i="26"/>
  <c r="D241" i="26"/>
  <c r="C241" i="26"/>
  <c r="B241" i="26"/>
  <c r="G240" i="26"/>
  <c r="F240" i="26"/>
  <c r="E240" i="26"/>
  <c r="D240" i="26"/>
  <c r="C240" i="26"/>
  <c r="B240" i="26"/>
  <c r="G239" i="26"/>
  <c r="F239" i="26"/>
  <c r="E239" i="26"/>
  <c r="D239" i="26"/>
  <c r="C239" i="26"/>
  <c r="B239" i="26"/>
  <c r="G238" i="26"/>
  <c r="F238" i="26"/>
  <c r="E238" i="26"/>
  <c r="D238" i="26"/>
  <c r="C238" i="26"/>
  <c r="B238" i="26"/>
  <c r="G237" i="26"/>
  <c r="F237" i="26"/>
  <c r="E237" i="26"/>
  <c r="D237" i="26"/>
  <c r="C237" i="26"/>
  <c r="B237" i="26"/>
  <c r="G236" i="26"/>
  <c r="F236" i="26"/>
  <c r="E236" i="26"/>
  <c r="D236" i="26"/>
  <c r="C236" i="26"/>
  <c r="B236" i="26"/>
  <c r="G235" i="26"/>
  <c r="F235" i="26"/>
  <c r="E235" i="26"/>
  <c r="D235" i="26"/>
  <c r="C235" i="26"/>
  <c r="B235" i="26"/>
  <c r="G234" i="26"/>
  <c r="F234" i="26"/>
  <c r="E234" i="26"/>
  <c r="D234" i="26"/>
  <c r="C234" i="26"/>
  <c r="B234" i="26"/>
  <c r="G233" i="26"/>
  <c r="F233" i="26"/>
  <c r="E233" i="26"/>
  <c r="D233" i="26"/>
  <c r="C233" i="26"/>
  <c r="B233" i="26"/>
  <c r="G232" i="26"/>
  <c r="F232" i="26"/>
  <c r="E232" i="26"/>
  <c r="D232" i="26"/>
  <c r="C232" i="26"/>
  <c r="B232" i="26"/>
  <c r="G231" i="26"/>
  <c r="F231" i="26"/>
  <c r="E231" i="26"/>
  <c r="D231" i="26"/>
  <c r="C231" i="26"/>
  <c r="B231" i="26"/>
  <c r="G230" i="26"/>
  <c r="F230" i="26"/>
  <c r="E230" i="26"/>
  <c r="D230" i="26"/>
  <c r="C230" i="26"/>
  <c r="B230" i="26"/>
  <c r="G229" i="26"/>
  <c r="F229" i="26"/>
  <c r="E229" i="26"/>
  <c r="D229" i="26"/>
  <c r="C229" i="26"/>
  <c r="B229" i="26"/>
  <c r="G228" i="26"/>
  <c r="F228" i="26"/>
  <c r="E228" i="26"/>
  <c r="D228" i="26"/>
  <c r="C228" i="26"/>
  <c r="B228" i="26"/>
  <c r="G227" i="26"/>
  <c r="F227" i="26"/>
  <c r="E227" i="26"/>
  <c r="D227" i="26"/>
  <c r="C227" i="26"/>
  <c r="B227" i="26"/>
  <c r="G226" i="26"/>
  <c r="F226" i="26"/>
  <c r="E226" i="26"/>
  <c r="D226" i="26"/>
  <c r="C226" i="26"/>
  <c r="B226" i="26"/>
  <c r="G225" i="26"/>
  <c r="F225" i="26"/>
  <c r="E225" i="26"/>
  <c r="D225" i="26"/>
  <c r="C225" i="26"/>
  <c r="B225" i="26"/>
  <c r="G224" i="26"/>
  <c r="F224" i="26"/>
  <c r="E224" i="26"/>
  <c r="D224" i="26"/>
  <c r="C224" i="26"/>
  <c r="B224" i="26"/>
  <c r="G223" i="26"/>
  <c r="F223" i="26"/>
  <c r="E223" i="26"/>
  <c r="D223" i="26"/>
  <c r="C223" i="26"/>
  <c r="B223" i="26"/>
  <c r="G222" i="26"/>
  <c r="F222" i="26"/>
  <c r="E222" i="26"/>
  <c r="D222" i="26"/>
  <c r="C222" i="26"/>
  <c r="B222" i="26"/>
  <c r="G221" i="26"/>
  <c r="F221" i="26"/>
  <c r="E221" i="26"/>
  <c r="D221" i="26"/>
  <c r="C221" i="26"/>
  <c r="B221" i="26"/>
  <c r="G220" i="26"/>
  <c r="F220" i="26"/>
  <c r="E220" i="26"/>
  <c r="D220" i="26"/>
  <c r="C220" i="26"/>
  <c r="B220" i="26"/>
  <c r="G219" i="26"/>
  <c r="F219" i="26"/>
  <c r="E219" i="26"/>
  <c r="D219" i="26"/>
  <c r="C219" i="26"/>
  <c r="B219" i="26"/>
  <c r="G218" i="26"/>
  <c r="F218" i="26"/>
  <c r="E218" i="26"/>
  <c r="D218" i="26"/>
  <c r="C218" i="26"/>
  <c r="B218" i="26"/>
  <c r="G217" i="26"/>
  <c r="F217" i="26"/>
  <c r="E217" i="26"/>
  <c r="D217" i="26"/>
  <c r="C217" i="26"/>
  <c r="B217" i="26"/>
  <c r="G216" i="26"/>
  <c r="F216" i="26"/>
  <c r="E216" i="26"/>
  <c r="D216" i="26"/>
  <c r="C216" i="26"/>
  <c r="B216" i="26"/>
  <c r="G215" i="26"/>
  <c r="F215" i="26"/>
  <c r="E215" i="26"/>
  <c r="D215" i="26"/>
  <c r="C215" i="26"/>
  <c r="B215" i="26"/>
  <c r="G214" i="26"/>
  <c r="F214" i="26"/>
  <c r="E214" i="26"/>
  <c r="D214" i="26"/>
  <c r="C214" i="26"/>
  <c r="B214" i="26"/>
  <c r="G213" i="26"/>
  <c r="F213" i="26"/>
  <c r="E213" i="26"/>
  <c r="D213" i="26"/>
  <c r="C213" i="26"/>
  <c r="B213" i="26"/>
  <c r="G212" i="26"/>
  <c r="F212" i="26"/>
  <c r="E212" i="26"/>
  <c r="D212" i="26"/>
  <c r="C212" i="26"/>
  <c r="B212" i="26"/>
  <c r="G211" i="26"/>
  <c r="F211" i="26"/>
  <c r="E211" i="26"/>
  <c r="D211" i="26"/>
  <c r="C211" i="26"/>
  <c r="B211" i="26"/>
  <c r="G210" i="26"/>
  <c r="F210" i="26"/>
  <c r="E210" i="26"/>
  <c r="D210" i="26"/>
  <c r="C210" i="26"/>
  <c r="B210" i="26"/>
  <c r="G209" i="26"/>
  <c r="F209" i="26"/>
  <c r="E209" i="26"/>
  <c r="D209" i="26"/>
  <c r="C209" i="26"/>
  <c r="B209" i="26"/>
  <c r="G208" i="26"/>
  <c r="F208" i="26"/>
  <c r="E208" i="26"/>
  <c r="D208" i="26"/>
  <c r="C208" i="26"/>
  <c r="B208" i="26"/>
  <c r="G207" i="26"/>
  <c r="F207" i="26"/>
  <c r="E207" i="26"/>
  <c r="D207" i="26"/>
  <c r="C207" i="26"/>
  <c r="B207" i="26"/>
  <c r="G206" i="26"/>
  <c r="F206" i="26"/>
  <c r="E206" i="26"/>
  <c r="D206" i="26"/>
  <c r="C206" i="26"/>
  <c r="B206" i="26"/>
  <c r="G205" i="26"/>
  <c r="F205" i="26"/>
  <c r="E205" i="26"/>
  <c r="D205" i="26"/>
  <c r="C205" i="26"/>
  <c r="B205" i="26"/>
  <c r="G204" i="26"/>
  <c r="F204" i="26"/>
  <c r="E204" i="26"/>
  <c r="D204" i="26"/>
  <c r="C204" i="26"/>
  <c r="B204" i="26"/>
  <c r="G203" i="26"/>
  <c r="F203" i="26"/>
  <c r="E203" i="26"/>
  <c r="D203" i="26"/>
  <c r="C203" i="26"/>
  <c r="B203" i="26"/>
  <c r="G202" i="26"/>
  <c r="F202" i="26"/>
  <c r="E202" i="26"/>
  <c r="D202" i="26"/>
  <c r="C202" i="26"/>
  <c r="B202" i="26"/>
  <c r="G201" i="26"/>
  <c r="F201" i="26"/>
  <c r="E201" i="26"/>
  <c r="D201" i="26"/>
  <c r="C201" i="26"/>
  <c r="B201" i="26"/>
  <c r="G200" i="26"/>
  <c r="F200" i="26"/>
  <c r="E200" i="26"/>
  <c r="D200" i="26"/>
  <c r="C200" i="26"/>
  <c r="B200" i="26"/>
  <c r="G199" i="26"/>
  <c r="F199" i="26"/>
  <c r="E199" i="26"/>
  <c r="D199" i="26"/>
  <c r="C199" i="26"/>
  <c r="B199" i="26"/>
  <c r="G198" i="26"/>
  <c r="F198" i="26"/>
  <c r="E198" i="26"/>
  <c r="D198" i="26"/>
  <c r="C198" i="26"/>
  <c r="B198" i="26"/>
  <c r="G197" i="26"/>
  <c r="F197" i="26"/>
  <c r="E197" i="26"/>
  <c r="D197" i="26"/>
  <c r="C197" i="26"/>
  <c r="B197" i="26"/>
  <c r="G196" i="26"/>
  <c r="F196" i="26"/>
  <c r="E196" i="26"/>
  <c r="D196" i="26"/>
  <c r="C196" i="26"/>
  <c r="B196" i="26"/>
  <c r="G195" i="26"/>
  <c r="F195" i="26"/>
  <c r="E195" i="26"/>
  <c r="D195" i="26"/>
  <c r="C195" i="26"/>
  <c r="B195" i="26"/>
  <c r="G194" i="26"/>
  <c r="F194" i="26"/>
  <c r="E194" i="26"/>
  <c r="D194" i="26"/>
  <c r="C194" i="26"/>
  <c r="B194" i="26"/>
  <c r="G193" i="26"/>
  <c r="F193" i="26"/>
  <c r="E193" i="26"/>
  <c r="D193" i="26"/>
  <c r="C193" i="26"/>
  <c r="B193" i="26"/>
  <c r="G192" i="26"/>
  <c r="F192" i="26"/>
  <c r="E192" i="26"/>
  <c r="D192" i="26"/>
  <c r="C192" i="26"/>
  <c r="B192" i="26"/>
  <c r="G191" i="26"/>
  <c r="F191" i="26"/>
  <c r="E191" i="26"/>
  <c r="D191" i="26"/>
  <c r="C191" i="26"/>
  <c r="B191" i="26"/>
  <c r="G190" i="26"/>
  <c r="F190" i="26"/>
  <c r="E190" i="26"/>
  <c r="D190" i="26"/>
  <c r="C190" i="26"/>
  <c r="B190" i="26"/>
  <c r="G189" i="26"/>
  <c r="F189" i="26"/>
  <c r="E189" i="26"/>
  <c r="D189" i="26"/>
  <c r="C189" i="26"/>
  <c r="B189" i="26"/>
  <c r="G188" i="26"/>
  <c r="F188" i="26"/>
  <c r="E188" i="26"/>
  <c r="D188" i="26"/>
  <c r="C188" i="26"/>
  <c r="B188" i="26"/>
  <c r="G187" i="26"/>
  <c r="F187" i="26"/>
  <c r="E187" i="26"/>
  <c r="D187" i="26"/>
  <c r="C187" i="26"/>
  <c r="B187" i="26"/>
  <c r="G186" i="26"/>
  <c r="F186" i="26"/>
  <c r="E186" i="26"/>
  <c r="D186" i="26"/>
  <c r="C186" i="26"/>
  <c r="B186" i="26"/>
  <c r="G185" i="26"/>
  <c r="F185" i="26"/>
  <c r="E185" i="26"/>
  <c r="D185" i="26"/>
  <c r="C185" i="26"/>
  <c r="B185" i="26"/>
  <c r="G184" i="26"/>
  <c r="F184" i="26"/>
  <c r="E184" i="26"/>
  <c r="D184" i="26"/>
  <c r="C184" i="26"/>
  <c r="B184" i="26"/>
  <c r="G183" i="26"/>
  <c r="F183" i="26"/>
  <c r="E183" i="26"/>
  <c r="D183" i="26"/>
  <c r="C183" i="26"/>
  <c r="B183" i="26"/>
  <c r="G182" i="26"/>
  <c r="F182" i="26"/>
  <c r="E182" i="26"/>
  <c r="D182" i="26"/>
  <c r="C182" i="26"/>
  <c r="B182" i="26"/>
  <c r="G181" i="26"/>
  <c r="F181" i="26"/>
  <c r="E181" i="26"/>
  <c r="D181" i="26"/>
  <c r="C181" i="26"/>
  <c r="B181" i="26"/>
  <c r="G180" i="26"/>
  <c r="F180" i="26"/>
  <c r="E180" i="26"/>
  <c r="D180" i="26"/>
  <c r="C180" i="26"/>
  <c r="B180" i="26"/>
  <c r="G179" i="26"/>
  <c r="F179" i="26"/>
  <c r="E179" i="26"/>
  <c r="D179" i="26"/>
  <c r="C179" i="26"/>
  <c r="B179" i="26"/>
  <c r="G178" i="26"/>
  <c r="F178" i="26"/>
  <c r="E178" i="26"/>
  <c r="D178" i="26"/>
  <c r="C178" i="26"/>
  <c r="B178" i="26"/>
  <c r="G177" i="26"/>
  <c r="F177" i="26"/>
  <c r="E177" i="26"/>
  <c r="D177" i="26"/>
  <c r="C177" i="26"/>
  <c r="B177" i="26"/>
  <c r="G176" i="26"/>
  <c r="F176" i="26"/>
  <c r="E176" i="26"/>
  <c r="D176" i="26"/>
  <c r="C176" i="26"/>
  <c r="B176" i="26"/>
  <c r="G175" i="26"/>
  <c r="F175" i="26"/>
  <c r="E175" i="26"/>
  <c r="D175" i="26"/>
  <c r="C175" i="26"/>
  <c r="B175" i="26"/>
  <c r="G174" i="26"/>
  <c r="F174" i="26"/>
  <c r="E174" i="26"/>
  <c r="D174" i="26"/>
  <c r="C174" i="26"/>
  <c r="B174" i="26"/>
  <c r="G173" i="26"/>
  <c r="F173" i="26"/>
  <c r="E173" i="26"/>
  <c r="D173" i="26"/>
  <c r="C173" i="26"/>
  <c r="B173" i="26"/>
  <c r="G172" i="26"/>
  <c r="F172" i="26"/>
  <c r="E172" i="26"/>
  <c r="D172" i="26"/>
  <c r="C172" i="26"/>
  <c r="B172" i="26"/>
  <c r="G171" i="26"/>
  <c r="F171" i="26"/>
  <c r="E171" i="26"/>
  <c r="D171" i="26"/>
  <c r="C171" i="26"/>
  <c r="B171" i="26"/>
  <c r="G170" i="26"/>
  <c r="F170" i="26"/>
  <c r="E170" i="26"/>
  <c r="D170" i="26"/>
  <c r="C170" i="26"/>
  <c r="B170" i="26"/>
  <c r="G169" i="26"/>
  <c r="F169" i="26"/>
  <c r="E169" i="26"/>
  <c r="D169" i="26"/>
  <c r="C169" i="26"/>
  <c r="B169" i="26"/>
  <c r="G168" i="26"/>
  <c r="F168" i="26"/>
  <c r="E168" i="26"/>
  <c r="D168" i="26"/>
  <c r="C168" i="26"/>
  <c r="B168" i="26"/>
  <c r="G167" i="26"/>
  <c r="F167" i="26"/>
  <c r="E167" i="26"/>
  <c r="D167" i="26"/>
  <c r="C167" i="26"/>
  <c r="B167" i="26"/>
  <c r="G166" i="26"/>
  <c r="F166" i="26"/>
  <c r="E166" i="26"/>
  <c r="D166" i="26"/>
  <c r="C166" i="26"/>
  <c r="B166" i="26"/>
  <c r="G165" i="26"/>
  <c r="F165" i="26"/>
  <c r="E165" i="26"/>
  <c r="D165" i="26"/>
  <c r="C165" i="26"/>
  <c r="B165" i="26"/>
  <c r="G164" i="26"/>
  <c r="F164" i="26"/>
  <c r="E164" i="26"/>
  <c r="D164" i="26"/>
  <c r="C164" i="26"/>
  <c r="B164" i="26"/>
  <c r="G163" i="26"/>
  <c r="F163" i="26"/>
  <c r="E163" i="26"/>
  <c r="D163" i="26"/>
  <c r="C163" i="26"/>
  <c r="B163" i="26"/>
  <c r="G162" i="26"/>
  <c r="F162" i="26"/>
  <c r="E162" i="26"/>
  <c r="D162" i="26"/>
  <c r="C162" i="26"/>
  <c r="B162" i="26"/>
  <c r="G161" i="26"/>
  <c r="F161" i="26"/>
  <c r="E161" i="26"/>
  <c r="D161" i="26"/>
  <c r="C161" i="26"/>
  <c r="B161" i="26"/>
  <c r="G160" i="26"/>
  <c r="F160" i="26"/>
  <c r="E160" i="26"/>
  <c r="D160" i="26"/>
  <c r="C160" i="26"/>
  <c r="B160" i="26"/>
  <c r="G159" i="26"/>
  <c r="F159" i="26"/>
  <c r="E159" i="26"/>
  <c r="D159" i="26"/>
  <c r="C159" i="26"/>
  <c r="B159" i="26"/>
  <c r="G158" i="26"/>
  <c r="F158" i="26"/>
  <c r="E158" i="26"/>
  <c r="D158" i="26"/>
  <c r="C158" i="26"/>
  <c r="B158" i="26"/>
  <c r="G157" i="26"/>
  <c r="F157" i="26"/>
  <c r="E157" i="26"/>
  <c r="D157" i="26"/>
  <c r="C157" i="26"/>
  <c r="B157" i="26"/>
  <c r="G156" i="26"/>
  <c r="F156" i="26"/>
  <c r="E156" i="26"/>
  <c r="D156" i="26"/>
  <c r="C156" i="26"/>
  <c r="B156" i="26"/>
  <c r="G155" i="26"/>
  <c r="F155" i="26"/>
  <c r="E155" i="26"/>
  <c r="D155" i="26"/>
  <c r="C155" i="26"/>
  <c r="B155" i="26"/>
  <c r="G154" i="26"/>
  <c r="F154" i="26"/>
  <c r="E154" i="26"/>
  <c r="D154" i="26"/>
  <c r="C154" i="26"/>
  <c r="B154" i="26"/>
  <c r="G153" i="26"/>
  <c r="F153" i="26"/>
  <c r="E153" i="26"/>
  <c r="D153" i="26"/>
  <c r="C153" i="26"/>
  <c r="B153" i="26"/>
  <c r="G152" i="26"/>
  <c r="F152" i="26"/>
  <c r="E152" i="26"/>
  <c r="D152" i="26"/>
  <c r="C152" i="26"/>
  <c r="B152" i="26"/>
  <c r="G151" i="26"/>
  <c r="F151" i="26"/>
  <c r="E151" i="26"/>
  <c r="D151" i="26"/>
  <c r="C151" i="26"/>
  <c r="B151" i="26"/>
  <c r="G150" i="26"/>
  <c r="F150" i="26"/>
  <c r="E150" i="26"/>
  <c r="D150" i="26"/>
  <c r="C150" i="26"/>
  <c r="B150" i="26"/>
  <c r="G149" i="26"/>
  <c r="F149" i="26"/>
  <c r="E149" i="26"/>
  <c r="D149" i="26"/>
  <c r="C149" i="26"/>
  <c r="B149" i="26"/>
  <c r="G148" i="26"/>
  <c r="F148" i="26"/>
  <c r="E148" i="26"/>
  <c r="D148" i="26"/>
  <c r="C148" i="26"/>
  <c r="B148" i="26"/>
  <c r="G147" i="26"/>
  <c r="F147" i="26"/>
  <c r="E147" i="26"/>
  <c r="D147" i="26"/>
  <c r="C147" i="26"/>
  <c r="B147" i="26"/>
  <c r="G146" i="26"/>
  <c r="F146" i="26"/>
  <c r="E146" i="26"/>
  <c r="D146" i="26"/>
  <c r="C146" i="26"/>
  <c r="B146" i="26"/>
  <c r="G145" i="26"/>
  <c r="F145" i="26"/>
  <c r="E145" i="26"/>
  <c r="D145" i="26"/>
  <c r="C145" i="26"/>
  <c r="B145" i="26"/>
  <c r="G144" i="26"/>
  <c r="F144" i="26"/>
  <c r="E144" i="26"/>
  <c r="D144" i="26"/>
  <c r="C144" i="26"/>
  <c r="B144" i="26"/>
  <c r="G143" i="26"/>
  <c r="F143" i="26"/>
  <c r="E143" i="26"/>
  <c r="D143" i="26"/>
  <c r="C143" i="26"/>
  <c r="B143" i="26"/>
  <c r="G142" i="26"/>
  <c r="F142" i="26"/>
  <c r="E142" i="26"/>
  <c r="D142" i="26"/>
  <c r="C142" i="26"/>
  <c r="B142" i="26"/>
  <c r="G141" i="26"/>
  <c r="F141" i="26"/>
  <c r="E141" i="26"/>
  <c r="D141" i="26"/>
  <c r="C141" i="26"/>
  <c r="B141" i="26"/>
  <c r="G140" i="26"/>
  <c r="F140" i="26"/>
  <c r="E140" i="26"/>
  <c r="D140" i="26"/>
  <c r="C140" i="26"/>
  <c r="B140" i="26"/>
  <c r="G139" i="26"/>
  <c r="F139" i="26"/>
  <c r="E139" i="26"/>
  <c r="D139" i="26"/>
  <c r="C139" i="26"/>
  <c r="B139" i="26"/>
  <c r="G138" i="26"/>
  <c r="F138" i="26"/>
  <c r="E138" i="26"/>
  <c r="D138" i="26"/>
  <c r="C138" i="26"/>
  <c r="B138" i="26"/>
  <c r="G137" i="26"/>
  <c r="F137" i="26"/>
  <c r="E137" i="26"/>
  <c r="D137" i="26"/>
  <c r="C137" i="26"/>
  <c r="B137" i="26"/>
  <c r="G136" i="26"/>
  <c r="F136" i="26"/>
  <c r="E136" i="26"/>
  <c r="D136" i="26"/>
  <c r="C136" i="26"/>
  <c r="B136" i="26"/>
  <c r="G135" i="26"/>
  <c r="F135" i="26"/>
  <c r="E135" i="26"/>
  <c r="D135" i="26"/>
  <c r="C135" i="26"/>
  <c r="B135" i="26"/>
  <c r="G134" i="26"/>
  <c r="F134" i="26"/>
  <c r="E134" i="26"/>
  <c r="D134" i="26"/>
  <c r="C134" i="26"/>
  <c r="B134" i="26"/>
  <c r="G133" i="26"/>
  <c r="F133" i="26"/>
  <c r="E133" i="26"/>
  <c r="D133" i="26"/>
  <c r="C133" i="26"/>
  <c r="B133" i="26"/>
  <c r="G132" i="26"/>
  <c r="F132" i="26"/>
  <c r="E132" i="26"/>
  <c r="D132" i="26"/>
  <c r="C132" i="26"/>
  <c r="B132" i="26"/>
  <c r="G131" i="26"/>
  <c r="F131" i="26"/>
  <c r="E131" i="26"/>
  <c r="D131" i="26"/>
  <c r="C131" i="26"/>
  <c r="B131" i="26"/>
  <c r="G130" i="26"/>
  <c r="F130" i="26"/>
  <c r="E130" i="26"/>
  <c r="D130" i="26"/>
  <c r="C130" i="26"/>
  <c r="B130" i="26"/>
  <c r="G129" i="26"/>
  <c r="F129" i="26"/>
  <c r="E129" i="26"/>
  <c r="D129" i="26"/>
  <c r="C129" i="26"/>
  <c r="B129" i="26"/>
  <c r="G128" i="26"/>
  <c r="F128" i="26"/>
  <c r="E128" i="26"/>
  <c r="D128" i="26"/>
  <c r="C128" i="26"/>
  <c r="B128" i="26"/>
  <c r="G127" i="26"/>
  <c r="F127" i="26"/>
  <c r="E127" i="26"/>
  <c r="D127" i="26"/>
  <c r="C127" i="26"/>
  <c r="B127" i="26"/>
  <c r="G126" i="26"/>
  <c r="F126" i="26"/>
  <c r="E126" i="26"/>
  <c r="D126" i="26"/>
  <c r="C126" i="26"/>
  <c r="B126" i="26"/>
  <c r="G125" i="26"/>
  <c r="F125" i="26"/>
  <c r="E125" i="26"/>
  <c r="D125" i="26"/>
  <c r="C125" i="26"/>
  <c r="B125" i="26"/>
  <c r="G124" i="26"/>
  <c r="F124" i="26"/>
  <c r="E124" i="26"/>
  <c r="D124" i="26"/>
  <c r="C124" i="26"/>
  <c r="B124" i="26"/>
  <c r="G123" i="26"/>
  <c r="F123" i="26"/>
  <c r="E123" i="26"/>
  <c r="D123" i="26"/>
  <c r="C123" i="26"/>
  <c r="B123" i="26"/>
  <c r="G122" i="26"/>
  <c r="F122" i="26"/>
  <c r="E122" i="26"/>
  <c r="D122" i="26"/>
  <c r="C122" i="26"/>
  <c r="B122" i="26"/>
  <c r="G121" i="26"/>
  <c r="F121" i="26"/>
  <c r="E121" i="26"/>
  <c r="D121" i="26"/>
  <c r="C121" i="26"/>
  <c r="B121" i="26"/>
  <c r="G120" i="26"/>
  <c r="F120" i="26"/>
  <c r="E120" i="26"/>
  <c r="D120" i="26"/>
  <c r="C120" i="26"/>
  <c r="B120" i="26"/>
  <c r="G119" i="26"/>
  <c r="F119" i="26"/>
  <c r="E119" i="26"/>
  <c r="D119" i="26"/>
  <c r="C119" i="26"/>
  <c r="B119" i="26"/>
  <c r="G118" i="26"/>
  <c r="F118" i="26"/>
  <c r="E118" i="26"/>
  <c r="D118" i="26"/>
  <c r="C118" i="26"/>
  <c r="B118" i="26"/>
  <c r="G117" i="26"/>
  <c r="F117" i="26"/>
  <c r="E117" i="26"/>
  <c r="D117" i="26"/>
  <c r="C117" i="26"/>
  <c r="B117" i="26"/>
  <c r="G116" i="26"/>
  <c r="F116" i="26"/>
  <c r="E116" i="26"/>
  <c r="D116" i="26"/>
  <c r="C116" i="26"/>
  <c r="B116" i="26"/>
  <c r="G115" i="26"/>
  <c r="F115" i="26"/>
  <c r="E115" i="26"/>
  <c r="D115" i="26"/>
  <c r="C115" i="26"/>
  <c r="B115" i="26"/>
  <c r="G114" i="26"/>
  <c r="F114" i="26"/>
  <c r="E114" i="26"/>
  <c r="D114" i="26"/>
  <c r="C114" i="26"/>
  <c r="B114" i="26"/>
  <c r="G113" i="26"/>
  <c r="F113" i="26"/>
  <c r="E113" i="26"/>
  <c r="D113" i="26"/>
  <c r="C113" i="26"/>
  <c r="B113" i="26"/>
  <c r="G112" i="26"/>
  <c r="F112" i="26"/>
  <c r="E112" i="26"/>
  <c r="D112" i="26"/>
  <c r="C112" i="26"/>
  <c r="B112" i="26"/>
  <c r="G111" i="26"/>
  <c r="F111" i="26"/>
  <c r="E111" i="26"/>
  <c r="D111" i="26"/>
  <c r="C111" i="26"/>
  <c r="B111" i="26"/>
  <c r="G110" i="26"/>
  <c r="F110" i="26"/>
  <c r="E110" i="26"/>
  <c r="D110" i="26"/>
  <c r="C110" i="26"/>
  <c r="B110" i="26"/>
  <c r="G109" i="26"/>
  <c r="F109" i="26"/>
  <c r="E109" i="26"/>
  <c r="D109" i="26"/>
  <c r="C109" i="26"/>
  <c r="B109" i="26"/>
  <c r="G108" i="26"/>
  <c r="F108" i="26"/>
  <c r="E108" i="26"/>
  <c r="D108" i="26"/>
  <c r="C108" i="26"/>
  <c r="B108" i="26"/>
  <c r="G107" i="26"/>
  <c r="F107" i="26"/>
  <c r="E107" i="26"/>
  <c r="D107" i="26"/>
  <c r="C107" i="26"/>
  <c r="B107" i="26"/>
  <c r="G106" i="26"/>
  <c r="F106" i="26"/>
  <c r="E106" i="26"/>
  <c r="D106" i="26"/>
  <c r="C106" i="26"/>
  <c r="B106" i="26"/>
  <c r="G105" i="26"/>
  <c r="F105" i="26"/>
  <c r="E105" i="26"/>
  <c r="D105" i="26"/>
  <c r="C105" i="26"/>
  <c r="B105" i="26"/>
  <c r="G104" i="26"/>
  <c r="F104" i="26"/>
  <c r="E104" i="26"/>
  <c r="D104" i="26"/>
  <c r="C104" i="26"/>
  <c r="B104" i="26"/>
  <c r="G103" i="26"/>
  <c r="F103" i="26"/>
  <c r="E103" i="26"/>
  <c r="D103" i="26"/>
  <c r="C103" i="26"/>
  <c r="B103" i="26"/>
  <c r="G102" i="26"/>
  <c r="F102" i="26"/>
  <c r="E102" i="26"/>
  <c r="D102" i="26"/>
  <c r="C102" i="26"/>
  <c r="B102" i="26"/>
  <c r="G101" i="26"/>
  <c r="F101" i="26"/>
  <c r="E101" i="26"/>
  <c r="D101" i="26"/>
  <c r="C101" i="26"/>
  <c r="B101" i="26"/>
  <c r="G100" i="26"/>
  <c r="F100" i="26"/>
  <c r="E100" i="26"/>
  <c r="D100" i="26"/>
  <c r="C100" i="26"/>
  <c r="B100" i="26"/>
  <c r="G99" i="26"/>
  <c r="F99" i="26"/>
  <c r="E99" i="26"/>
  <c r="D99" i="26"/>
  <c r="C99" i="26"/>
  <c r="B99" i="26"/>
  <c r="G98" i="26"/>
  <c r="F98" i="26"/>
  <c r="E98" i="26"/>
  <c r="D98" i="26"/>
  <c r="C98" i="26"/>
  <c r="B98" i="26"/>
  <c r="G97" i="26"/>
  <c r="F97" i="26"/>
  <c r="E97" i="26"/>
  <c r="D97" i="26"/>
  <c r="C97" i="26"/>
  <c r="B97" i="26"/>
  <c r="G96" i="26"/>
  <c r="F96" i="26"/>
  <c r="E96" i="26"/>
  <c r="D96" i="26"/>
  <c r="C96" i="26"/>
  <c r="B96" i="26"/>
  <c r="G95" i="26"/>
  <c r="F95" i="26"/>
  <c r="E95" i="26"/>
  <c r="D95" i="26"/>
  <c r="C95" i="26"/>
  <c r="B95" i="26"/>
  <c r="G94" i="26"/>
  <c r="F94" i="26"/>
  <c r="E94" i="26"/>
  <c r="D94" i="26"/>
  <c r="C94" i="26"/>
  <c r="B94" i="26"/>
  <c r="G93" i="26"/>
  <c r="F93" i="26"/>
  <c r="E93" i="26"/>
  <c r="D93" i="26"/>
  <c r="C93" i="26"/>
  <c r="B93" i="26"/>
  <c r="G92" i="26"/>
  <c r="F92" i="26"/>
  <c r="E92" i="26"/>
  <c r="D92" i="26"/>
  <c r="C92" i="26"/>
  <c r="B92" i="26"/>
  <c r="G91" i="26"/>
  <c r="F91" i="26"/>
  <c r="E91" i="26"/>
  <c r="D91" i="26"/>
  <c r="C91" i="26"/>
  <c r="B91" i="26"/>
  <c r="G90" i="26"/>
  <c r="F90" i="26"/>
  <c r="E90" i="26"/>
  <c r="D90" i="26"/>
  <c r="C90" i="26"/>
  <c r="B90" i="26"/>
  <c r="G89" i="26"/>
  <c r="F89" i="26"/>
  <c r="E89" i="26"/>
  <c r="D89" i="26"/>
  <c r="C89" i="26"/>
  <c r="B89" i="26"/>
  <c r="G88" i="26"/>
  <c r="F88" i="26"/>
  <c r="E88" i="26"/>
  <c r="D88" i="26"/>
  <c r="C88" i="26"/>
  <c r="B88" i="26"/>
  <c r="G87" i="26"/>
  <c r="F87" i="26"/>
  <c r="E87" i="26"/>
  <c r="D87" i="26"/>
  <c r="C87" i="26"/>
  <c r="B87" i="26"/>
  <c r="G86" i="26"/>
  <c r="F86" i="26"/>
  <c r="E86" i="26"/>
  <c r="D86" i="26"/>
  <c r="C86" i="26"/>
  <c r="B86" i="26"/>
  <c r="G85" i="26"/>
  <c r="F85" i="26"/>
  <c r="E85" i="26"/>
  <c r="D85" i="26"/>
  <c r="C85" i="26"/>
  <c r="B85" i="26"/>
  <c r="G84" i="26"/>
  <c r="F84" i="26"/>
  <c r="E84" i="26"/>
  <c r="D84" i="26"/>
  <c r="C84" i="26"/>
  <c r="B84" i="26"/>
  <c r="G83" i="26"/>
  <c r="F83" i="26"/>
  <c r="E83" i="26"/>
  <c r="D83" i="26"/>
  <c r="C83" i="26"/>
  <c r="B83" i="26"/>
  <c r="G82" i="26"/>
  <c r="F82" i="26"/>
  <c r="E82" i="26"/>
  <c r="D82" i="26"/>
  <c r="C82" i="26"/>
  <c r="B82" i="26"/>
  <c r="G81" i="26"/>
  <c r="F81" i="26"/>
  <c r="E81" i="26"/>
  <c r="D81" i="26"/>
  <c r="C81" i="26"/>
  <c r="B81" i="26"/>
  <c r="G80" i="26"/>
  <c r="F80" i="26"/>
  <c r="E80" i="26"/>
  <c r="D80" i="26"/>
  <c r="C80" i="26"/>
  <c r="B80" i="26"/>
  <c r="G79" i="26"/>
  <c r="F79" i="26"/>
  <c r="E79" i="26"/>
  <c r="D79" i="26"/>
  <c r="C79" i="26"/>
  <c r="B79" i="26"/>
  <c r="G78" i="26"/>
  <c r="F78" i="26"/>
  <c r="E78" i="26"/>
  <c r="D78" i="26"/>
  <c r="C78" i="26"/>
  <c r="B78" i="26"/>
  <c r="G77" i="26"/>
  <c r="F77" i="26"/>
  <c r="E77" i="26"/>
  <c r="D77" i="26"/>
  <c r="C77" i="26"/>
  <c r="B77" i="26"/>
  <c r="G76" i="26"/>
  <c r="F76" i="26"/>
  <c r="E76" i="26"/>
  <c r="D76" i="26"/>
  <c r="C76" i="26"/>
  <c r="B76" i="26"/>
  <c r="G75" i="26"/>
  <c r="F75" i="26"/>
  <c r="E75" i="26"/>
  <c r="D75" i="26"/>
  <c r="C75" i="26"/>
  <c r="B75" i="26"/>
  <c r="G74" i="26"/>
  <c r="F74" i="26"/>
  <c r="E74" i="26"/>
  <c r="D74" i="26"/>
  <c r="C74" i="26"/>
  <c r="B74" i="26"/>
  <c r="G73" i="26"/>
  <c r="F73" i="26"/>
  <c r="E73" i="26"/>
  <c r="D73" i="26"/>
  <c r="C73" i="26"/>
  <c r="B73" i="26"/>
  <c r="G72" i="26"/>
  <c r="F72" i="26"/>
  <c r="E72" i="26"/>
  <c r="D72" i="26"/>
  <c r="C72" i="26"/>
  <c r="B72" i="26"/>
  <c r="G71" i="26"/>
  <c r="F71" i="26"/>
  <c r="E71" i="26"/>
  <c r="D71" i="26"/>
  <c r="C71" i="26"/>
  <c r="B71" i="26"/>
  <c r="G70" i="26"/>
  <c r="F70" i="26"/>
  <c r="E70" i="26"/>
  <c r="D70" i="26"/>
  <c r="C70" i="26"/>
  <c r="B70" i="26"/>
  <c r="G69" i="26"/>
  <c r="F69" i="26"/>
  <c r="E69" i="26"/>
  <c r="D69" i="26"/>
  <c r="C69" i="26"/>
  <c r="B69" i="26"/>
  <c r="G68" i="26"/>
  <c r="F68" i="26"/>
  <c r="E68" i="26"/>
  <c r="D68" i="26"/>
  <c r="C68" i="26"/>
  <c r="B68" i="26"/>
  <c r="G67" i="26"/>
  <c r="F67" i="26"/>
  <c r="E67" i="26"/>
  <c r="D67" i="26"/>
  <c r="C67" i="26"/>
  <c r="B67" i="26"/>
  <c r="G66" i="26"/>
  <c r="F66" i="26"/>
  <c r="E66" i="26"/>
  <c r="D66" i="26"/>
  <c r="C66" i="26"/>
  <c r="B66" i="26"/>
  <c r="G65" i="26"/>
  <c r="F65" i="26"/>
  <c r="E65" i="26"/>
  <c r="D65" i="26"/>
  <c r="C65" i="26"/>
  <c r="B65" i="26"/>
  <c r="G64" i="26"/>
  <c r="F64" i="26"/>
  <c r="E64" i="26"/>
  <c r="D64" i="26"/>
  <c r="C64" i="26"/>
  <c r="B64" i="26"/>
  <c r="G63" i="26"/>
  <c r="F63" i="26"/>
  <c r="E63" i="26"/>
  <c r="D63" i="26"/>
  <c r="C63" i="26"/>
  <c r="B63" i="26"/>
  <c r="G62" i="26"/>
  <c r="F62" i="26"/>
  <c r="E62" i="26"/>
  <c r="D62" i="26"/>
  <c r="C62" i="26"/>
  <c r="B62" i="26"/>
  <c r="G61" i="26"/>
  <c r="F61" i="26"/>
  <c r="E61" i="26"/>
  <c r="D61" i="26"/>
  <c r="C61" i="26"/>
  <c r="B61" i="26"/>
  <c r="G60" i="26"/>
  <c r="F60" i="26"/>
  <c r="E60" i="26"/>
  <c r="D60" i="26"/>
  <c r="C60" i="26"/>
  <c r="B60" i="26"/>
  <c r="G59" i="26"/>
  <c r="F59" i="26"/>
  <c r="E59" i="26"/>
  <c r="D59" i="26"/>
  <c r="C59" i="26"/>
  <c r="B59" i="26"/>
  <c r="G58" i="26"/>
  <c r="F58" i="26"/>
  <c r="E58" i="26"/>
  <c r="D58" i="26"/>
  <c r="C58" i="26"/>
  <c r="B58" i="26"/>
  <c r="G57" i="26"/>
  <c r="F57" i="26"/>
  <c r="E57" i="26"/>
  <c r="D57" i="26"/>
  <c r="C57" i="26"/>
  <c r="B57" i="26"/>
  <c r="G56" i="26"/>
  <c r="F56" i="26"/>
  <c r="E56" i="26"/>
  <c r="D56" i="26"/>
  <c r="C56" i="26"/>
  <c r="B56" i="26"/>
  <c r="G55" i="26"/>
  <c r="F55" i="26"/>
  <c r="E55" i="26"/>
  <c r="D55" i="26"/>
  <c r="C55" i="26"/>
  <c r="B55" i="26"/>
  <c r="G54" i="26"/>
  <c r="F54" i="26"/>
  <c r="E54" i="26"/>
  <c r="D54" i="26"/>
  <c r="C54" i="26"/>
  <c r="B54" i="26"/>
  <c r="G53" i="26"/>
  <c r="F53" i="26"/>
  <c r="E53" i="26"/>
  <c r="D53" i="26"/>
  <c r="C53" i="26"/>
  <c r="B53" i="26"/>
  <c r="G52" i="26"/>
  <c r="F52" i="26"/>
  <c r="E52" i="26"/>
  <c r="D52" i="26"/>
  <c r="C52" i="26"/>
  <c r="B52" i="26"/>
  <c r="G51" i="26"/>
  <c r="F51" i="26"/>
  <c r="E51" i="26"/>
  <c r="D51" i="26"/>
  <c r="C51" i="26"/>
  <c r="B51" i="26"/>
  <c r="G50" i="26"/>
  <c r="F50" i="26"/>
  <c r="E50" i="26"/>
  <c r="D50" i="26"/>
  <c r="C50" i="26"/>
  <c r="B50" i="26"/>
  <c r="G49" i="26"/>
  <c r="F49" i="26"/>
  <c r="E49" i="26"/>
  <c r="D49" i="26"/>
  <c r="C49" i="26"/>
  <c r="B49" i="26"/>
  <c r="G48" i="26"/>
  <c r="F48" i="26"/>
  <c r="E48" i="26"/>
  <c r="D48" i="26"/>
  <c r="C48" i="26"/>
  <c r="B48" i="26"/>
  <c r="G47" i="26"/>
  <c r="F47" i="26"/>
  <c r="E47" i="26"/>
  <c r="D47" i="26"/>
  <c r="C47" i="26"/>
  <c r="B47" i="26"/>
  <c r="G46" i="26"/>
  <c r="F46" i="26"/>
  <c r="E46" i="26"/>
  <c r="D46" i="26"/>
  <c r="C46" i="26"/>
  <c r="B46" i="26"/>
  <c r="G45" i="26"/>
  <c r="F45" i="26"/>
  <c r="E45" i="26"/>
  <c r="D45" i="26"/>
  <c r="C45" i="26"/>
  <c r="B45" i="26"/>
  <c r="G44" i="26"/>
  <c r="F44" i="26"/>
  <c r="E44" i="26"/>
  <c r="D44" i="26"/>
  <c r="C44" i="26"/>
  <c r="B44" i="26"/>
  <c r="G43" i="26"/>
  <c r="F43" i="26"/>
  <c r="E43" i="26"/>
  <c r="D43" i="26"/>
  <c r="C43" i="26"/>
  <c r="B43" i="26"/>
  <c r="G42" i="26"/>
  <c r="F42" i="26"/>
  <c r="E42" i="26"/>
  <c r="D42" i="26"/>
  <c r="C42" i="26"/>
  <c r="B42" i="26"/>
  <c r="G41" i="26"/>
  <c r="F41" i="26"/>
  <c r="E41" i="26"/>
  <c r="D41" i="26"/>
  <c r="C41" i="26"/>
  <c r="B41" i="26"/>
  <c r="G40" i="26"/>
  <c r="F40" i="26"/>
  <c r="E40" i="26"/>
  <c r="D40" i="26"/>
  <c r="C40" i="26"/>
  <c r="B40" i="26"/>
  <c r="G39" i="26"/>
  <c r="F39" i="26"/>
  <c r="E39" i="26"/>
  <c r="D39" i="26"/>
  <c r="C39" i="26"/>
  <c r="B39" i="26"/>
  <c r="G38" i="26"/>
  <c r="F38" i="26"/>
  <c r="E38" i="26"/>
  <c r="D38" i="26"/>
  <c r="C38" i="26"/>
  <c r="B38" i="26"/>
  <c r="G37" i="26"/>
  <c r="F37" i="26"/>
  <c r="E37" i="26"/>
  <c r="D37" i="26"/>
  <c r="C37" i="26"/>
  <c r="B37" i="26"/>
  <c r="G36" i="26"/>
  <c r="F36" i="26"/>
  <c r="E36" i="26"/>
  <c r="D36" i="26"/>
  <c r="C36" i="26"/>
  <c r="B36" i="26"/>
  <c r="G35" i="26"/>
  <c r="F35" i="26"/>
  <c r="E35" i="26"/>
  <c r="D35" i="26"/>
  <c r="C35" i="26"/>
  <c r="B35" i="26"/>
  <c r="G34" i="26"/>
  <c r="F34" i="26"/>
  <c r="E34" i="26"/>
  <c r="D34" i="26"/>
  <c r="C34" i="26"/>
  <c r="B34" i="26"/>
  <c r="G33" i="26"/>
  <c r="F33" i="26"/>
  <c r="E33" i="26"/>
  <c r="D33" i="26"/>
  <c r="C33" i="26"/>
  <c r="B33" i="26"/>
  <c r="G32" i="26"/>
  <c r="F32" i="26"/>
  <c r="E32" i="26"/>
  <c r="D32" i="26"/>
  <c r="C32" i="26"/>
  <c r="B32" i="26"/>
  <c r="G31" i="26"/>
  <c r="F31" i="26"/>
  <c r="E31" i="26"/>
  <c r="D31" i="26"/>
  <c r="C31" i="26"/>
  <c r="B31" i="26"/>
  <c r="G30" i="26"/>
  <c r="F30" i="26"/>
  <c r="E30" i="26"/>
  <c r="D30" i="26"/>
  <c r="C30" i="26"/>
  <c r="B30" i="26"/>
  <c r="G29" i="26"/>
  <c r="F29" i="26"/>
  <c r="E29" i="26"/>
  <c r="D29" i="26"/>
  <c r="C29" i="26"/>
  <c r="B29" i="26"/>
  <c r="G28" i="26"/>
  <c r="F28" i="26"/>
  <c r="S38" i="2" s="1"/>
  <c r="E28" i="26"/>
  <c r="D28" i="26"/>
  <c r="C28" i="26"/>
  <c r="B28" i="26"/>
  <c r="G27" i="26"/>
  <c r="F27" i="26"/>
  <c r="E27" i="26"/>
  <c r="D27" i="26"/>
  <c r="C27" i="26"/>
  <c r="B27" i="26"/>
  <c r="B18" i="26"/>
  <c r="D14" i="26"/>
  <c r="C14" i="26"/>
  <c r="B14" i="26"/>
  <c r="E10" i="26"/>
  <c r="D10" i="26"/>
  <c r="B10" i="26"/>
  <c r="B7" i="26"/>
  <c r="G278" i="25"/>
  <c r="F278" i="25"/>
  <c r="E278" i="25"/>
  <c r="D278" i="25"/>
  <c r="C278" i="25"/>
  <c r="B278" i="25"/>
  <c r="G277" i="25"/>
  <c r="F277" i="25"/>
  <c r="E277" i="25"/>
  <c r="D277" i="25"/>
  <c r="C277" i="25"/>
  <c r="B277" i="25"/>
  <c r="G276" i="25"/>
  <c r="F276" i="25"/>
  <c r="E276" i="25"/>
  <c r="D276" i="25"/>
  <c r="C276" i="25"/>
  <c r="B276" i="25"/>
  <c r="G275" i="25"/>
  <c r="F275" i="25"/>
  <c r="E275" i="25"/>
  <c r="D275" i="25"/>
  <c r="C275" i="25"/>
  <c r="B275" i="25"/>
  <c r="G274" i="25"/>
  <c r="F274" i="25"/>
  <c r="E274" i="25"/>
  <c r="D274" i="25"/>
  <c r="C274" i="25"/>
  <c r="B274" i="25"/>
  <c r="G273" i="25"/>
  <c r="F273" i="25"/>
  <c r="E273" i="25"/>
  <c r="D273" i="25"/>
  <c r="C273" i="25"/>
  <c r="B273" i="25"/>
  <c r="G272" i="25"/>
  <c r="F272" i="25"/>
  <c r="E272" i="25"/>
  <c r="D272" i="25"/>
  <c r="C272" i="25"/>
  <c r="B272" i="25"/>
  <c r="G271" i="25"/>
  <c r="F271" i="25"/>
  <c r="E271" i="25"/>
  <c r="D271" i="25"/>
  <c r="C271" i="25"/>
  <c r="B271" i="25"/>
  <c r="G270" i="25"/>
  <c r="F270" i="25"/>
  <c r="E270" i="25"/>
  <c r="D270" i="25"/>
  <c r="C270" i="25"/>
  <c r="B270" i="25"/>
  <c r="G269" i="25"/>
  <c r="F269" i="25"/>
  <c r="E269" i="25"/>
  <c r="D269" i="25"/>
  <c r="C269" i="25"/>
  <c r="B269" i="25"/>
  <c r="G268" i="25"/>
  <c r="F268" i="25"/>
  <c r="E268" i="25"/>
  <c r="D268" i="25"/>
  <c r="C268" i="25"/>
  <c r="B268" i="25"/>
  <c r="G267" i="25"/>
  <c r="F267" i="25"/>
  <c r="E267" i="25"/>
  <c r="D267" i="25"/>
  <c r="C267" i="25"/>
  <c r="B267" i="25"/>
  <c r="G266" i="25"/>
  <c r="F266" i="25"/>
  <c r="E266" i="25"/>
  <c r="D266" i="25"/>
  <c r="C266" i="25"/>
  <c r="B266" i="25"/>
  <c r="G265" i="25"/>
  <c r="F265" i="25"/>
  <c r="E265" i="25"/>
  <c r="D265" i="25"/>
  <c r="C265" i="25"/>
  <c r="B265" i="25"/>
  <c r="G264" i="25"/>
  <c r="F264" i="25"/>
  <c r="E264" i="25"/>
  <c r="D264" i="25"/>
  <c r="C264" i="25"/>
  <c r="B264" i="25"/>
  <c r="G263" i="25"/>
  <c r="F263" i="25"/>
  <c r="E263" i="25"/>
  <c r="D263" i="25"/>
  <c r="C263" i="25"/>
  <c r="B263" i="25"/>
  <c r="G262" i="25"/>
  <c r="F262" i="25"/>
  <c r="E262" i="25"/>
  <c r="D262" i="25"/>
  <c r="C262" i="25"/>
  <c r="B262" i="25"/>
  <c r="G261" i="25"/>
  <c r="F261" i="25"/>
  <c r="E261" i="25"/>
  <c r="D261" i="25"/>
  <c r="C261" i="25"/>
  <c r="B261" i="25"/>
  <c r="G260" i="25"/>
  <c r="F260" i="25"/>
  <c r="E260" i="25"/>
  <c r="D260" i="25"/>
  <c r="C260" i="25"/>
  <c r="B260" i="25"/>
  <c r="G259" i="25"/>
  <c r="F259" i="25"/>
  <c r="E259" i="25"/>
  <c r="D259" i="25"/>
  <c r="C259" i="25"/>
  <c r="B259" i="25"/>
  <c r="G258" i="25"/>
  <c r="F258" i="25"/>
  <c r="E258" i="25"/>
  <c r="D258" i="25"/>
  <c r="C258" i="25"/>
  <c r="B258" i="25"/>
  <c r="G257" i="25"/>
  <c r="F257" i="25"/>
  <c r="E257" i="25"/>
  <c r="D257" i="25"/>
  <c r="C257" i="25"/>
  <c r="B257" i="25"/>
  <c r="G256" i="25"/>
  <c r="F256" i="25"/>
  <c r="P12" i="2" s="1"/>
  <c r="E256" i="25"/>
  <c r="D256" i="25"/>
  <c r="C256" i="25"/>
  <c r="B256" i="25"/>
  <c r="G255" i="25"/>
  <c r="F255" i="25"/>
  <c r="E255" i="25"/>
  <c r="D255" i="25"/>
  <c r="C255" i="25"/>
  <c r="B255" i="25"/>
  <c r="G254" i="25"/>
  <c r="F254" i="25"/>
  <c r="E254" i="25"/>
  <c r="D254" i="25"/>
  <c r="C254" i="25"/>
  <c r="B254" i="25"/>
  <c r="G253" i="25"/>
  <c r="F253" i="25"/>
  <c r="E253" i="25"/>
  <c r="D253" i="25"/>
  <c r="C253" i="25"/>
  <c r="B253" i="25"/>
  <c r="G252" i="25"/>
  <c r="F252" i="25"/>
  <c r="E252" i="25"/>
  <c r="D252" i="25"/>
  <c r="C252" i="25"/>
  <c r="B252" i="25"/>
  <c r="G251" i="25"/>
  <c r="F251" i="25"/>
  <c r="E251" i="25"/>
  <c r="D251" i="25"/>
  <c r="C251" i="25"/>
  <c r="B251" i="25"/>
  <c r="G250" i="25"/>
  <c r="F250" i="25"/>
  <c r="E250" i="25"/>
  <c r="D250" i="25"/>
  <c r="C250" i="25"/>
  <c r="B250" i="25"/>
  <c r="G249" i="25"/>
  <c r="F249" i="25"/>
  <c r="E249" i="25"/>
  <c r="D249" i="25"/>
  <c r="C249" i="25"/>
  <c r="B249" i="25"/>
  <c r="G248" i="25"/>
  <c r="F248" i="25"/>
  <c r="E248" i="25"/>
  <c r="D248" i="25"/>
  <c r="C248" i="25"/>
  <c r="B248" i="25"/>
  <c r="G247" i="25"/>
  <c r="F247" i="25"/>
  <c r="E247" i="25"/>
  <c r="D247" i="25"/>
  <c r="C247" i="25"/>
  <c r="B247" i="25"/>
  <c r="G246" i="25"/>
  <c r="F246" i="25"/>
  <c r="E246" i="25"/>
  <c r="D246" i="25"/>
  <c r="C246" i="25"/>
  <c r="B246" i="25"/>
  <c r="G245" i="25"/>
  <c r="F245" i="25"/>
  <c r="E245" i="25"/>
  <c r="D245" i="25"/>
  <c r="C245" i="25"/>
  <c r="B245" i="25"/>
  <c r="G244" i="25"/>
  <c r="F244" i="25"/>
  <c r="E244" i="25"/>
  <c r="D244" i="25"/>
  <c r="C244" i="25"/>
  <c r="B244" i="25"/>
  <c r="G243" i="25"/>
  <c r="F243" i="25"/>
  <c r="E243" i="25"/>
  <c r="D243" i="25"/>
  <c r="C243" i="25"/>
  <c r="B243" i="25"/>
  <c r="G242" i="25"/>
  <c r="F242" i="25"/>
  <c r="E242" i="25"/>
  <c r="D242" i="25"/>
  <c r="C242" i="25"/>
  <c r="B242" i="25"/>
  <c r="G241" i="25"/>
  <c r="F241" i="25"/>
  <c r="E241" i="25"/>
  <c r="D241" i="25"/>
  <c r="C241" i="25"/>
  <c r="B241" i="25"/>
  <c r="G240" i="25"/>
  <c r="F240" i="25"/>
  <c r="E240" i="25"/>
  <c r="D240" i="25"/>
  <c r="C240" i="25"/>
  <c r="B240" i="25"/>
  <c r="G239" i="25"/>
  <c r="F239" i="25"/>
  <c r="E239" i="25"/>
  <c r="D239" i="25"/>
  <c r="C239" i="25"/>
  <c r="B239" i="25"/>
  <c r="G238" i="25"/>
  <c r="F238" i="25"/>
  <c r="E238" i="25"/>
  <c r="D238" i="25"/>
  <c r="C238" i="25"/>
  <c r="B238" i="25"/>
  <c r="G237" i="25"/>
  <c r="F237" i="25"/>
  <c r="E237" i="25"/>
  <c r="D237" i="25"/>
  <c r="C237" i="25"/>
  <c r="B237" i="25"/>
  <c r="G236" i="25"/>
  <c r="F236" i="25"/>
  <c r="E236" i="25"/>
  <c r="D236" i="25"/>
  <c r="C236" i="25"/>
  <c r="B236" i="25"/>
  <c r="G235" i="25"/>
  <c r="F235" i="25"/>
  <c r="E235" i="25"/>
  <c r="D235" i="25"/>
  <c r="C235" i="25"/>
  <c r="B235" i="25"/>
  <c r="G234" i="25"/>
  <c r="F234" i="25"/>
  <c r="E234" i="25"/>
  <c r="D234" i="25"/>
  <c r="C234" i="25"/>
  <c r="B234" i="25"/>
  <c r="G233" i="25"/>
  <c r="F233" i="25"/>
  <c r="E233" i="25"/>
  <c r="D233" i="25"/>
  <c r="C233" i="25"/>
  <c r="B233" i="25"/>
  <c r="G232" i="25"/>
  <c r="F232" i="25"/>
  <c r="E232" i="25"/>
  <c r="D232" i="25"/>
  <c r="C232" i="25"/>
  <c r="B232" i="25"/>
  <c r="G231" i="25"/>
  <c r="F231" i="25"/>
  <c r="E231" i="25"/>
  <c r="D231" i="25"/>
  <c r="C231" i="25"/>
  <c r="B231" i="25"/>
  <c r="G230" i="25"/>
  <c r="F230" i="25"/>
  <c r="E230" i="25"/>
  <c r="D230" i="25"/>
  <c r="C230" i="25"/>
  <c r="B230" i="25"/>
  <c r="G229" i="25"/>
  <c r="F229" i="25"/>
  <c r="E229" i="25"/>
  <c r="D229" i="25"/>
  <c r="C229" i="25"/>
  <c r="B229" i="25"/>
  <c r="G228" i="25"/>
  <c r="F228" i="25"/>
  <c r="E228" i="25"/>
  <c r="D228" i="25"/>
  <c r="C228" i="25"/>
  <c r="B228" i="25"/>
  <c r="G227" i="25"/>
  <c r="F227" i="25"/>
  <c r="E227" i="25"/>
  <c r="D227" i="25"/>
  <c r="C227" i="25"/>
  <c r="B227" i="25"/>
  <c r="G226" i="25"/>
  <c r="F226" i="25"/>
  <c r="E226" i="25"/>
  <c r="D226" i="25"/>
  <c r="C226" i="25"/>
  <c r="B226" i="25"/>
  <c r="G225" i="25"/>
  <c r="F225" i="25"/>
  <c r="E225" i="25"/>
  <c r="D225" i="25"/>
  <c r="C225" i="25"/>
  <c r="B225" i="25"/>
  <c r="G224" i="25"/>
  <c r="F224" i="25"/>
  <c r="E224" i="25"/>
  <c r="D224" i="25"/>
  <c r="C224" i="25"/>
  <c r="B224" i="25"/>
  <c r="G223" i="25"/>
  <c r="F223" i="25"/>
  <c r="E223" i="25"/>
  <c r="D223" i="25"/>
  <c r="C223" i="25"/>
  <c r="B223" i="25"/>
  <c r="G222" i="25"/>
  <c r="F222" i="25"/>
  <c r="E222" i="25"/>
  <c r="D222" i="25"/>
  <c r="C222" i="25"/>
  <c r="B222" i="25"/>
  <c r="G221" i="25"/>
  <c r="F221" i="25"/>
  <c r="E221" i="25"/>
  <c r="D221" i="25"/>
  <c r="C221" i="25"/>
  <c r="B221" i="25"/>
  <c r="G220" i="25"/>
  <c r="F220" i="25"/>
  <c r="E220" i="25"/>
  <c r="D220" i="25"/>
  <c r="C220" i="25"/>
  <c r="B220" i="25"/>
  <c r="G219" i="25"/>
  <c r="F219" i="25"/>
  <c r="E219" i="25"/>
  <c r="D219" i="25"/>
  <c r="C219" i="25"/>
  <c r="B219" i="25"/>
  <c r="G218" i="25"/>
  <c r="F218" i="25"/>
  <c r="E218" i="25"/>
  <c r="D218" i="25"/>
  <c r="C218" i="25"/>
  <c r="B218" i="25"/>
  <c r="G217" i="25"/>
  <c r="F217" i="25"/>
  <c r="E217" i="25"/>
  <c r="D217" i="25"/>
  <c r="C217" i="25"/>
  <c r="B217" i="25"/>
  <c r="G216" i="25"/>
  <c r="F216" i="25"/>
  <c r="E216" i="25"/>
  <c r="D216" i="25"/>
  <c r="C216" i="25"/>
  <c r="B216" i="25"/>
  <c r="G215" i="25"/>
  <c r="F215" i="25"/>
  <c r="E215" i="25"/>
  <c r="D215" i="25"/>
  <c r="C215" i="25"/>
  <c r="B215" i="25"/>
  <c r="G214" i="25"/>
  <c r="F214" i="25"/>
  <c r="E214" i="25"/>
  <c r="D214" i="25"/>
  <c r="C214" i="25"/>
  <c r="B214" i="25"/>
  <c r="G213" i="25"/>
  <c r="F213" i="25"/>
  <c r="E213" i="25"/>
  <c r="D213" i="25"/>
  <c r="C213" i="25"/>
  <c r="B213" i="25"/>
  <c r="G212" i="25"/>
  <c r="F212" i="25"/>
  <c r="E212" i="25"/>
  <c r="D212" i="25"/>
  <c r="C212" i="25"/>
  <c r="B212" i="25"/>
  <c r="G211" i="25"/>
  <c r="F211" i="25"/>
  <c r="E211" i="25"/>
  <c r="D211" i="25"/>
  <c r="C211" i="25"/>
  <c r="B211" i="25"/>
  <c r="G210" i="25"/>
  <c r="F210" i="25"/>
  <c r="E210" i="25"/>
  <c r="D210" i="25"/>
  <c r="C210" i="25"/>
  <c r="B210" i="25"/>
  <c r="G209" i="25"/>
  <c r="F209" i="25"/>
  <c r="E209" i="25"/>
  <c r="D209" i="25"/>
  <c r="C209" i="25"/>
  <c r="B209" i="25"/>
  <c r="G208" i="25"/>
  <c r="F208" i="25"/>
  <c r="E208" i="25"/>
  <c r="D208" i="25"/>
  <c r="C208" i="25"/>
  <c r="B208" i="25"/>
  <c r="G207" i="25"/>
  <c r="F207" i="25"/>
  <c r="E207" i="25"/>
  <c r="D207" i="25"/>
  <c r="C207" i="25"/>
  <c r="B207" i="25"/>
  <c r="G206" i="25"/>
  <c r="F206" i="25"/>
  <c r="E206" i="25"/>
  <c r="D206" i="25"/>
  <c r="C206" i="25"/>
  <c r="B206" i="25"/>
  <c r="G205" i="25"/>
  <c r="F205" i="25"/>
  <c r="E205" i="25"/>
  <c r="D205" i="25"/>
  <c r="C205" i="25"/>
  <c r="B205" i="25"/>
  <c r="G204" i="25"/>
  <c r="F204" i="25"/>
  <c r="E204" i="25"/>
  <c r="D204" i="25"/>
  <c r="C204" i="25"/>
  <c r="B204" i="25"/>
  <c r="G203" i="25"/>
  <c r="F203" i="25"/>
  <c r="E203" i="25"/>
  <c r="D203" i="25"/>
  <c r="C203" i="25"/>
  <c r="B203" i="25"/>
  <c r="G202" i="25"/>
  <c r="F202" i="25"/>
  <c r="E202" i="25"/>
  <c r="D202" i="25"/>
  <c r="C202" i="25"/>
  <c r="B202" i="25"/>
  <c r="G201" i="25"/>
  <c r="F201" i="25"/>
  <c r="E201" i="25"/>
  <c r="D201" i="25"/>
  <c r="C201" i="25"/>
  <c r="B201" i="25"/>
  <c r="G200" i="25"/>
  <c r="F200" i="25"/>
  <c r="E200" i="25"/>
  <c r="D200" i="25"/>
  <c r="C200" i="25"/>
  <c r="B200" i="25"/>
  <c r="G199" i="25"/>
  <c r="F199" i="25"/>
  <c r="E199" i="25"/>
  <c r="D199" i="25"/>
  <c r="C199" i="25"/>
  <c r="B199" i="25"/>
  <c r="G198" i="25"/>
  <c r="F198" i="25"/>
  <c r="E198" i="25"/>
  <c r="D198" i="25"/>
  <c r="C198" i="25"/>
  <c r="B198" i="25"/>
  <c r="G197" i="25"/>
  <c r="F197" i="25"/>
  <c r="E197" i="25"/>
  <c r="D197" i="25"/>
  <c r="C197" i="25"/>
  <c r="B197" i="25"/>
  <c r="G196" i="25"/>
  <c r="F196" i="25"/>
  <c r="E196" i="25"/>
  <c r="D196" i="25"/>
  <c r="C196" i="25"/>
  <c r="B196" i="25"/>
  <c r="G195" i="25"/>
  <c r="F195" i="25"/>
  <c r="E195" i="25"/>
  <c r="D195" i="25"/>
  <c r="C195" i="25"/>
  <c r="B195" i="25"/>
  <c r="G194" i="25"/>
  <c r="F194" i="25"/>
  <c r="E194" i="25"/>
  <c r="D194" i="25"/>
  <c r="C194" i="25"/>
  <c r="B194" i="25"/>
  <c r="G193" i="25"/>
  <c r="F193" i="25"/>
  <c r="E193" i="25"/>
  <c r="D193" i="25"/>
  <c r="C193" i="25"/>
  <c r="B193" i="25"/>
  <c r="G192" i="25"/>
  <c r="F192" i="25"/>
  <c r="E192" i="25"/>
  <c r="D192" i="25"/>
  <c r="C192" i="25"/>
  <c r="B192" i="25"/>
  <c r="G191" i="25"/>
  <c r="F191" i="25"/>
  <c r="E191" i="25"/>
  <c r="D191" i="25"/>
  <c r="C191" i="25"/>
  <c r="B191" i="25"/>
  <c r="G190" i="25"/>
  <c r="F190" i="25"/>
  <c r="E190" i="25"/>
  <c r="D190" i="25"/>
  <c r="C190" i="25"/>
  <c r="B190" i="25"/>
  <c r="G189" i="25"/>
  <c r="F189" i="25"/>
  <c r="E189" i="25"/>
  <c r="D189" i="25"/>
  <c r="C189" i="25"/>
  <c r="B189" i="25"/>
  <c r="G188" i="25"/>
  <c r="F188" i="25"/>
  <c r="E188" i="25"/>
  <c r="D188" i="25"/>
  <c r="C188" i="25"/>
  <c r="B188" i="25"/>
  <c r="G187" i="25"/>
  <c r="F187" i="25"/>
  <c r="E187" i="25"/>
  <c r="D187" i="25"/>
  <c r="C187" i="25"/>
  <c r="B187" i="25"/>
  <c r="G186" i="25"/>
  <c r="F186" i="25"/>
  <c r="E186" i="25"/>
  <c r="D186" i="25"/>
  <c r="C186" i="25"/>
  <c r="B186" i="25"/>
  <c r="G185" i="25"/>
  <c r="F185" i="25"/>
  <c r="E185" i="25"/>
  <c r="D185" i="25"/>
  <c r="C185" i="25"/>
  <c r="B185" i="25"/>
  <c r="G184" i="25"/>
  <c r="F184" i="25"/>
  <c r="E184" i="25"/>
  <c r="D184" i="25"/>
  <c r="C184" i="25"/>
  <c r="B184" i="25"/>
  <c r="G183" i="25"/>
  <c r="F183" i="25"/>
  <c r="E183" i="25"/>
  <c r="D183" i="25"/>
  <c r="C183" i="25"/>
  <c r="B183" i="25"/>
  <c r="G182" i="25"/>
  <c r="F182" i="25"/>
  <c r="E182" i="25"/>
  <c r="D182" i="25"/>
  <c r="C182" i="25"/>
  <c r="B182" i="25"/>
  <c r="G181" i="25"/>
  <c r="F181" i="25"/>
  <c r="E181" i="25"/>
  <c r="D181" i="25"/>
  <c r="C181" i="25"/>
  <c r="B181" i="25"/>
  <c r="G180" i="25"/>
  <c r="F180" i="25"/>
  <c r="E180" i="25"/>
  <c r="D180" i="25"/>
  <c r="C180" i="25"/>
  <c r="B180" i="25"/>
  <c r="G179" i="25"/>
  <c r="F179" i="25"/>
  <c r="E179" i="25"/>
  <c r="D179" i="25"/>
  <c r="C179" i="25"/>
  <c r="B179" i="25"/>
  <c r="G178" i="25"/>
  <c r="F178" i="25"/>
  <c r="E178" i="25"/>
  <c r="D178" i="25"/>
  <c r="C178" i="25"/>
  <c r="B178" i="25"/>
  <c r="G177" i="25"/>
  <c r="F177" i="25"/>
  <c r="E177" i="25"/>
  <c r="D177" i="25"/>
  <c r="C177" i="25"/>
  <c r="B177" i="25"/>
  <c r="G176" i="25"/>
  <c r="F176" i="25"/>
  <c r="E176" i="25"/>
  <c r="D176" i="25"/>
  <c r="C176" i="25"/>
  <c r="B176" i="25"/>
  <c r="G175" i="25"/>
  <c r="F175" i="25"/>
  <c r="E175" i="25"/>
  <c r="D175" i="25"/>
  <c r="C175" i="25"/>
  <c r="B175" i="25"/>
  <c r="G174" i="25"/>
  <c r="F174" i="25"/>
  <c r="E174" i="25"/>
  <c r="D174" i="25"/>
  <c r="C174" i="25"/>
  <c r="B174" i="25"/>
  <c r="G173" i="25"/>
  <c r="F173" i="25"/>
  <c r="E173" i="25"/>
  <c r="D173" i="25"/>
  <c r="C173" i="25"/>
  <c r="B173" i="25"/>
  <c r="G172" i="25"/>
  <c r="F172" i="25"/>
  <c r="E172" i="25"/>
  <c r="D172" i="25"/>
  <c r="C172" i="25"/>
  <c r="B172" i="25"/>
  <c r="G171" i="25"/>
  <c r="F171" i="25"/>
  <c r="E171" i="25"/>
  <c r="D171" i="25"/>
  <c r="C171" i="25"/>
  <c r="B171" i="25"/>
  <c r="G170" i="25"/>
  <c r="F170" i="25"/>
  <c r="E170" i="25"/>
  <c r="D170" i="25"/>
  <c r="C170" i="25"/>
  <c r="B170" i="25"/>
  <c r="G169" i="25"/>
  <c r="F169" i="25"/>
  <c r="E169" i="25"/>
  <c r="D169" i="25"/>
  <c r="C169" i="25"/>
  <c r="B169" i="25"/>
  <c r="G168" i="25"/>
  <c r="F168" i="25"/>
  <c r="E168" i="25"/>
  <c r="D168" i="25"/>
  <c r="C168" i="25"/>
  <c r="B168" i="25"/>
  <c r="G167" i="25"/>
  <c r="F167" i="25"/>
  <c r="E167" i="25"/>
  <c r="D167" i="25"/>
  <c r="C167" i="25"/>
  <c r="B167" i="25"/>
  <c r="G166" i="25"/>
  <c r="F166" i="25"/>
  <c r="E166" i="25"/>
  <c r="D166" i="25"/>
  <c r="C166" i="25"/>
  <c r="B166" i="25"/>
  <c r="G165" i="25"/>
  <c r="F165" i="25"/>
  <c r="E165" i="25"/>
  <c r="D165" i="25"/>
  <c r="C165" i="25"/>
  <c r="B165" i="25"/>
  <c r="G164" i="25"/>
  <c r="F164" i="25"/>
  <c r="E164" i="25"/>
  <c r="D164" i="25"/>
  <c r="C164" i="25"/>
  <c r="B164" i="25"/>
  <c r="G163" i="25"/>
  <c r="F163" i="25"/>
  <c r="E163" i="25"/>
  <c r="D163" i="25"/>
  <c r="C163" i="25"/>
  <c r="B163" i="25"/>
  <c r="G162" i="25"/>
  <c r="F162" i="25"/>
  <c r="E162" i="25"/>
  <c r="D162" i="25"/>
  <c r="C162" i="25"/>
  <c r="B162" i="25"/>
  <c r="G161" i="25"/>
  <c r="F161" i="25"/>
  <c r="E161" i="25"/>
  <c r="D161" i="25"/>
  <c r="C161" i="25"/>
  <c r="B161" i="25"/>
  <c r="G160" i="25"/>
  <c r="F160" i="25"/>
  <c r="E160" i="25"/>
  <c r="D160" i="25"/>
  <c r="C160" i="25"/>
  <c r="B160" i="25"/>
  <c r="G159" i="25"/>
  <c r="F159" i="25"/>
  <c r="E159" i="25"/>
  <c r="D159" i="25"/>
  <c r="C159" i="25"/>
  <c r="B159" i="25"/>
  <c r="G158" i="25"/>
  <c r="F158" i="25"/>
  <c r="E158" i="25"/>
  <c r="D158" i="25"/>
  <c r="C158" i="25"/>
  <c r="B158" i="25"/>
  <c r="G157" i="25"/>
  <c r="F157" i="25"/>
  <c r="E157" i="25"/>
  <c r="D157" i="25"/>
  <c r="C157" i="25"/>
  <c r="B157" i="25"/>
  <c r="G156" i="25"/>
  <c r="F156" i="25"/>
  <c r="E156" i="25"/>
  <c r="D156" i="25"/>
  <c r="C156" i="25"/>
  <c r="B156" i="25"/>
  <c r="G155" i="25"/>
  <c r="F155" i="25"/>
  <c r="E155" i="25"/>
  <c r="D155" i="25"/>
  <c r="C155" i="25"/>
  <c r="B155" i="25"/>
  <c r="G154" i="25"/>
  <c r="F154" i="25"/>
  <c r="E154" i="25"/>
  <c r="D154" i="25"/>
  <c r="C154" i="25"/>
  <c r="B154" i="25"/>
  <c r="G153" i="25"/>
  <c r="F153" i="25"/>
  <c r="E153" i="25"/>
  <c r="D153" i="25"/>
  <c r="C153" i="25"/>
  <c r="B153" i="25"/>
  <c r="G152" i="25"/>
  <c r="F152" i="25"/>
  <c r="E152" i="25"/>
  <c r="D152" i="25"/>
  <c r="C152" i="25"/>
  <c r="B152" i="25"/>
  <c r="G151" i="25"/>
  <c r="F151" i="25"/>
  <c r="E151" i="25"/>
  <c r="D151" i="25"/>
  <c r="C151" i="25"/>
  <c r="B151" i="25"/>
  <c r="G150" i="25"/>
  <c r="F150" i="25"/>
  <c r="E150" i="25"/>
  <c r="D150" i="25"/>
  <c r="C150" i="25"/>
  <c r="B150" i="25"/>
  <c r="G149" i="25"/>
  <c r="F149" i="25"/>
  <c r="E149" i="25"/>
  <c r="D149" i="25"/>
  <c r="C149" i="25"/>
  <c r="B149" i="25"/>
  <c r="G148" i="25"/>
  <c r="F148" i="25"/>
  <c r="E148" i="25"/>
  <c r="D148" i="25"/>
  <c r="C148" i="25"/>
  <c r="B148" i="25"/>
  <c r="G147" i="25"/>
  <c r="F147" i="25"/>
  <c r="E147" i="25"/>
  <c r="D147" i="25"/>
  <c r="C147" i="25"/>
  <c r="B147" i="25"/>
  <c r="G146" i="25"/>
  <c r="F146" i="25"/>
  <c r="E146" i="25"/>
  <c r="D146" i="25"/>
  <c r="C146" i="25"/>
  <c r="B146" i="25"/>
  <c r="G145" i="25"/>
  <c r="F145" i="25"/>
  <c r="E145" i="25"/>
  <c r="D145" i="25"/>
  <c r="C145" i="25"/>
  <c r="B145" i="25"/>
  <c r="G144" i="25"/>
  <c r="F144" i="25"/>
  <c r="E144" i="25"/>
  <c r="D144" i="25"/>
  <c r="C144" i="25"/>
  <c r="B144" i="25"/>
  <c r="G143" i="25"/>
  <c r="F143" i="25"/>
  <c r="E143" i="25"/>
  <c r="D143" i="25"/>
  <c r="C143" i="25"/>
  <c r="B143" i="25"/>
  <c r="G142" i="25"/>
  <c r="F142" i="25"/>
  <c r="E142" i="25"/>
  <c r="D142" i="25"/>
  <c r="C142" i="25"/>
  <c r="B142" i="25"/>
  <c r="G141" i="25"/>
  <c r="F141" i="25"/>
  <c r="E141" i="25"/>
  <c r="D141" i="25"/>
  <c r="C141" i="25"/>
  <c r="B141" i="25"/>
  <c r="G140" i="25"/>
  <c r="F140" i="25"/>
  <c r="E140" i="25"/>
  <c r="D140" i="25"/>
  <c r="C140" i="25"/>
  <c r="B140" i="25"/>
  <c r="G139" i="25"/>
  <c r="F139" i="25"/>
  <c r="E139" i="25"/>
  <c r="D139" i="25"/>
  <c r="C139" i="25"/>
  <c r="B139" i="25"/>
  <c r="G138" i="25"/>
  <c r="F138" i="25"/>
  <c r="E138" i="25"/>
  <c r="D138" i="25"/>
  <c r="C138" i="25"/>
  <c r="B138" i="25"/>
  <c r="G137" i="25"/>
  <c r="F137" i="25"/>
  <c r="E137" i="25"/>
  <c r="D137" i="25"/>
  <c r="C137" i="25"/>
  <c r="B137" i="25"/>
  <c r="G136" i="25"/>
  <c r="F136" i="25"/>
  <c r="E136" i="25"/>
  <c r="D136" i="25"/>
  <c r="C136" i="25"/>
  <c r="B136" i="25"/>
  <c r="G135" i="25"/>
  <c r="F135" i="25"/>
  <c r="E135" i="25"/>
  <c r="D135" i="25"/>
  <c r="C135" i="25"/>
  <c r="B135" i="25"/>
  <c r="G134" i="25"/>
  <c r="F134" i="25"/>
  <c r="E134" i="25"/>
  <c r="D134" i="25"/>
  <c r="C134" i="25"/>
  <c r="B134" i="25"/>
  <c r="G133" i="25"/>
  <c r="F133" i="25"/>
  <c r="E133" i="25"/>
  <c r="D133" i="25"/>
  <c r="C133" i="25"/>
  <c r="B133" i="25"/>
  <c r="G132" i="25"/>
  <c r="F132" i="25"/>
  <c r="E132" i="25"/>
  <c r="D132" i="25"/>
  <c r="C132" i="25"/>
  <c r="B132" i="25"/>
  <c r="G131" i="25"/>
  <c r="F131" i="25"/>
  <c r="E131" i="25"/>
  <c r="D131" i="25"/>
  <c r="C131" i="25"/>
  <c r="B131" i="25"/>
  <c r="G130" i="25"/>
  <c r="F130" i="25"/>
  <c r="E130" i="25"/>
  <c r="D130" i="25"/>
  <c r="C130" i="25"/>
  <c r="B130" i="25"/>
  <c r="G129" i="25"/>
  <c r="F129" i="25"/>
  <c r="E129" i="25"/>
  <c r="D129" i="25"/>
  <c r="C129" i="25"/>
  <c r="B129" i="25"/>
  <c r="G128" i="25"/>
  <c r="F128" i="25"/>
  <c r="E128" i="25"/>
  <c r="D128" i="25"/>
  <c r="C128" i="25"/>
  <c r="B128" i="25"/>
  <c r="G127" i="25"/>
  <c r="F127" i="25"/>
  <c r="E127" i="25"/>
  <c r="D127" i="25"/>
  <c r="C127" i="25"/>
  <c r="B127" i="25"/>
  <c r="G126" i="25"/>
  <c r="F126" i="25"/>
  <c r="E126" i="25"/>
  <c r="D126" i="25"/>
  <c r="C126" i="25"/>
  <c r="B126" i="25"/>
  <c r="G125" i="25"/>
  <c r="F125" i="25"/>
  <c r="E125" i="25"/>
  <c r="D125" i="25"/>
  <c r="C125" i="25"/>
  <c r="B125" i="25"/>
  <c r="G124" i="25"/>
  <c r="F124" i="25"/>
  <c r="E124" i="25"/>
  <c r="D124" i="25"/>
  <c r="C124" i="25"/>
  <c r="B124" i="25"/>
  <c r="G123" i="25"/>
  <c r="F123" i="25"/>
  <c r="E123" i="25"/>
  <c r="D123" i="25"/>
  <c r="C123" i="25"/>
  <c r="B123" i="25"/>
  <c r="G122" i="25"/>
  <c r="F122" i="25"/>
  <c r="E122" i="25"/>
  <c r="D122" i="25"/>
  <c r="C122" i="25"/>
  <c r="B122" i="25"/>
  <c r="G121" i="25"/>
  <c r="F121" i="25"/>
  <c r="E121" i="25"/>
  <c r="D121" i="25"/>
  <c r="C121" i="25"/>
  <c r="B121" i="25"/>
  <c r="G120" i="25"/>
  <c r="F120" i="25"/>
  <c r="E120" i="25"/>
  <c r="D120" i="25"/>
  <c r="C120" i="25"/>
  <c r="B120" i="25"/>
  <c r="G119" i="25"/>
  <c r="F119" i="25"/>
  <c r="E119" i="25"/>
  <c r="D119" i="25"/>
  <c r="C119" i="25"/>
  <c r="B119" i="25"/>
  <c r="G118" i="25"/>
  <c r="F118" i="25"/>
  <c r="E118" i="25"/>
  <c r="D118" i="25"/>
  <c r="C118" i="25"/>
  <c r="B118" i="25"/>
  <c r="G117" i="25"/>
  <c r="F117" i="25"/>
  <c r="E117" i="25"/>
  <c r="D117" i="25"/>
  <c r="C117" i="25"/>
  <c r="B117" i="25"/>
  <c r="G116" i="25"/>
  <c r="F116" i="25"/>
  <c r="E116" i="25"/>
  <c r="D116" i="25"/>
  <c r="C116" i="25"/>
  <c r="B116" i="25"/>
  <c r="G115" i="25"/>
  <c r="F115" i="25"/>
  <c r="E115" i="25"/>
  <c r="D115" i="25"/>
  <c r="C115" i="25"/>
  <c r="B115" i="25"/>
  <c r="G114" i="25"/>
  <c r="F114" i="25"/>
  <c r="E114" i="25"/>
  <c r="D114" i="25"/>
  <c r="C114" i="25"/>
  <c r="B114" i="25"/>
  <c r="G113" i="25"/>
  <c r="F113" i="25"/>
  <c r="E113" i="25"/>
  <c r="D113" i="25"/>
  <c r="C113" i="25"/>
  <c r="B113" i="25"/>
  <c r="G112" i="25"/>
  <c r="F112" i="25"/>
  <c r="E112" i="25"/>
  <c r="D112" i="25"/>
  <c r="C112" i="25"/>
  <c r="B112" i="25"/>
  <c r="G111" i="25"/>
  <c r="F111" i="25"/>
  <c r="E111" i="25"/>
  <c r="D111" i="25"/>
  <c r="C111" i="25"/>
  <c r="B111" i="25"/>
  <c r="G110" i="25"/>
  <c r="F110" i="25"/>
  <c r="E110" i="25"/>
  <c r="D110" i="25"/>
  <c r="C110" i="25"/>
  <c r="B110" i="25"/>
  <c r="G109" i="25"/>
  <c r="F109" i="25"/>
  <c r="E109" i="25"/>
  <c r="D109" i="25"/>
  <c r="C109" i="25"/>
  <c r="B109" i="25"/>
  <c r="G108" i="25"/>
  <c r="F108" i="25"/>
  <c r="E108" i="25"/>
  <c r="D108" i="25"/>
  <c r="C108" i="25"/>
  <c r="B108" i="25"/>
  <c r="G107" i="25"/>
  <c r="F107" i="25"/>
  <c r="E107" i="25"/>
  <c r="D107" i="25"/>
  <c r="C107" i="25"/>
  <c r="B107" i="25"/>
  <c r="G106" i="25"/>
  <c r="F106" i="25"/>
  <c r="E106" i="25"/>
  <c r="D106" i="25"/>
  <c r="C106" i="25"/>
  <c r="B106" i="25"/>
  <c r="G105" i="25"/>
  <c r="F105" i="25"/>
  <c r="E105" i="25"/>
  <c r="D105" i="25"/>
  <c r="C105" i="25"/>
  <c r="B105" i="25"/>
  <c r="G104" i="25"/>
  <c r="F104" i="25"/>
  <c r="E104" i="25"/>
  <c r="D104" i="25"/>
  <c r="C104" i="25"/>
  <c r="B104" i="25"/>
  <c r="G103" i="25"/>
  <c r="F103" i="25"/>
  <c r="E103" i="25"/>
  <c r="D103" i="25"/>
  <c r="C103" i="25"/>
  <c r="B103" i="25"/>
  <c r="G102" i="25"/>
  <c r="F102" i="25"/>
  <c r="E102" i="25"/>
  <c r="D102" i="25"/>
  <c r="C102" i="25"/>
  <c r="B102" i="25"/>
  <c r="G101" i="25"/>
  <c r="F101" i="25"/>
  <c r="E101" i="25"/>
  <c r="D101" i="25"/>
  <c r="C101" i="25"/>
  <c r="B101" i="25"/>
  <c r="G100" i="25"/>
  <c r="F100" i="25"/>
  <c r="E100" i="25"/>
  <c r="D100" i="25"/>
  <c r="C100" i="25"/>
  <c r="B100" i="25"/>
  <c r="G99" i="25"/>
  <c r="F99" i="25"/>
  <c r="E99" i="25"/>
  <c r="D99" i="25"/>
  <c r="C99" i="25"/>
  <c r="B99" i="25"/>
  <c r="G98" i="25"/>
  <c r="F98" i="25"/>
  <c r="E98" i="25"/>
  <c r="D98" i="25"/>
  <c r="C98" i="25"/>
  <c r="B98" i="25"/>
  <c r="G97" i="25"/>
  <c r="F97" i="25"/>
  <c r="E97" i="25"/>
  <c r="D97" i="25"/>
  <c r="C97" i="25"/>
  <c r="B97" i="25"/>
  <c r="G96" i="25"/>
  <c r="F96" i="25"/>
  <c r="E96" i="25"/>
  <c r="D96" i="25"/>
  <c r="C96" i="25"/>
  <c r="B96" i="25"/>
  <c r="G95" i="25"/>
  <c r="F95" i="25"/>
  <c r="E95" i="25"/>
  <c r="D95" i="25"/>
  <c r="C95" i="25"/>
  <c r="B95" i="25"/>
  <c r="G94" i="25"/>
  <c r="F94" i="25"/>
  <c r="E94" i="25"/>
  <c r="D94" i="25"/>
  <c r="C94" i="25"/>
  <c r="B94" i="25"/>
  <c r="G93" i="25"/>
  <c r="F93" i="25"/>
  <c r="E93" i="25"/>
  <c r="D93" i="25"/>
  <c r="C93" i="25"/>
  <c r="B93" i="25"/>
  <c r="G92" i="25"/>
  <c r="F92" i="25"/>
  <c r="E92" i="25"/>
  <c r="D92" i="25"/>
  <c r="C92" i="25"/>
  <c r="B92" i="25"/>
  <c r="G91" i="25"/>
  <c r="F91" i="25"/>
  <c r="E91" i="25"/>
  <c r="D91" i="25"/>
  <c r="C91" i="25"/>
  <c r="B91" i="25"/>
  <c r="G90" i="25"/>
  <c r="F90" i="25"/>
  <c r="E90" i="25"/>
  <c r="D90" i="25"/>
  <c r="C90" i="25"/>
  <c r="B90" i="25"/>
  <c r="G89" i="25"/>
  <c r="F89" i="25"/>
  <c r="E89" i="25"/>
  <c r="D89" i="25"/>
  <c r="C89" i="25"/>
  <c r="B89" i="25"/>
  <c r="G88" i="25"/>
  <c r="F88" i="25"/>
  <c r="E88" i="25"/>
  <c r="D88" i="25"/>
  <c r="C88" i="25"/>
  <c r="B88" i="25"/>
  <c r="G87" i="25"/>
  <c r="F87" i="25"/>
  <c r="E87" i="25"/>
  <c r="D87" i="25"/>
  <c r="C87" i="25"/>
  <c r="B87" i="25"/>
  <c r="G86" i="25"/>
  <c r="F86" i="25"/>
  <c r="E86" i="25"/>
  <c r="D86" i="25"/>
  <c r="C86" i="25"/>
  <c r="B86" i="25"/>
  <c r="G85" i="25"/>
  <c r="F85" i="25"/>
  <c r="E85" i="25"/>
  <c r="D85" i="25"/>
  <c r="C85" i="25"/>
  <c r="B85" i="25"/>
  <c r="G84" i="25"/>
  <c r="F84" i="25"/>
  <c r="E84" i="25"/>
  <c r="D84" i="25"/>
  <c r="C84" i="25"/>
  <c r="B84" i="25"/>
  <c r="G83" i="25"/>
  <c r="F83" i="25"/>
  <c r="E83" i="25"/>
  <c r="D83" i="25"/>
  <c r="C83" i="25"/>
  <c r="B83" i="25"/>
  <c r="G82" i="25"/>
  <c r="F82" i="25"/>
  <c r="E82" i="25"/>
  <c r="D82" i="25"/>
  <c r="C82" i="25"/>
  <c r="B82" i="25"/>
  <c r="G81" i="25"/>
  <c r="F81" i="25"/>
  <c r="E81" i="25"/>
  <c r="D81" i="25"/>
  <c r="C81" i="25"/>
  <c r="B81" i="25"/>
  <c r="G80" i="25"/>
  <c r="F80" i="25"/>
  <c r="E80" i="25"/>
  <c r="D80" i="25"/>
  <c r="C80" i="25"/>
  <c r="B80" i="25"/>
  <c r="G79" i="25"/>
  <c r="F79" i="25"/>
  <c r="E79" i="25"/>
  <c r="D79" i="25"/>
  <c r="C79" i="25"/>
  <c r="B79" i="25"/>
  <c r="G78" i="25"/>
  <c r="F78" i="25"/>
  <c r="E78" i="25"/>
  <c r="D78" i="25"/>
  <c r="C78" i="25"/>
  <c r="B78" i="25"/>
  <c r="G77" i="25"/>
  <c r="F77" i="25"/>
  <c r="E77" i="25"/>
  <c r="D77" i="25"/>
  <c r="C77" i="25"/>
  <c r="B77" i="25"/>
  <c r="G76" i="25"/>
  <c r="F76" i="25"/>
  <c r="E76" i="25"/>
  <c r="D76" i="25"/>
  <c r="C76" i="25"/>
  <c r="B76" i="25"/>
  <c r="G75" i="25"/>
  <c r="F75" i="25"/>
  <c r="E75" i="25"/>
  <c r="D75" i="25"/>
  <c r="C75" i="25"/>
  <c r="B75" i="25"/>
  <c r="G74" i="25"/>
  <c r="F74" i="25"/>
  <c r="E74" i="25"/>
  <c r="D74" i="25"/>
  <c r="C74" i="25"/>
  <c r="B74" i="25"/>
  <c r="G73" i="25"/>
  <c r="F73" i="25"/>
  <c r="E73" i="25"/>
  <c r="D73" i="25"/>
  <c r="C73" i="25"/>
  <c r="B73" i="25"/>
  <c r="G72" i="25"/>
  <c r="F72" i="25"/>
  <c r="E72" i="25"/>
  <c r="D72" i="25"/>
  <c r="C72" i="25"/>
  <c r="B72" i="25"/>
  <c r="G71" i="25"/>
  <c r="F71" i="25"/>
  <c r="E71" i="25"/>
  <c r="D71" i="25"/>
  <c r="C71" i="25"/>
  <c r="B71" i="25"/>
  <c r="G70" i="25"/>
  <c r="F70" i="25"/>
  <c r="E70" i="25"/>
  <c r="D70" i="25"/>
  <c r="C70" i="25"/>
  <c r="B70" i="25"/>
  <c r="G69" i="25"/>
  <c r="F69" i="25"/>
  <c r="E69" i="25"/>
  <c r="D69" i="25"/>
  <c r="C69" i="25"/>
  <c r="B69" i="25"/>
  <c r="G68" i="25"/>
  <c r="F68" i="25"/>
  <c r="E68" i="25"/>
  <c r="D68" i="25"/>
  <c r="C68" i="25"/>
  <c r="B68" i="25"/>
  <c r="G67" i="25"/>
  <c r="F67" i="25"/>
  <c r="E67" i="25"/>
  <c r="D67" i="25"/>
  <c r="C67" i="25"/>
  <c r="B67" i="25"/>
  <c r="G66" i="25"/>
  <c r="F66" i="25"/>
  <c r="E66" i="25"/>
  <c r="D66" i="25"/>
  <c r="C66" i="25"/>
  <c r="B66" i="25"/>
  <c r="G65" i="25"/>
  <c r="F65" i="25"/>
  <c r="E65" i="25"/>
  <c r="D65" i="25"/>
  <c r="C65" i="25"/>
  <c r="B65" i="25"/>
  <c r="G64" i="25"/>
  <c r="F64" i="25"/>
  <c r="E64" i="25"/>
  <c r="D64" i="25"/>
  <c r="C64" i="25"/>
  <c r="B64" i="25"/>
  <c r="G63" i="25"/>
  <c r="F63" i="25"/>
  <c r="E63" i="25"/>
  <c r="D63" i="25"/>
  <c r="C63" i="25"/>
  <c r="B63" i="25"/>
  <c r="G62" i="25"/>
  <c r="F62" i="25"/>
  <c r="E62" i="25"/>
  <c r="D62" i="25"/>
  <c r="C62" i="25"/>
  <c r="B62" i="25"/>
  <c r="G61" i="25"/>
  <c r="F61" i="25"/>
  <c r="E61" i="25"/>
  <c r="D61" i="25"/>
  <c r="C61" i="25"/>
  <c r="B61" i="25"/>
  <c r="G60" i="25"/>
  <c r="F60" i="25"/>
  <c r="E60" i="25"/>
  <c r="D60" i="25"/>
  <c r="C60" i="25"/>
  <c r="B60" i="25"/>
  <c r="G59" i="25"/>
  <c r="F59" i="25"/>
  <c r="E59" i="25"/>
  <c r="D59" i="25"/>
  <c r="C59" i="25"/>
  <c r="B59" i="25"/>
  <c r="G58" i="25"/>
  <c r="F58" i="25"/>
  <c r="E58" i="25"/>
  <c r="D58" i="25"/>
  <c r="C58" i="25"/>
  <c r="B58" i="25"/>
  <c r="G57" i="25"/>
  <c r="F57" i="25"/>
  <c r="E57" i="25"/>
  <c r="D57" i="25"/>
  <c r="C57" i="25"/>
  <c r="B57" i="25"/>
  <c r="G56" i="25"/>
  <c r="F56" i="25"/>
  <c r="E56" i="25"/>
  <c r="D56" i="25"/>
  <c r="C56" i="25"/>
  <c r="B56" i="25"/>
  <c r="G55" i="25"/>
  <c r="F55" i="25"/>
  <c r="E55" i="25"/>
  <c r="D55" i="25"/>
  <c r="C55" i="25"/>
  <c r="B55" i="25"/>
  <c r="G54" i="25"/>
  <c r="F54" i="25"/>
  <c r="E54" i="25"/>
  <c r="D54" i="25"/>
  <c r="C54" i="25"/>
  <c r="B54" i="25"/>
  <c r="G53" i="25"/>
  <c r="F53" i="25"/>
  <c r="E53" i="25"/>
  <c r="D53" i="25"/>
  <c r="C53" i="25"/>
  <c r="B53" i="25"/>
  <c r="G52" i="25"/>
  <c r="F52" i="25"/>
  <c r="E52" i="25"/>
  <c r="D52" i="25"/>
  <c r="C52" i="25"/>
  <c r="B52" i="25"/>
  <c r="G51" i="25"/>
  <c r="F51" i="25"/>
  <c r="E51" i="25"/>
  <c r="D51" i="25"/>
  <c r="C51" i="25"/>
  <c r="B51" i="25"/>
  <c r="G50" i="25"/>
  <c r="F50" i="25"/>
  <c r="E50" i="25"/>
  <c r="D50" i="25"/>
  <c r="C50" i="25"/>
  <c r="B50" i="25"/>
  <c r="G49" i="25"/>
  <c r="F49" i="25"/>
  <c r="E49" i="25"/>
  <c r="D49" i="25"/>
  <c r="C49" i="25"/>
  <c r="B49" i="25"/>
  <c r="G48" i="25"/>
  <c r="F48" i="25"/>
  <c r="E48" i="25"/>
  <c r="D48" i="25"/>
  <c r="C48" i="25"/>
  <c r="B48" i="25"/>
  <c r="G47" i="25"/>
  <c r="F47" i="25"/>
  <c r="E47" i="25"/>
  <c r="D47" i="25"/>
  <c r="C47" i="25"/>
  <c r="B47" i="25"/>
  <c r="G46" i="25"/>
  <c r="F46" i="25"/>
  <c r="E46" i="25"/>
  <c r="D46" i="25"/>
  <c r="C46" i="25"/>
  <c r="B46" i="25"/>
  <c r="G45" i="25"/>
  <c r="F45" i="25"/>
  <c r="E45" i="25"/>
  <c r="D45" i="25"/>
  <c r="C45" i="25"/>
  <c r="B45" i="25"/>
  <c r="G44" i="25"/>
  <c r="F44" i="25"/>
  <c r="E44" i="25"/>
  <c r="D44" i="25"/>
  <c r="C44" i="25"/>
  <c r="B44" i="25"/>
  <c r="G43" i="25"/>
  <c r="F43" i="25"/>
  <c r="E43" i="25"/>
  <c r="D43" i="25"/>
  <c r="C43" i="25"/>
  <c r="B43" i="25"/>
  <c r="G42" i="25"/>
  <c r="F42" i="25"/>
  <c r="E42" i="25"/>
  <c r="D42" i="25"/>
  <c r="C42" i="25"/>
  <c r="B42" i="25"/>
  <c r="G41" i="25"/>
  <c r="F41" i="25"/>
  <c r="E41" i="25"/>
  <c r="D41" i="25"/>
  <c r="C41" i="25"/>
  <c r="B41" i="25"/>
  <c r="G40" i="25"/>
  <c r="F40" i="25"/>
  <c r="E40" i="25"/>
  <c r="D40" i="25"/>
  <c r="C40" i="25"/>
  <c r="B40" i="25"/>
  <c r="G39" i="25"/>
  <c r="F39" i="25"/>
  <c r="E39" i="25"/>
  <c r="D39" i="25"/>
  <c r="C39" i="25"/>
  <c r="B39" i="25"/>
  <c r="G38" i="25"/>
  <c r="F38" i="25"/>
  <c r="E38" i="25"/>
  <c r="D38" i="25"/>
  <c r="C38" i="25"/>
  <c r="B38" i="25"/>
  <c r="G37" i="25"/>
  <c r="F37" i="25"/>
  <c r="E37" i="25"/>
  <c r="D37" i="25"/>
  <c r="C37" i="25"/>
  <c r="B37" i="25"/>
  <c r="G36" i="25"/>
  <c r="F36" i="25"/>
  <c r="E36" i="25"/>
  <c r="D36" i="25"/>
  <c r="C36" i="25"/>
  <c r="B36" i="25"/>
  <c r="G35" i="25"/>
  <c r="F35" i="25"/>
  <c r="E35" i="25"/>
  <c r="D35" i="25"/>
  <c r="C35" i="25"/>
  <c r="B35" i="25"/>
  <c r="G34" i="25"/>
  <c r="F34" i="25"/>
  <c r="E34" i="25"/>
  <c r="D34" i="25"/>
  <c r="C34" i="25"/>
  <c r="B34" i="25"/>
  <c r="G33" i="25"/>
  <c r="F33" i="25"/>
  <c r="E33" i="25"/>
  <c r="D33" i="25"/>
  <c r="C33" i="25"/>
  <c r="B33" i="25"/>
  <c r="G32" i="25"/>
  <c r="F32" i="25"/>
  <c r="E32" i="25"/>
  <c r="D32" i="25"/>
  <c r="C32" i="25"/>
  <c r="B32" i="25"/>
  <c r="G31" i="25"/>
  <c r="F31" i="25"/>
  <c r="E31" i="25"/>
  <c r="D31" i="25"/>
  <c r="C31" i="25"/>
  <c r="B31" i="25"/>
  <c r="G30" i="25"/>
  <c r="F30" i="25"/>
  <c r="E30" i="25"/>
  <c r="D30" i="25"/>
  <c r="C30" i="25"/>
  <c r="B30" i="25"/>
  <c r="G29" i="25"/>
  <c r="F29" i="25"/>
  <c r="E29" i="25"/>
  <c r="D29" i="25"/>
  <c r="C29" i="25"/>
  <c r="B29" i="25"/>
  <c r="G28" i="25"/>
  <c r="F28" i="25"/>
  <c r="S12" i="2" s="1"/>
  <c r="E28" i="25"/>
  <c r="D28" i="25"/>
  <c r="C28" i="25"/>
  <c r="B28" i="25"/>
  <c r="G27" i="25"/>
  <c r="F27" i="25"/>
  <c r="E27" i="25"/>
  <c r="D27" i="25"/>
  <c r="C27" i="25"/>
  <c r="B27" i="25"/>
  <c r="B18" i="25"/>
  <c r="D14" i="25"/>
  <c r="C14" i="25"/>
  <c r="B14" i="25"/>
  <c r="E10" i="25"/>
  <c r="D10" i="25"/>
  <c r="B10" i="25"/>
  <c r="B7" i="25"/>
  <c r="G278" i="24"/>
  <c r="F278" i="24"/>
  <c r="E278" i="24"/>
  <c r="D278" i="24"/>
  <c r="C278" i="24"/>
  <c r="B278" i="24"/>
  <c r="G277" i="24"/>
  <c r="F277" i="24"/>
  <c r="E277" i="24"/>
  <c r="D277" i="24"/>
  <c r="C277" i="24"/>
  <c r="B277" i="24"/>
  <c r="G276" i="24"/>
  <c r="F276" i="24"/>
  <c r="E276" i="24"/>
  <c r="D276" i="24"/>
  <c r="C276" i="24"/>
  <c r="B276" i="24"/>
  <c r="G275" i="24"/>
  <c r="F275" i="24"/>
  <c r="E275" i="24"/>
  <c r="D275" i="24"/>
  <c r="C275" i="24"/>
  <c r="B275" i="24"/>
  <c r="G274" i="24"/>
  <c r="F274" i="24"/>
  <c r="E274" i="24"/>
  <c r="D274" i="24"/>
  <c r="C274" i="24"/>
  <c r="B274" i="24"/>
  <c r="G273" i="24"/>
  <c r="F273" i="24"/>
  <c r="E273" i="24"/>
  <c r="D273" i="24"/>
  <c r="C273" i="24"/>
  <c r="B273" i="24"/>
  <c r="G272" i="24"/>
  <c r="F272" i="24"/>
  <c r="E272" i="24"/>
  <c r="D272" i="24"/>
  <c r="C272" i="24"/>
  <c r="B272" i="24"/>
  <c r="G271" i="24"/>
  <c r="F271" i="24"/>
  <c r="E271" i="24"/>
  <c r="D271" i="24"/>
  <c r="C271" i="24"/>
  <c r="B271" i="24"/>
  <c r="G270" i="24"/>
  <c r="F270" i="24"/>
  <c r="E270" i="24"/>
  <c r="D270" i="24"/>
  <c r="C270" i="24"/>
  <c r="B270" i="24"/>
  <c r="G269" i="24"/>
  <c r="F269" i="24"/>
  <c r="E269" i="24"/>
  <c r="D269" i="24"/>
  <c r="C269" i="24"/>
  <c r="B269" i="24"/>
  <c r="G268" i="24"/>
  <c r="F268" i="24"/>
  <c r="E268" i="24"/>
  <c r="D268" i="24"/>
  <c r="C268" i="24"/>
  <c r="B268" i="24"/>
  <c r="G267" i="24"/>
  <c r="F267" i="24"/>
  <c r="E267" i="24"/>
  <c r="D267" i="24"/>
  <c r="C267" i="24"/>
  <c r="B267" i="24"/>
  <c r="G266" i="24"/>
  <c r="F266" i="24"/>
  <c r="E266" i="24"/>
  <c r="D266" i="24"/>
  <c r="C266" i="24"/>
  <c r="B266" i="24"/>
  <c r="G265" i="24"/>
  <c r="F265" i="24"/>
  <c r="E265" i="24"/>
  <c r="D265" i="24"/>
  <c r="C265" i="24"/>
  <c r="B265" i="24"/>
  <c r="G264" i="24"/>
  <c r="F264" i="24"/>
  <c r="E264" i="24"/>
  <c r="D264" i="24"/>
  <c r="C264" i="24"/>
  <c r="B264" i="24"/>
  <c r="G263" i="24"/>
  <c r="F263" i="24"/>
  <c r="E263" i="24"/>
  <c r="D263" i="24"/>
  <c r="C263" i="24"/>
  <c r="B263" i="24"/>
  <c r="G262" i="24"/>
  <c r="F262" i="24"/>
  <c r="E262" i="24"/>
  <c r="D262" i="24"/>
  <c r="C262" i="24"/>
  <c r="B262" i="24"/>
  <c r="G261" i="24"/>
  <c r="F261" i="24"/>
  <c r="E261" i="24"/>
  <c r="D261" i="24"/>
  <c r="C261" i="24"/>
  <c r="B261" i="24"/>
  <c r="G260" i="24"/>
  <c r="F260" i="24"/>
  <c r="E260" i="24"/>
  <c r="D260" i="24"/>
  <c r="C260" i="24"/>
  <c r="B260" i="24"/>
  <c r="G259" i="24"/>
  <c r="F259" i="24"/>
  <c r="E259" i="24"/>
  <c r="D259" i="24"/>
  <c r="C259" i="24"/>
  <c r="B259" i="24"/>
  <c r="G258" i="24"/>
  <c r="F258" i="24"/>
  <c r="E258" i="24"/>
  <c r="D258" i="24"/>
  <c r="C258" i="24"/>
  <c r="B258" i="24"/>
  <c r="G257" i="24"/>
  <c r="F257" i="24"/>
  <c r="E257" i="24"/>
  <c r="D257" i="24"/>
  <c r="C257" i="24"/>
  <c r="B257" i="24"/>
  <c r="G256" i="24"/>
  <c r="F256" i="24"/>
  <c r="P11" i="2" s="1"/>
  <c r="E256" i="24"/>
  <c r="D256" i="24"/>
  <c r="C256" i="24"/>
  <c r="B256" i="24"/>
  <c r="G255" i="24"/>
  <c r="F255" i="24"/>
  <c r="E255" i="24"/>
  <c r="D255" i="24"/>
  <c r="C255" i="24"/>
  <c r="B255" i="24"/>
  <c r="G254" i="24"/>
  <c r="F254" i="24"/>
  <c r="E254" i="24"/>
  <c r="D254" i="24"/>
  <c r="C254" i="24"/>
  <c r="B254" i="24"/>
  <c r="G253" i="24"/>
  <c r="F253" i="24"/>
  <c r="E253" i="24"/>
  <c r="D253" i="24"/>
  <c r="C253" i="24"/>
  <c r="B253" i="24"/>
  <c r="G252" i="24"/>
  <c r="F252" i="24"/>
  <c r="E252" i="24"/>
  <c r="D252" i="24"/>
  <c r="C252" i="24"/>
  <c r="B252" i="24"/>
  <c r="G251" i="24"/>
  <c r="F251" i="24"/>
  <c r="E251" i="24"/>
  <c r="D251" i="24"/>
  <c r="C251" i="24"/>
  <c r="B251" i="24"/>
  <c r="G250" i="24"/>
  <c r="F250" i="24"/>
  <c r="E250" i="24"/>
  <c r="D250" i="24"/>
  <c r="C250" i="24"/>
  <c r="B250" i="24"/>
  <c r="G249" i="24"/>
  <c r="F249" i="24"/>
  <c r="E249" i="24"/>
  <c r="D249" i="24"/>
  <c r="C249" i="24"/>
  <c r="B249" i="24"/>
  <c r="G248" i="24"/>
  <c r="F248" i="24"/>
  <c r="E248" i="24"/>
  <c r="D248" i="24"/>
  <c r="C248" i="24"/>
  <c r="B248" i="24"/>
  <c r="G247" i="24"/>
  <c r="F247" i="24"/>
  <c r="E247" i="24"/>
  <c r="D247" i="24"/>
  <c r="C247" i="24"/>
  <c r="B247" i="24"/>
  <c r="G246" i="24"/>
  <c r="F246" i="24"/>
  <c r="E246" i="24"/>
  <c r="D246" i="24"/>
  <c r="C246" i="24"/>
  <c r="B246" i="24"/>
  <c r="G245" i="24"/>
  <c r="F245" i="24"/>
  <c r="E245" i="24"/>
  <c r="D245" i="24"/>
  <c r="C245" i="24"/>
  <c r="B245" i="24"/>
  <c r="G244" i="24"/>
  <c r="F244" i="24"/>
  <c r="E244" i="24"/>
  <c r="D244" i="24"/>
  <c r="C244" i="24"/>
  <c r="B244" i="24"/>
  <c r="G243" i="24"/>
  <c r="F243" i="24"/>
  <c r="E243" i="24"/>
  <c r="D243" i="24"/>
  <c r="C243" i="24"/>
  <c r="B243" i="24"/>
  <c r="G242" i="24"/>
  <c r="F242" i="24"/>
  <c r="E242" i="24"/>
  <c r="D242" i="24"/>
  <c r="C242" i="24"/>
  <c r="B242" i="24"/>
  <c r="G241" i="24"/>
  <c r="F241" i="24"/>
  <c r="E241" i="24"/>
  <c r="D241" i="24"/>
  <c r="C241" i="24"/>
  <c r="B241" i="24"/>
  <c r="G240" i="24"/>
  <c r="F240" i="24"/>
  <c r="E240" i="24"/>
  <c r="D240" i="24"/>
  <c r="C240" i="24"/>
  <c r="B240" i="24"/>
  <c r="G239" i="24"/>
  <c r="F239" i="24"/>
  <c r="E239" i="24"/>
  <c r="D239" i="24"/>
  <c r="C239" i="24"/>
  <c r="B239" i="24"/>
  <c r="G238" i="24"/>
  <c r="F238" i="24"/>
  <c r="E238" i="24"/>
  <c r="D238" i="24"/>
  <c r="C238" i="24"/>
  <c r="B238" i="24"/>
  <c r="G237" i="24"/>
  <c r="F237" i="24"/>
  <c r="E237" i="24"/>
  <c r="D237" i="24"/>
  <c r="C237" i="24"/>
  <c r="B237" i="24"/>
  <c r="G236" i="24"/>
  <c r="F236" i="24"/>
  <c r="E236" i="24"/>
  <c r="D236" i="24"/>
  <c r="C236" i="24"/>
  <c r="B236" i="24"/>
  <c r="G235" i="24"/>
  <c r="F235" i="24"/>
  <c r="E235" i="24"/>
  <c r="D235" i="24"/>
  <c r="C235" i="24"/>
  <c r="B235" i="24"/>
  <c r="G234" i="24"/>
  <c r="F234" i="24"/>
  <c r="E234" i="24"/>
  <c r="D234" i="24"/>
  <c r="C234" i="24"/>
  <c r="B234" i="24"/>
  <c r="G233" i="24"/>
  <c r="F233" i="24"/>
  <c r="E233" i="24"/>
  <c r="D233" i="24"/>
  <c r="C233" i="24"/>
  <c r="B233" i="24"/>
  <c r="G232" i="24"/>
  <c r="F232" i="24"/>
  <c r="E232" i="24"/>
  <c r="D232" i="24"/>
  <c r="C232" i="24"/>
  <c r="B232" i="24"/>
  <c r="G231" i="24"/>
  <c r="F231" i="24"/>
  <c r="E231" i="24"/>
  <c r="D231" i="24"/>
  <c r="C231" i="24"/>
  <c r="B231" i="24"/>
  <c r="G230" i="24"/>
  <c r="F230" i="24"/>
  <c r="E230" i="24"/>
  <c r="D230" i="24"/>
  <c r="C230" i="24"/>
  <c r="B230" i="24"/>
  <c r="G229" i="24"/>
  <c r="F229" i="24"/>
  <c r="E229" i="24"/>
  <c r="D229" i="24"/>
  <c r="C229" i="24"/>
  <c r="B229" i="24"/>
  <c r="G228" i="24"/>
  <c r="F228" i="24"/>
  <c r="E228" i="24"/>
  <c r="D228" i="24"/>
  <c r="C228" i="24"/>
  <c r="B228" i="24"/>
  <c r="G227" i="24"/>
  <c r="F227" i="24"/>
  <c r="E227" i="24"/>
  <c r="D227" i="24"/>
  <c r="C227" i="24"/>
  <c r="B227" i="24"/>
  <c r="G226" i="24"/>
  <c r="F226" i="24"/>
  <c r="E226" i="24"/>
  <c r="D226" i="24"/>
  <c r="C226" i="24"/>
  <c r="B226" i="24"/>
  <c r="G225" i="24"/>
  <c r="F225" i="24"/>
  <c r="E225" i="24"/>
  <c r="D225" i="24"/>
  <c r="C225" i="24"/>
  <c r="B225" i="24"/>
  <c r="G224" i="24"/>
  <c r="F224" i="24"/>
  <c r="E224" i="24"/>
  <c r="D224" i="24"/>
  <c r="C224" i="24"/>
  <c r="B224" i="24"/>
  <c r="G223" i="24"/>
  <c r="F223" i="24"/>
  <c r="E223" i="24"/>
  <c r="D223" i="24"/>
  <c r="C223" i="24"/>
  <c r="B223" i="24"/>
  <c r="G222" i="24"/>
  <c r="F222" i="24"/>
  <c r="E222" i="24"/>
  <c r="D222" i="24"/>
  <c r="C222" i="24"/>
  <c r="B222" i="24"/>
  <c r="G221" i="24"/>
  <c r="F221" i="24"/>
  <c r="E221" i="24"/>
  <c r="D221" i="24"/>
  <c r="C221" i="24"/>
  <c r="B221" i="24"/>
  <c r="G220" i="24"/>
  <c r="F220" i="24"/>
  <c r="E220" i="24"/>
  <c r="D220" i="24"/>
  <c r="C220" i="24"/>
  <c r="B220" i="24"/>
  <c r="G219" i="24"/>
  <c r="F219" i="24"/>
  <c r="E219" i="24"/>
  <c r="D219" i="24"/>
  <c r="C219" i="24"/>
  <c r="B219" i="24"/>
  <c r="G218" i="24"/>
  <c r="F218" i="24"/>
  <c r="E218" i="24"/>
  <c r="D218" i="24"/>
  <c r="C218" i="24"/>
  <c r="B218" i="24"/>
  <c r="G217" i="24"/>
  <c r="F217" i="24"/>
  <c r="E217" i="24"/>
  <c r="D217" i="24"/>
  <c r="C217" i="24"/>
  <c r="B217" i="24"/>
  <c r="G216" i="24"/>
  <c r="F216" i="24"/>
  <c r="E216" i="24"/>
  <c r="D216" i="24"/>
  <c r="C216" i="24"/>
  <c r="B216" i="24"/>
  <c r="G215" i="24"/>
  <c r="F215" i="24"/>
  <c r="E215" i="24"/>
  <c r="D215" i="24"/>
  <c r="C215" i="24"/>
  <c r="B215" i="24"/>
  <c r="G214" i="24"/>
  <c r="F214" i="24"/>
  <c r="E214" i="24"/>
  <c r="D214" i="24"/>
  <c r="C214" i="24"/>
  <c r="B214" i="24"/>
  <c r="G213" i="24"/>
  <c r="F213" i="24"/>
  <c r="E213" i="24"/>
  <c r="D213" i="24"/>
  <c r="C213" i="24"/>
  <c r="B213" i="24"/>
  <c r="G212" i="24"/>
  <c r="F212" i="24"/>
  <c r="E212" i="24"/>
  <c r="D212" i="24"/>
  <c r="C212" i="24"/>
  <c r="B212" i="24"/>
  <c r="G211" i="24"/>
  <c r="F211" i="24"/>
  <c r="E211" i="24"/>
  <c r="D211" i="24"/>
  <c r="C211" i="24"/>
  <c r="B211" i="24"/>
  <c r="G210" i="24"/>
  <c r="F210" i="24"/>
  <c r="E210" i="24"/>
  <c r="D210" i="24"/>
  <c r="C210" i="24"/>
  <c r="B210" i="24"/>
  <c r="G209" i="24"/>
  <c r="F209" i="24"/>
  <c r="E209" i="24"/>
  <c r="D209" i="24"/>
  <c r="C209" i="24"/>
  <c r="B209" i="24"/>
  <c r="G208" i="24"/>
  <c r="F208" i="24"/>
  <c r="E208" i="24"/>
  <c r="D208" i="24"/>
  <c r="C208" i="24"/>
  <c r="B208" i="24"/>
  <c r="G207" i="24"/>
  <c r="F207" i="24"/>
  <c r="E207" i="24"/>
  <c r="D207" i="24"/>
  <c r="C207" i="24"/>
  <c r="B207" i="24"/>
  <c r="G206" i="24"/>
  <c r="F206" i="24"/>
  <c r="E206" i="24"/>
  <c r="D206" i="24"/>
  <c r="C206" i="24"/>
  <c r="B206" i="24"/>
  <c r="G205" i="24"/>
  <c r="F205" i="24"/>
  <c r="E205" i="24"/>
  <c r="D205" i="24"/>
  <c r="C205" i="24"/>
  <c r="B205" i="24"/>
  <c r="G204" i="24"/>
  <c r="F204" i="24"/>
  <c r="E204" i="24"/>
  <c r="D204" i="24"/>
  <c r="C204" i="24"/>
  <c r="B204" i="24"/>
  <c r="G203" i="24"/>
  <c r="F203" i="24"/>
  <c r="E203" i="24"/>
  <c r="D203" i="24"/>
  <c r="C203" i="24"/>
  <c r="B203" i="24"/>
  <c r="G202" i="24"/>
  <c r="F202" i="24"/>
  <c r="E202" i="24"/>
  <c r="D202" i="24"/>
  <c r="C202" i="24"/>
  <c r="B202" i="24"/>
  <c r="G201" i="24"/>
  <c r="F201" i="24"/>
  <c r="E201" i="24"/>
  <c r="D201" i="24"/>
  <c r="C201" i="24"/>
  <c r="B201" i="24"/>
  <c r="G200" i="24"/>
  <c r="F200" i="24"/>
  <c r="E200" i="24"/>
  <c r="D200" i="24"/>
  <c r="C200" i="24"/>
  <c r="B200" i="24"/>
  <c r="G199" i="24"/>
  <c r="F199" i="24"/>
  <c r="E199" i="24"/>
  <c r="D199" i="24"/>
  <c r="C199" i="24"/>
  <c r="B199" i="24"/>
  <c r="G198" i="24"/>
  <c r="F198" i="24"/>
  <c r="E198" i="24"/>
  <c r="D198" i="24"/>
  <c r="C198" i="24"/>
  <c r="B198" i="24"/>
  <c r="G197" i="24"/>
  <c r="F197" i="24"/>
  <c r="E197" i="24"/>
  <c r="D197" i="24"/>
  <c r="C197" i="24"/>
  <c r="B197" i="24"/>
  <c r="G196" i="24"/>
  <c r="F196" i="24"/>
  <c r="E196" i="24"/>
  <c r="D196" i="24"/>
  <c r="C196" i="24"/>
  <c r="B196" i="24"/>
  <c r="G195" i="24"/>
  <c r="F195" i="24"/>
  <c r="E195" i="24"/>
  <c r="D195" i="24"/>
  <c r="C195" i="24"/>
  <c r="B195" i="24"/>
  <c r="G194" i="24"/>
  <c r="F194" i="24"/>
  <c r="E194" i="24"/>
  <c r="D194" i="24"/>
  <c r="C194" i="24"/>
  <c r="B194" i="24"/>
  <c r="G193" i="24"/>
  <c r="F193" i="24"/>
  <c r="E193" i="24"/>
  <c r="D193" i="24"/>
  <c r="C193" i="24"/>
  <c r="B193" i="24"/>
  <c r="G192" i="24"/>
  <c r="F192" i="24"/>
  <c r="E192" i="24"/>
  <c r="D192" i="24"/>
  <c r="C192" i="24"/>
  <c r="B192" i="24"/>
  <c r="G191" i="24"/>
  <c r="F191" i="24"/>
  <c r="E191" i="24"/>
  <c r="D191" i="24"/>
  <c r="C191" i="24"/>
  <c r="B191" i="24"/>
  <c r="G190" i="24"/>
  <c r="F190" i="24"/>
  <c r="E190" i="24"/>
  <c r="D190" i="24"/>
  <c r="C190" i="24"/>
  <c r="B190" i="24"/>
  <c r="G189" i="24"/>
  <c r="F189" i="24"/>
  <c r="E189" i="24"/>
  <c r="D189" i="24"/>
  <c r="C189" i="24"/>
  <c r="B189" i="24"/>
  <c r="G188" i="24"/>
  <c r="F188" i="24"/>
  <c r="E188" i="24"/>
  <c r="D188" i="24"/>
  <c r="C188" i="24"/>
  <c r="B188" i="24"/>
  <c r="G187" i="24"/>
  <c r="F187" i="24"/>
  <c r="E187" i="24"/>
  <c r="D187" i="24"/>
  <c r="C187" i="24"/>
  <c r="B187" i="24"/>
  <c r="G186" i="24"/>
  <c r="F186" i="24"/>
  <c r="E186" i="24"/>
  <c r="D186" i="24"/>
  <c r="C186" i="24"/>
  <c r="B186" i="24"/>
  <c r="G185" i="24"/>
  <c r="F185" i="24"/>
  <c r="E185" i="24"/>
  <c r="D185" i="24"/>
  <c r="C185" i="24"/>
  <c r="B185" i="24"/>
  <c r="G184" i="24"/>
  <c r="F184" i="24"/>
  <c r="E184" i="24"/>
  <c r="D184" i="24"/>
  <c r="C184" i="24"/>
  <c r="B184" i="24"/>
  <c r="G183" i="24"/>
  <c r="F183" i="24"/>
  <c r="E183" i="24"/>
  <c r="D183" i="24"/>
  <c r="C183" i="24"/>
  <c r="B183" i="24"/>
  <c r="G182" i="24"/>
  <c r="F182" i="24"/>
  <c r="E182" i="24"/>
  <c r="D182" i="24"/>
  <c r="C182" i="24"/>
  <c r="B182" i="24"/>
  <c r="G181" i="24"/>
  <c r="F181" i="24"/>
  <c r="E181" i="24"/>
  <c r="D181" i="24"/>
  <c r="C181" i="24"/>
  <c r="B181" i="24"/>
  <c r="G180" i="24"/>
  <c r="F180" i="24"/>
  <c r="E180" i="24"/>
  <c r="D180" i="24"/>
  <c r="C180" i="24"/>
  <c r="B180" i="24"/>
  <c r="G179" i="24"/>
  <c r="F179" i="24"/>
  <c r="E179" i="24"/>
  <c r="D179" i="24"/>
  <c r="C179" i="24"/>
  <c r="B179" i="24"/>
  <c r="G178" i="24"/>
  <c r="F178" i="24"/>
  <c r="E178" i="24"/>
  <c r="D178" i="24"/>
  <c r="C178" i="24"/>
  <c r="B178" i="24"/>
  <c r="G177" i="24"/>
  <c r="F177" i="24"/>
  <c r="E177" i="24"/>
  <c r="D177" i="24"/>
  <c r="C177" i="24"/>
  <c r="B177" i="24"/>
  <c r="G176" i="24"/>
  <c r="F176" i="24"/>
  <c r="E176" i="24"/>
  <c r="D176" i="24"/>
  <c r="C176" i="24"/>
  <c r="B176" i="24"/>
  <c r="G175" i="24"/>
  <c r="F175" i="24"/>
  <c r="E175" i="24"/>
  <c r="D175" i="24"/>
  <c r="C175" i="24"/>
  <c r="B175" i="24"/>
  <c r="G174" i="24"/>
  <c r="F174" i="24"/>
  <c r="E174" i="24"/>
  <c r="D174" i="24"/>
  <c r="C174" i="24"/>
  <c r="B174" i="24"/>
  <c r="G173" i="24"/>
  <c r="F173" i="24"/>
  <c r="E173" i="24"/>
  <c r="D173" i="24"/>
  <c r="C173" i="24"/>
  <c r="B173" i="24"/>
  <c r="G172" i="24"/>
  <c r="F172" i="24"/>
  <c r="E172" i="24"/>
  <c r="D172" i="24"/>
  <c r="C172" i="24"/>
  <c r="B172" i="24"/>
  <c r="G171" i="24"/>
  <c r="F171" i="24"/>
  <c r="E171" i="24"/>
  <c r="D171" i="24"/>
  <c r="C171" i="24"/>
  <c r="B171" i="24"/>
  <c r="G170" i="24"/>
  <c r="F170" i="24"/>
  <c r="E170" i="24"/>
  <c r="D170" i="24"/>
  <c r="C170" i="24"/>
  <c r="B170" i="24"/>
  <c r="G169" i="24"/>
  <c r="F169" i="24"/>
  <c r="E169" i="24"/>
  <c r="D169" i="24"/>
  <c r="C169" i="24"/>
  <c r="B169" i="24"/>
  <c r="G168" i="24"/>
  <c r="F168" i="24"/>
  <c r="E168" i="24"/>
  <c r="D168" i="24"/>
  <c r="C168" i="24"/>
  <c r="B168" i="24"/>
  <c r="G167" i="24"/>
  <c r="F167" i="24"/>
  <c r="E167" i="24"/>
  <c r="D167" i="24"/>
  <c r="C167" i="24"/>
  <c r="B167" i="24"/>
  <c r="G166" i="24"/>
  <c r="F166" i="24"/>
  <c r="E166" i="24"/>
  <c r="D166" i="24"/>
  <c r="C166" i="24"/>
  <c r="B166" i="24"/>
  <c r="G165" i="24"/>
  <c r="F165" i="24"/>
  <c r="E165" i="24"/>
  <c r="D165" i="24"/>
  <c r="C165" i="24"/>
  <c r="B165" i="24"/>
  <c r="G164" i="24"/>
  <c r="F164" i="24"/>
  <c r="E164" i="24"/>
  <c r="D164" i="24"/>
  <c r="C164" i="24"/>
  <c r="B164" i="24"/>
  <c r="G163" i="24"/>
  <c r="F163" i="24"/>
  <c r="E163" i="24"/>
  <c r="D163" i="24"/>
  <c r="C163" i="24"/>
  <c r="B163" i="24"/>
  <c r="G162" i="24"/>
  <c r="F162" i="24"/>
  <c r="E162" i="24"/>
  <c r="D162" i="24"/>
  <c r="C162" i="24"/>
  <c r="B162" i="24"/>
  <c r="G161" i="24"/>
  <c r="F161" i="24"/>
  <c r="E161" i="24"/>
  <c r="D161" i="24"/>
  <c r="C161" i="24"/>
  <c r="B161" i="24"/>
  <c r="G160" i="24"/>
  <c r="F160" i="24"/>
  <c r="E160" i="24"/>
  <c r="D160" i="24"/>
  <c r="C160" i="24"/>
  <c r="B160" i="24"/>
  <c r="G159" i="24"/>
  <c r="F159" i="24"/>
  <c r="E159" i="24"/>
  <c r="D159" i="24"/>
  <c r="C159" i="24"/>
  <c r="B159" i="24"/>
  <c r="G158" i="24"/>
  <c r="F158" i="24"/>
  <c r="E158" i="24"/>
  <c r="D158" i="24"/>
  <c r="C158" i="24"/>
  <c r="B158" i="24"/>
  <c r="G157" i="24"/>
  <c r="F157" i="24"/>
  <c r="E157" i="24"/>
  <c r="D157" i="24"/>
  <c r="C157" i="24"/>
  <c r="B157" i="24"/>
  <c r="G156" i="24"/>
  <c r="F156" i="24"/>
  <c r="E156" i="24"/>
  <c r="D156" i="24"/>
  <c r="C156" i="24"/>
  <c r="B156" i="24"/>
  <c r="G155" i="24"/>
  <c r="F155" i="24"/>
  <c r="E155" i="24"/>
  <c r="D155" i="24"/>
  <c r="C155" i="24"/>
  <c r="B155" i="24"/>
  <c r="G154" i="24"/>
  <c r="F154" i="24"/>
  <c r="E154" i="24"/>
  <c r="D154" i="24"/>
  <c r="C154" i="24"/>
  <c r="B154" i="24"/>
  <c r="G153" i="24"/>
  <c r="F153" i="24"/>
  <c r="E153" i="24"/>
  <c r="D153" i="24"/>
  <c r="C153" i="24"/>
  <c r="B153" i="24"/>
  <c r="G152" i="24"/>
  <c r="F152" i="24"/>
  <c r="E152" i="24"/>
  <c r="D152" i="24"/>
  <c r="C152" i="24"/>
  <c r="B152" i="24"/>
  <c r="G151" i="24"/>
  <c r="F151" i="24"/>
  <c r="E151" i="24"/>
  <c r="D151" i="24"/>
  <c r="C151" i="24"/>
  <c r="B151" i="24"/>
  <c r="G150" i="24"/>
  <c r="F150" i="24"/>
  <c r="E150" i="24"/>
  <c r="D150" i="24"/>
  <c r="C150" i="24"/>
  <c r="B150" i="24"/>
  <c r="G149" i="24"/>
  <c r="F149" i="24"/>
  <c r="E149" i="24"/>
  <c r="D149" i="24"/>
  <c r="C149" i="24"/>
  <c r="B149" i="24"/>
  <c r="G148" i="24"/>
  <c r="F148" i="24"/>
  <c r="E148" i="24"/>
  <c r="D148" i="24"/>
  <c r="C148" i="24"/>
  <c r="B148" i="24"/>
  <c r="G147" i="24"/>
  <c r="F147" i="24"/>
  <c r="E147" i="24"/>
  <c r="D147" i="24"/>
  <c r="C147" i="24"/>
  <c r="B147" i="24"/>
  <c r="G146" i="24"/>
  <c r="F146" i="24"/>
  <c r="E146" i="24"/>
  <c r="D146" i="24"/>
  <c r="C146" i="24"/>
  <c r="B146" i="24"/>
  <c r="G145" i="24"/>
  <c r="F145" i="24"/>
  <c r="E145" i="24"/>
  <c r="D145" i="24"/>
  <c r="C145" i="24"/>
  <c r="B145" i="24"/>
  <c r="G144" i="24"/>
  <c r="F144" i="24"/>
  <c r="E144" i="24"/>
  <c r="D144" i="24"/>
  <c r="C144" i="24"/>
  <c r="B144" i="24"/>
  <c r="G143" i="24"/>
  <c r="F143" i="24"/>
  <c r="E143" i="24"/>
  <c r="D143" i="24"/>
  <c r="C143" i="24"/>
  <c r="B143" i="24"/>
  <c r="G142" i="24"/>
  <c r="F142" i="24"/>
  <c r="E142" i="24"/>
  <c r="D142" i="24"/>
  <c r="C142" i="24"/>
  <c r="B142" i="24"/>
  <c r="G141" i="24"/>
  <c r="F141" i="24"/>
  <c r="E141" i="24"/>
  <c r="D141" i="24"/>
  <c r="C141" i="24"/>
  <c r="B141" i="24"/>
  <c r="G140" i="24"/>
  <c r="F140" i="24"/>
  <c r="E140" i="24"/>
  <c r="D140" i="24"/>
  <c r="C140" i="24"/>
  <c r="B140" i="24"/>
  <c r="G139" i="24"/>
  <c r="F139" i="24"/>
  <c r="E139" i="24"/>
  <c r="D139" i="24"/>
  <c r="C139" i="24"/>
  <c r="B139" i="24"/>
  <c r="G138" i="24"/>
  <c r="F138" i="24"/>
  <c r="E138" i="24"/>
  <c r="D138" i="24"/>
  <c r="C138" i="24"/>
  <c r="B138" i="24"/>
  <c r="G137" i="24"/>
  <c r="F137" i="24"/>
  <c r="E137" i="24"/>
  <c r="D137" i="24"/>
  <c r="C137" i="24"/>
  <c r="B137" i="24"/>
  <c r="G136" i="24"/>
  <c r="F136" i="24"/>
  <c r="E136" i="24"/>
  <c r="D136" i="24"/>
  <c r="C136" i="24"/>
  <c r="B136" i="24"/>
  <c r="G135" i="24"/>
  <c r="F135" i="24"/>
  <c r="E135" i="24"/>
  <c r="D135" i="24"/>
  <c r="C135" i="24"/>
  <c r="B135" i="24"/>
  <c r="G134" i="24"/>
  <c r="F134" i="24"/>
  <c r="E134" i="24"/>
  <c r="D134" i="24"/>
  <c r="C134" i="24"/>
  <c r="B134" i="24"/>
  <c r="G133" i="24"/>
  <c r="F133" i="24"/>
  <c r="E133" i="24"/>
  <c r="D133" i="24"/>
  <c r="C133" i="24"/>
  <c r="B133" i="24"/>
  <c r="G132" i="24"/>
  <c r="F132" i="24"/>
  <c r="E132" i="24"/>
  <c r="D132" i="24"/>
  <c r="C132" i="24"/>
  <c r="B132" i="24"/>
  <c r="G131" i="24"/>
  <c r="F131" i="24"/>
  <c r="E131" i="24"/>
  <c r="D131" i="24"/>
  <c r="C131" i="24"/>
  <c r="B131" i="24"/>
  <c r="G130" i="24"/>
  <c r="F130" i="24"/>
  <c r="E130" i="24"/>
  <c r="D130" i="24"/>
  <c r="C130" i="24"/>
  <c r="B130" i="24"/>
  <c r="G129" i="24"/>
  <c r="F129" i="24"/>
  <c r="E129" i="24"/>
  <c r="D129" i="24"/>
  <c r="C129" i="24"/>
  <c r="B129" i="24"/>
  <c r="G128" i="24"/>
  <c r="F128" i="24"/>
  <c r="E128" i="24"/>
  <c r="D128" i="24"/>
  <c r="C128" i="24"/>
  <c r="B128" i="24"/>
  <c r="G127" i="24"/>
  <c r="F127" i="24"/>
  <c r="E127" i="24"/>
  <c r="D127" i="24"/>
  <c r="C127" i="24"/>
  <c r="B127" i="24"/>
  <c r="G126" i="24"/>
  <c r="F126" i="24"/>
  <c r="E126" i="24"/>
  <c r="D126" i="24"/>
  <c r="C126" i="24"/>
  <c r="B126" i="24"/>
  <c r="G125" i="24"/>
  <c r="F125" i="24"/>
  <c r="E125" i="24"/>
  <c r="D125" i="24"/>
  <c r="C125" i="24"/>
  <c r="B125" i="24"/>
  <c r="G124" i="24"/>
  <c r="F124" i="24"/>
  <c r="E124" i="24"/>
  <c r="D124" i="24"/>
  <c r="C124" i="24"/>
  <c r="B124" i="24"/>
  <c r="G123" i="24"/>
  <c r="F123" i="24"/>
  <c r="E123" i="24"/>
  <c r="D123" i="24"/>
  <c r="C123" i="24"/>
  <c r="B123" i="24"/>
  <c r="G122" i="24"/>
  <c r="F122" i="24"/>
  <c r="E122" i="24"/>
  <c r="D122" i="24"/>
  <c r="C122" i="24"/>
  <c r="B122" i="24"/>
  <c r="G121" i="24"/>
  <c r="F121" i="24"/>
  <c r="E121" i="24"/>
  <c r="D121" i="24"/>
  <c r="C121" i="24"/>
  <c r="B121" i="24"/>
  <c r="G120" i="24"/>
  <c r="F120" i="24"/>
  <c r="E120" i="24"/>
  <c r="D120" i="24"/>
  <c r="C120" i="24"/>
  <c r="B120" i="24"/>
  <c r="G119" i="24"/>
  <c r="F119" i="24"/>
  <c r="E119" i="24"/>
  <c r="D119" i="24"/>
  <c r="C119" i="24"/>
  <c r="B119" i="24"/>
  <c r="G118" i="24"/>
  <c r="F118" i="24"/>
  <c r="E118" i="24"/>
  <c r="D118" i="24"/>
  <c r="C118" i="24"/>
  <c r="B118" i="24"/>
  <c r="G117" i="24"/>
  <c r="F117" i="24"/>
  <c r="E117" i="24"/>
  <c r="D117" i="24"/>
  <c r="C117" i="24"/>
  <c r="B117" i="24"/>
  <c r="G116" i="24"/>
  <c r="F116" i="24"/>
  <c r="E116" i="24"/>
  <c r="D116" i="24"/>
  <c r="C116" i="24"/>
  <c r="B116" i="24"/>
  <c r="G115" i="24"/>
  <c r="F115" i="24"/>
  <c r="E115" i="24"/>
  <c r="D115" i="24"/>
  <c r="C115" i="24"/>
  <c r="B115" i="24"/>
  <c r="G114" i="24"/>
  <c r="F114" i="24"/>
  <c r="E114" i="24"/>
  <c r="D114" i="24"/>
  <c r="C114" i="24"/>
  <c r="B114" i="24"/>
  <c r="G113" i="24"/>
  <c r="F113" i="24"/>
  <c r="E113" i="24"/>
  <c r="D113" i="24"/>
  <c r="C113" i="24"/>
  <c r="B113" i="24"/>
  <c r="G112" i="24"/>
  <c r="F112" i="24"/>
  <c r="E112" i="24"/>
  <c r="D112" i="24"/>
  <c r="C112" i="24"/>
  <c r="B112" i="24"/>
  <c r="G111" i="24"/>
  <c r="F111" i="24"/>
  <c r="E111" i="24"/>
  <c r="D111" i="24"/>
  <c r="C111" i="24"/>
  <c r="B111" i="24"/>
  <c r="G110" i="24"/>
  <c r="F110" i="24"/>
  <c r="E110" i="24"/>
  <c r="D110" i="24"/>
  <c r="C110" i="24"/>
  <c r="B110" i="24"/>
  <c r="G109" i="24"/>
  <c r="F109" i="24"/>
  <c r="E109" i="24"/>
  <c r="D109" i="24"/>
  <c r="C109" i="24"/>
  <c r="B109" i="24"/>
  <c r="G108" i="24"/>
  <c r="F108" i="24"/>
  <c r="E108" i="24"/>
  <c r="D108" i="24"/>
  <c r="C108" i="24"/>
  <c r="B108" i="24"/>
  <c r="G107" i="24"/>
  <c r="F107" i="24"/>
  <c r="E107" i="24"/>
  <c r="D107" i="24"/>
  <c r="C107" i="24"/>
  <c r="B107" i="24"/>
  <c r="G106" i="24"/>
  <c r="F106" i="24"/>
  <c r="E106" i="24"/>
  <c r="D106" i="24"/>
  <c r="C106" i="24"/>
  <c r="B106" i="24"/>
  <c r="G105" i="24"/>
  <c r="F105" i="24"/>
  <c r="E105" i="24"/>
  <c r="D105" i="24"/>
  <c r="C105" i="24"/>
  <c r="B105" i="24"/>
  <c r="G104" i="24"/>
  <c r="F104" i="24"/>
  <c r="E104" i="24"/>
  <c r="D104" i="24"/>
  <c r="C104" i="24"/>
  <c r="B104" i="24"/>
  <c r="G103" i="24"/>
  <c r="F103" i="24"/>
  <c r="E103" i="24"/>
  <c r="D103" i="24"/>
  <c r="C103" i="24"/>
  <c r="B103" i="24"/>
  <c r="G102" i="24"/>
  <c r="F102" i="24"/>
  <c r="E102" i="24"/>
  <c r="D102" i="24"/>
  <c r="C102" i="24"/>
  <c r="B102" i="24"/>
  <c r="G101" i="24"/>
  <c r="F101" i="24"/>
  <c r="E101" i="24"/>
  <c r="D101" i="24"/>
  <c r="C101" i="24"/>
  <c r="B101" i="24"/>
  <c r="G100" i="24"/>
  <c r="F100" i="24"/>
  <c r="E100" i="24"/>
  <c r="D100" i="24"/>
  <c r="C100" i="24"/>
  <c r="B100" i="24"/>
  <c r="G99" i="24"/>
  <c r="F99" i="24"/>
  <c r="E99" i="24"/>
  <c r="D99" i="24"/>
  <c r="C99" i="24"/>
  <c r="B99" i="24"/>
  <c r="G98" i="24"/>
  <c r="F98" i="24"/>
  <c r="E98" i="24"/>
  <c r="D98" i="24"/>
  <c r="C98" i="24"/>
  <c r="B98" i="24"/>
  <c r="G97" i="24"/>
  <c r="F97" i="24"/>
  <c r="E97" i="24"/>
  <c r="D97" i="24"/>
  <c r="C97" i="24"/>
  <c r="B97" i="24"/>
  <c r="G96" i="24"/>
  <c r="F96" i="24"/>
  <c r="E96" i="24"/>
  <c r="D96" i="24"/>
  <c r="C96" i="24"/>
  <c r="B96" i="24"/>
  <c r="G95" i="24"/>
  <c r="F95" i="24"/>
  <c r="E95" i="24"/>
  <c r="D95" i="24"/>
  <c r="C95" i="24"/>
  <c r="B95" i="24"/>
  <c r="G94" i="24"/>
  <c r="F94" i="24"/>
  <c r="E94" i="24"/>
  <c r="D94" i="24"/>
  <c r="C94" i="24"/>
  <c r="B94" i="24"/>
  <c r="G93" i="24"/>
  <c r="F93" i="24"/>
  <c r="E93" i="24"/>
  <c r="D93" i="24"/>
  <c r="C93" i="24"/>
  <c r="B93" i="24"/>
  <c r="G92" i="24"/>
  <c r="F92" i="24"/>
  <c r="E92" i="24"/>
  <c r="D92" i="24"/>
  <c r="C92" i="24"/>
  <c r="B92" i="24"/>
  <c r="G91" i="24"/>
  <c r="F91" i="24"/>
  <c r="E91" i="24"/>
  <c r="D91" i="24"/>
  <c r="C91" i="24"/>
  <c r="B91" i="24"/>
  <c r="G90" i="24"/>
  <c r="F90" i="24"/>
  <c r="E90" i="24"/>
  <c r="D90" i="24"/>
  <c r="C90" i="24"/>
  <c r="B90" i="24"/>
  <c r="G89" i="24"/>
  <c r="F89" i="24"/>
  <c r="E89" i="24"/>
  <c r="D89" i="24"/>
  <c r="C89" i="24"/>
  <c r="B89" i="24"/>
  <c r="G88" i="24"/>
  <c r="F88" i="24"/>
  <c r="E88" i="24"/>
  <c r="D88" i="24"/>
  <c r="C88" i="24"/>
  <c r="B88" i="24"/>
  <c r="G87" i="24"/>
  <c r="F87" i="24"/>
  <c r="E87" i="24"/>
  <c r="D87" i="24"/>
  <c r="C87" i="24"/>
  <c r="B87" i="24"/>
  <c r="G86" i="24"/>
  <c r="F86" i="24"/>
  <c r="E86" i="24"/>
  <c r="D86" i="24"/>
  <c r="C86" i="24"/>
  <c r="B86" i="24"/>
  <c r="G85" i="24"/>
  <c r="F85" i="24"/>
  <c r="E85" i="24"/>
  <c r="D85" i="24"/>
  <c r="C85" i="24"/>
  <c r="B85" i="24"/>
  <c r="G84" i="24"/>
  <c r="F84" i="24"/>
  <c r="E84" i="24"/>
  <c r="D84" i="24"/>
  <c r="C84" i="24"/>
  <c r="B84" i="24"/>
  <c r="G83" i="24"/>
  <c r="F83" i="24"/>
  <c r="E83" i="24"/>
  <c r="D83" i="24"/>
  <c r="C83" i="24"/>
  <c r="B83" i="24"/>
  <c r="G82" i="24"/>
  <c r="F82" i="24"/>
  <c r="E82" i="24"/>
  <c r="D82" i="24"/>
  <c r="C82" i="24"/>
  <c r="B82" i="24"/>
  <c r="G81" i="24"/>
  <c r="F81" i="24"/>
  <c r="E81" i="24"/>
  <c r="D81" i="24"/>
  <c r="C81" i="24"/>
  <c r="B81" i="24"/>
  <c r="G80" i="24"/>
  <c r="F80" i="24"/>
  <c r="E80" i="24"/>
  <c r="D80" i="24"/>
  <c r="C80" i="24"/>
  <c r="B80" i="24"/>
  <c r="G79" i="24"/>
  <c r="F79" i="24"/>
  <c r="E79" i="24"/>
  <c r="D79" i="24"/>
  <c r="C79" i="24"/>
  <c r="B79" i="24"/>
  <c r="G78" i="24"/>
  <c r="F78" i="24"/>
  <c r="E78" i="24"/>
  <c r="D78" i="24"/>
  <c r="C78" i="24"/>
  <c r="B78" i="24"/>
  <c r="G77" i="24"/>
  <c r="F77" i="24"/>
  <c r="E77" i="24"/>
  <c r="D77" i="24"/>
  <c r="C77" i="24"/>
  <c r="B77" i="24"/>
  <c r="G76" i="24"/>
  <c r="F76" i="24"/>
  <c r="E76" i="24"/>
  <c r="D76" i="24"/>
  <c r="C76" i="24"/>
  <c r="B76" i="24"/>
  <c r="G75" i="24"/>
  <c r="F75" i="24"/>
  <c r="E75" i="24"/>
  <c r="D75" i="24"/>
  <c r="C75" i="24"/>
  <c r="B75" i="24"/>
  <c r="G74" i="24"/>
  <c r="F74" i="24"/>
  <c r="E74" i="24"/>
  <c r="D74" i="24"/>
  <c r="C74" i="24"/>
  <c r="B74" i="24"/>
  <c r="G73" i="24"/>
  <c r="F73" i="24"/>
  <c r="E73" i="24"/>
  <c r="D73" i="24"/>
  <c r="C73" i="24"/>
  <c r="B73" i="24"/>
  <c r="G72" i="24"/>
  <c r="F72" i="24"/>
  <c r="E72" i="24"/>
  <c r="D72" i="24"/>
  <c r="C72" i="24"/>
  <c r="B72" i="24"/>
  <c r="G71" i="24"/>
  <c r="F71" i="24"/>
  <c r="E71" i="24"/>
  <c r="D71" i="24"/>
  <c r="C71" i="24"/>
  <c r="B71" i="24"/>
  <c r="G70" i="24"/>
  <c r="F70" i="24"/>
  <c r="E70" i="24"/>
  <c r="D70" i="24"/>
  <c r="C70" i="24"/>
  <c r="B70" i="24"/>
  <c r="G69" i="24"/>
  <c r="F69" i="24"/>
  <c r="E69" i="24"/>
  <c r="D69" i="24"/>
  <c r="C69" i="24"/>
  <c r="B69" i="24"/>
  <c r="G68" i="24"/>
  <c r="F68" i="24"/>
  <c r="E68" i="24"/>
  <c r="D68" i="24"/>
  <c r="C68" i="24"/>
  <c r="B68" i="24"/>
  <c r="G67" i="24"/>
  <c r="F67" i="24"/>
  <c r="E67" i="24"/>
  <c r="D67" i="24"/>
  <c r="C67" i="24"/>
  <c r="B67" i="24"/>
  <c r="G66" i="24"/>
  <c r="F66" i="24"/>
  <c r="E66" i="24"/>
  <c r="D66" i="24"/>
  <c r="C66" i="24"/>
  <c r="B66" i="24"/>
  <c r="G65" i="24"/>
  <c r="F65" i="24"/>
  <c r="E65" i="24"/>
  <c r="D65" i="24"/>
  <c r="C65" i="24"/>
  <c r="B65" i="24"/>
  <c r="G64" i="24"/>
  <c r="F64" i="24"/>
  <c r="E64" i="24"/>
  <c r="D64" i="24"/>
  <c r="C64" i="24"/>
  <c r="B64" i="24"/>
  <c r="G63" i="24"/>
  <c r="F63" i="24"/>
  <c r="E63" i="24"/>
  <c r="D63" i="24"/>
  <c r="C63" i="24"/>
  <c r="B63" i="24"/>
  <c r="G62" i="24"/>
  <c r="F62" i="24"/>
  <c r="E62" i="24"/>
  <c r="D62" i="24"/>
  <c r="C62" i="24"/>
  <c r="B62" i="24"/>
  <c r="G61" i="24"/>
  <c r="F61" i="24"/>
  <c r="E61" i="24"/>
  <c r="D61" i="24"/>
  <c r="C61" i="24"/>
  <c r="B61" i="24"/>
  <c r="G60" i="24"/>
  <c r="F60" i="24"/>
  <c r="E60" i="24"/>
  <c r="D60" i="24"/>
  <c r="C60" i="24"/>
  <c r="B60" i="24"/>
  <c r="G59" i="24"/>
  <c r="F59" i="24"/>
  <c r="E59" i="24"/>
  <c r="D59" i="24"/>
  <c r="C59" i="24"/>
  <c r="B59" i="24"/>
  <c r="G58" i="24"/>
  <c r="F58" i="24"/>
  <c r="E58" i="24"/>
  <c r="D58" i="24"/>
  <c r="C58" i="24"/>
  <c r="B58" i="24"/>
  <c r="G57" i="24"/>
  <c r="F57" i="24"/>
  <c r="E57" i="24"/>
  <c r="D57" i="24"/>
  <c r="C57" i="24"/>
  <c r="B57" i="24"/>
  <c r="G56" i="24"/>
  <c r="F56" i="24"/>
  <c r="E56" i="24"/>
  <c r="D56" i="24"/>
  <c r="C56" i="24"/>
  <c r="B56" i="24"/>
  <c r="G55" i="24"/>
  <c r="F55" i="24"/>
  <c r="E55" i="24"/>
  <c r="D55" i="24"/>
  <c r="C55" i="24"/>
  <c r="B55" i="24"/>
  <c r="G54" i="24"/>
  <c r="F54" i="24"/>
  <c r="E54" i="24"/>
  <c r="D54" i="24"/>
  <c r="C54" i="24"/>
  <c r="B54" i="24"/>
  <c r="G53" i="24"/>
  <c r="F53" i="24"/>
  <c r="E53" i="24"/>
  <c r="D53" i="24"/>
  <c r="C53" i="24"/>
  <c r="B53" i="24"/>
  <c r="G52" i="24"/>
  <c r="F52" i="24"/>
  <c r="E52" i="24"/>
  <c r="D52" i="24"/>
  <c r="C52" i="24"/>
  <c r="B52" i="24"/>
  <c r="G51" i="24"/>
  <c r="F51" i="24"/>
  <c r="E51" i="24"/>
  <c r="D51" i="24"/>
  <c r="C51" i="24"/>
  <c r="B51" i="24"/>
  <c r="G50" i="24"/>
  <c r="F50" i="24"/>
  <c r="E50" i="24"/>
  <c r="D50" i="24"/>
  <c r="C50" i="24"/>
  <c r="B50" i="24"/>
  <c r="G49" i="24"/>
  <c r="F49" i="24"/>
  <c r="E49" i="24"/>
  <c r="D49" i="24"/>
  <c r="C49" i="24"/>
  <c r="B49" i="24"/>
  <c r="G48" i="24"/>
  <c r="F48" i="24"/>
  <c r="E48" i="24"/>
  <c r="D48" i="24"/>
  <c r="C48" i="24"/>
  <c r="B48" i="24"/>
  <c r="G47" i="24"/>
  <c r="F47" i="24"/>
  <c r="E47" i="24"/>
  <c r="D47" i="24"/>
  <c r="C47" i="24"/>
  <c r="B47" i="24"/>
  <c r="G46" i="24"/>
  <c r="F46" i="24"/>
  <c r="E46" i="24"/>
  <c r="D46" i="24"/>
  <c r="C46" i="24"/>
  <c r="B46" i="24"/>
  <c r="G45" i="24"/>
  <c r="F45" i="24"/>
  <c r="E45" i="24"/>
  <c r="D45" i="24"/>
  <c r="C45" i="24"/>
  <c r="B45" i="24"/>
  <c r="G44" i="24"/>
  <c r="F44" i="24"/>
  <c r="E44" i="24"/>
  <c r="D44" i="24"/>
  <c r="C44" i="24"/>
  <c r="B44" i="24"/>
  <c r="G43" i="24"/>
  <c r="F43" i="24"/>
  <c r="E43" i="24"/>
  <c r="D43" i="24"/>
  <c r="C43" i="24"/>
  <c r="B43" i="24"/>
  <c r="G42" i="24"/>
  <c r="F42" i="24"/>
  <c r="E42" i="24"/>
  <c r="D42" i="24"/>
  <c r="C42" i="24"/>
  <c r="B42" i="24"/>
  <c r="G41" i="24"/>
  <c r="F41" i="24"/>
  <c r="E41" i="24"/>
  <c r="D41" i="24"/>
  <c r="C41" i="24"/>
  <c r="B41" i="24"/>
  <c r="G40" i="24"/>
  <c r="F40" i="24"/>
  <c r="E40" i="24"/>
  <c r="D40" i="24"/>
  <c r="C40" i="24"/>
  <c r="B40" i="24"/>
  <c r="G39" i="24"/>
  <c r="F39" i="24"/>
  <c r="E39" i="24"/>
  <c r="D39" i="24"/>
  <c r="C39" i="24"/>
  <c r="B39" i="24"/>
  <c r="G38" i="24"/>
  <c r="F38" i="24"/>
  <c r="E38" i="24"/>
  <c r="D38" i="24"/>
  <c r="C38" i="24"/>
  <c r="B38" i="24"/>
  <c r="G37" i="24"/>
  <c r="F37" i="24"/>
  <c r="E37" i="24"/>
  <c r="D37" i="24"/>
  <c r="C37" i="24"/>
  <c r="B37" i="24"/>
  <c r="G36" i="24"/>
  <c r="F36" i="24"/>
  <c r="E36" i="24"/>
  <c r="D36" i="24"/>
  <c r="C36" i="24"/>
  <c r="B36" i="24"/>
  <c r="G35" i="24"/>
  <c r="F35" i="24"/>
  <c r="E35" i="24"/>
  <c r="D35" i="24"/>
  <c r="C35" i="24"/>
  <c r="B35" i="24"/>
  <c r="G34" i="24"/>
  <c r="F34" i="24"/>
  <c r="E34" i="24"/>
  <c r="D34" i="24"/>
  <c r="C34" i="24"/>
  <c r="B34" i="24"/>
  <c r="G33" i="24"/>
  <c r="F33" i="24"/>
  <c r="E33" i="24"/>
  <c r="D33" i="24"/>
  <c r="C33" i="24"/>
  <c r="B33" i="24"/>
  <c r="G32" i="24"/>
  <c r="F32" i="24"/>
  <c r="E32" i="24"/>
  <c r="D32" i="24"/>
  <c r="C32" i="24"/>
  <c r="B32" i="24"/>
  <c r="G31" i="24"/>
  <c r="F31" i="24"/>
  <c r="E31" i="24"/>
  <c r="D31" i="24"/>
  <c r="C31" i="24"/>
  <c r="B31" i="24"/>
  <c r="G30" i="24"/>
  <c r="F30" i="24"/>
  <c r="E30" i="24"/>
  <c r="D30" i="24"/>
  <c r="C30" i="24"/>
  <c r="B30" i="24"/>
  <c r="G29" i="24"/>
  <c r="F29" i="24"/>
  <c r="E29" i="24"/>
  <c r="D29" i="24"/>
  <c r="C29" i="24"/>
  <c r="B29" i="24"/>
  <c r="G28" i="24"/>
  <c r="F28" i="24"/>
  <c r="S11" i="2" s="1"/>
  <c r="E28" i="24"/>
  <c r="D28" i="24"/>
  <c r="C28" i="24"/>
  <c r="B28" i="24"/>
  <c r="G27" i="24"/>
  <c r="F27" i="24"/>
  <c r="E27" i="24"/>
  <c r="D27" i="24"/>
  <c r="C27" i="24"/>
  <c r="B27" i="24"/>
  <c r="B18" i="24"/>
  <c r="D14" i="24"/>
  <c r="C14" i="24"/>
  <c r="B14" i="24"/>
  <c r="E10" i="24"/>
  <c r="D10" i="24"/>
  <c r="B10" i="24"/>
  <c r="B7" i="24"/>
  <c r="G278" i="23"/>
  <c r="F278" i="23"/>
  <c r="E278" i="23"/>
  <c r="D278" i="23"/>
  <c r="C278" i="23"/>
  <c r="B278" i="23"/>
  <c r="G277" i="23"/>
  <c r="F277" i="23"/>
  <c r="E277" i="23"/>
  <c r="D277" i="23"/>
  <c r="C277" i="23"/>
  <c r="B277" i="23"/>
  <c r="G276" i="23"/>
  <c r="F276" i="23"/>
  <c r="E276" i="23"/>
  <c r="D276" i="23"/>
  <c r="C276" i="23"/>
  <c r="B276" i="23"/>
  <c r="G275" i="23"/>
  <c r="F275" i="23"/>
  <c r="E275" i="23"/>
  <c r="D275" i="23"/>
  <c r="C275" i="23"/>
  <c r="B275" i="23"/>
  <c r="G274" i="23"/>
  <c r="F274" i="23"/>
  <c r="E274" i="23"/>
  <c r="D274" i="23"/>
  <c r="C274" i="23"/>
  <c r="B274" i="23"/>
  <c r="G273" i="23"/>
  <c r="F273" i="23"/>
  <c r="E273" i="23"/>
  <c r="D273" i="23"/>
  <c r="C273" i="23"/>
  <c r="B273" i="23"/>
  <c r="G272" i="23"/>
  <c r="F272" i="23"/>
  <c r="E272" i="23"/>
  <c r="D272" i="23"/>
  <c r="C272" i="23"/>
  <c r="B272" i="23"/>
  <c r="G271" i="23"/>
  <c r="F271" i="23"/>
  <c r="E271" i="23"/>
  <c r="D271" i="23"/>
  <c r="C271" i="23"/>
  <c r="B271" i="23"/>
  <c r="G270" i="23"/>
  <c r="F270" i="23"/>
  <c r="E270" i="23"/>
  <c r="D270" i="23"/>
  <c r="C270" i="23"/>
  <c r="B270" i="23"/>
  <c r="G269" i="23"/>
  <c r="F269" i="23"/>
  <c r="E269" i="23"/>
  <c r="D269" i="23"/>
  <c r="C269" i="23"/>
  <c r="B269" i="23"/>
  <c r="G268" i="23"/>
  <c r="F268" i="23"/>
  <c r="E268" i="23"/>
  <c r="D268" i="23"/>
  <c r="C268" i="23"/>
  <c r="B268" i="23"/>
  <c r="G267" i="23"/>
  <c r="F267" i="23"/>
  <c r="E267" i="23"/>
  <c r="D267" i="23"/>
  <c r="C267" i="23"/>
  <c r="B267" i="23"/>
  <c r="G266" i="23"/>
  <c r="F266" i="23"/>
  <c r="E266" i="23"/>
  <c r="D266" i="23"/>
  <c r="C266" i="23"/>
  <c r="B266" i="23"/>
  <c r="G265" i="23"/>
  <c r="F265" i="23"/>
  <c r="E265" i="23"/>
  <c r="D265" i="23"/>
  <c r="C265" i="23"/>
  <c r="B265" i="23"/>
  <c r="G264" i="23"/>
  <c r="F264" i="23"/>
  <c r="E264" i="23"/>
  <c r="D264" i="23"/>
  <c r="C264" i="23"/>
  <c r="B264" i="23"/>
  <c r="G263" i="23"/>
  <c r="F263" i="23"/>
  <c r="E263" i="23"/>
  <c r="D263" i="23"/>
  <c r="C263" i="23"/>
  <c r="B263" i="23"/>
  <c r="G262" i="23"/>
  <c r="F262" i="23"/>
  <c r="E262" i="23"/>
  <c r="D262" i="23"/>
  <c r="C262" i="23"/>
  <c r="B262" i="23"/>
  <c r="G261" i="23"/>
  <c r="F261" i="23"/>
  <c r="E261" i="23"/>
  <c r="D261" i="23"/>
  <c r="C261" i="23"/>
  <c r="B261" i="23"/>
  <c r="G260" i="23"/>
  <c r="F260" i="23"/>
  <c r="E260" i="23"/>
  <c r="D260" i="23"/>
  <c r="C260" i="23"/>
  <c r="B260" i="23"/>
  <c r="G259" i="23"/>
  <c r="F259" i="23"/>
  <c r="E259" i="23"/>
  <c r="D259" i="23"/>
  <c r="C259" i="23"/>
  <c r="B259" i="23"/>
  <c r="G258" i="23"/>
  <c r="F258" i="23"/>
  <c r="E258" i="23"/>
  <c r="D258" i="23"/>
  <c r="C258" i="23"/>
  <c r="B258" i="23"/>
  <c r="G257" i="23"/>
  <c r="F257" i="23"/>
  <c r="E257" i="23"/>
  <c r="D257" i="23"/>
  <c r="C257" i="23"/>
  <c r="B257" i="23"/>
  <c r="G256" i="23"/>
  <c r="F256" i="23"/>
  <c r="P39" i="2" s="1"/>
  <c r="E256" i="23"/>
  <c r="D256" i="23"/>
  <c r="C256" i="23"/>
  <c r="B256" i="23"/>
  <c r="G255" i="23"/>
  <c r="F255" i="23"/>
  <c r="E255" i="23"/>
  <c r="D255" i="23"/>
  <c r="C255" i="23"/>
  <c r="B255" i="23"/>
  <c r="G254" i="23"/>
  <c r="F254" i="23"/>
  <c r="E254" i="23"/>
  <c r="D254" i="23"/>
  <c r="C254" i="23"/>
  <c r="B254" i="23"/>
  <c r="G253" i="23"/>
  <c r="F253" i="23"/>
  <c r="E253" i="23"/>
  <c r="D253" i="23"/>
  <c r="C253" i="23"/>
  <c r="B253" i="23"/>
  <c r="G252" i="23"/>
  <c r="F252" i="23"/>
  <c r="E252" i="23"/>
  <c r="D252" i="23"/>
  <c r="C252" i="23"/>
  <c r="B252" i="23"/>
  <c r="G251" i="23"/>
  <c r="F251" i="23"/>
  <c r="E251" i="23"/>
  <c r="D251" i="23"/>
  <c r="C251" i="23"/>
  <c r="B251" i="23"/>
  <c r="G250" i="23"/>
  <c r="F250" i="23"/>
  <c r="E250" i="23"/>
  <c r="D250" i="23"/>
  <c r="C250" i="23"/>
  <c r="B250" i="23"/>
  <c r="G249" i="23"/>
  <c r="F249" i="23"/>
  <c r="E249" i="23"/>
  <c r="D249" i="23"/>
  <c r="C249" i="23"/>
  <c r="B249" i="23"/>
  <c r="G248" i="23"/>
  <c r="F248" i="23"/>
  <c r="E248" i="23"/>
  <c r="D248" i="23"/>
  <c r="C248" i="23"/>
  <c r="B248" i="23"/>
  <c r="G247" i="23"/>
  <c r="F247" i="23"/>
  <c r="E247" i="23"/>
  <c r="D247" i="23"/>
  <c r="C247" i="23"/>
  <c r="B247" i="23"/>
  <c r="G246" i="23"/>
  <c r="F246" i="23"/>
  <c r="E246" i="23"/>
  <c r="D246" i="23"/>
  <c r="C246" i="23"/>
  <c r="B246" i="23"/>
  <c r="G245" i="23"/>
  <c r="F245" i="23"/>
  <c r="E245" i="23"/>
  <c r="D245" i="23"/>
  <c r="C245" i="23"/>
  <c r="B245" i="23"/>
  <c r="G244" i="23"/>
  <c r="F244" i="23"/>
  <c r="E244" i="23"/>
  <c r="D244" i="23"/>
  <c r="C244" i="23"/>
  <c r="B244" i="23"/>
  <c r="G243" i="23"/>
  <c r="F243" i="23"/>
  <c r="E243" i="23"/>
  <c r="D243" i="23"/>
  <c r="C243" i="23"/>
  <c r="B243" i="23"/>
  <c r="G242" i="23"/>
  <c r="F242" i="23"/>
  <c r="E242" i="23"/>
  <c r="D242" i="23"/>
  <c r="C242" i="23"/>
  <c r="B242" i="23"/>
  <c r="G241" i="23"/>
  <c r="F241" i="23"/>
  <c r="E241" i="23"/>
  <c r="D241" i="23"/>
  <c r="C241" i="23"/>
  <c r="B241" i="23"/>
  <c r="G240" i="23"/>
  <c r="F240" i="23"/>
  <c r="E240" i="23"/>
  <c r="D240" i="23"/>
  <c r="C240" i="23"/>
  <c r="B240" i="23"/>
  <c r="G239" i="23"/>
  <c r="F239" i="23"/>
  <c r="E239" i="23"/>
  <c r="D239" i="23"/>
  <c r="C239" i="23"/>
  <c r="B239" i="23"/>
  <c r="G238" i="23"/>
  <c r="F238" i="23"/>
  <c r="E238" i="23"/>
  <c r="D238" i="23"/>
  <c r="C238" i="23"/>
  <c r="B238" i="23"/>
  <c r="G237" i="23"/>
  <c r="F237" i="23"/>
  <c r="E237" i="23"/>
  <c r="D237" i="23"/>
  <c r="C237" i="23"/>
  <c r="B237" i="23"/>
  <c r="G236" i="23"/>
  <c r="F236" i="23"/>
  <c r="E236" i="23"/>
  <c r="D236" i="23"/>
  <c r="C236" i="23"/>
  <c r="B236" i="23"/>
  <c r="G235" i="23"/>
  <c r="F235" i="23"/>
  <c r="E235" i="23"/>
  <c r="D235" i="23"/>
  <c r="C235" i="23"/>
  <c r="B235" i="23"/>
  <c r="G234" i="23"/>
  <c r="F234" i="23"/>
  <c r="E234" i="23"/>
  <c r="D234" i="23"/>
  <c r="C234" i="23"/>
  <c r="B234" i="23"/>
  <c r="G233" i="23"/>
  <c r="F233" i="23"/>
  <c r="E233" i="23"/>
  <c r="D233" i="23"/>
  <c r="C233" i="23"/>
  <c r="B233" i="23"/>
  <c r="G232" i="23"/>
  <c r="F232" i="23"/>
  <c r="E232" i="23"/>
  <c r="D232" i="23"/>
  <c r="C232" i="23"/>
  <c r="B232" i="23"/>
  <c r="G231" i="23"/>
  <c r="F231" i="23"/>
  <c r="E231" i="23"/>
  <c r="D231" i="23"/>
  <c r="C231" i="23"/>
  <c r="B231" i="23"/>
  <c r="G230" i="23"/>
  <c r="F230" i="23"/>
  <c r="E230" i="23"/>
  <c r="D230" i="23"/>
  <c r="C230" i="23"/>
  <c r="B230" i="23"/>
  <c r="G229" i="23"/>
  <c r="F229" i="23"/>
  <c r="E229" i="23"/>
  <c r="D229" i="23"/>
  <c r="C229" i="23"/>
  <c r="B229" i="23"/>
  <c r="G228" i="23"/>
  <c r="F228" i="23"/>
  <c r="E228" i="23"/>
  <c r="D228" i="23"/>
  <c r="C228" i="23"/>
  <c r="B228" i="23"/>
  <c r="G227" i="23"/>
  <c r="F227" i="23"/>
  <c r="E227" i="23"/>
  <c r="D227" i="23"/>
  <c r="C227" i="23"/>
  <c r="B227" i="23"/>
  <c r="G226" i="23"/>
  <c r="F226" i="23"/>
  <c r="E226" i="23"/>
  <c r="D226" i="23"/>
  <c r="C226" i="23"/>
  <c r="B226" i="23"/>
  <c r="G225" i="23"/>
  <c r="F225" i="23"/>
  <c r="E225" i="23"/>
  <c r="D225" i="23"/>
  <c r="C225" i="23"/>
  <c r="B225" i="23"/>
  <c r="G224" i="23"/>
  <c r="F224" i="23"/>
  <c r="E224" i="23"/>
  <c r="D224" i="23"/>
  <c r="C224" i="23"/>
  <c r="B224" i="23"/>
  <c r="G223" i="23"/>
  <c r="F223" i="23"/>
  <c r="E223" i="23"/>
  <c r="D223" i="23"/>
  <c r="C223" i="23"/>
  <c r="B223" i="23"/>
  <c r="G222" i="23"/>
  <c r="F222" i="23"/>
  <c r="E222" i="23"/>
  <c r="D222" i="23"/>
  <c r="C222" i="23"/>
  <c r="B222" i="23"/>
  <c r="G221" i="23"/>
  <c r="F221" i="23"/>
  <c r="E221" i="23"/>
  <c r="D221" i="23"/>
  <c r="C221" i="23"/>
  <c r="B221" i="23"/>
  <c r="G220" i="23"/>
  <c r="F220" i="23"/>
  <c r="E220" i="23"/>
  <c r="D220" i="23"/>
  <c r="C220" i="23"/>
  <c r="B220" i="23"/>
  <c r="G219" i="23"/>
  <c r="F219" i="23"/>
  <c r="E219" i="23"/>
  <c r="D219" i="23"/>
  <c r="C219" i="23"/>
  <c r="B219" i="23"/>
  <c r="G218" i="23"/>
  <c r="F218" i="23"/>
  <c r="E218" i="23"/>
  <c r="D218" i="23"/>
  <c r="C218" i="23"/>
  <c r="B218" i="23"/>
  <c r="G217" i="23"/>
  <c r="F217" i="23"/>
  <c r="E217" i="23"/>
  <c r="D217" i="23"/>
  <c r="C217" i="23"/>
  <c r="B217" i="23"/>
  <c r="G216" i="23"/>
  <c r="F216" i="23"/>
  <c r="E216" i="23"/>
  <c r="D216" i="23"/>
  <c r="C216" i="23"/>
  <c r="B216" i="23"/>
  <c r="G215" i="23"/>
  <c r="F215" i="23"/>
  <c r="E215" i="23"/>
  <c r="D215" i="23"/>
  <c r="C215" i="23"/>
  <c r="B215" i="23"/>
  <c r="G214" i="23"/>
  <c r="F214" i="23"/>
  <c r="E214" i="23"/>
  <c r="D214" i="23"/>
  <c r="C214" i="23"/>
  <c r="B214" i="23"/>
  <c r="G213" i="23"/>
  <c r="F213" i="23"/>
  <c r="E213" i="23"/>
  <c r="D213" i="23"/>
  <c r="C213" i="23"/>
  <c r="B213" i="23"/>
  <c r="G212" i="23"/>
  <c r="F212" i="23"/>
  <c r="E212" i="23"/>
  <c r="D212" i="23"/>
  <c r="C212" i="23"/>
  <c r="B212" i="23"/>
  <c r="G211" i="23"/>
  <c r="F211" i="23"/>
  <c r="E211" i="23"/>
  <c r="D211" i="23"/>
  <c r="C211" i="23"/>
  <c r="B211" i="23"/>
  <c r="G210" i="23"/>
  <c r="F210" i="23"/>
  <c r="E210" i="23"/>
  <c r="D210" i="23"/>
  <c r="C210" i="23"/>
  <c r="B210" i="23"/>
  <c r="G209" i="23"/>
  <c r="F209" i="23"/>
  <c r="E209" i="23"/>
  <c r="D209" i="23"/>
  <c r="C209" i="23"/>
  <c r="B209" i="23"/>
  <c r="G208" i="23"/>
  <c r="F208" i="23"/>
  <c r="E208" i="23"/>
  <c r="D208" i="23"/>
  <c r="C208" i="23"/>
  <c r="B208" i="23"/>
  <c r="G207" i="23"/>
  <c r="F207" i="23"/>
  <c r="E207" i="23"/>
  <c r="D207" i="23"/>
  <c r="C207" i="23"/>
  <c r="B207" i="23"/>
  <c r="G206" i="23"/>
  <c r="F206" i="23"/>
  <c r="E206" i="23"/>
  <c r="D206" i="23"/>
  <c r="C206" i="23"/>
  <c r="B206" i="23"/>
  <c r="G205" i="23"/>
  <c r="F205" i="23"/>
  <c r="E205" i="23"/>
  <c r="D205" i="23"/>
  <c r="C205" i="23"/>
  <c r="B205" i="23"/>
  <c r="G204" i="23"/>
  <c r="F204" i="23"/>
  <c r="E204" i="23"/>
  <c r="D204" i="23"/>
  <c r="C204" i="23"/>
  <c r="B204" i="23"/>
  <c r="G203" i="23"/>
  <c r="F203" i="23"/>
  <c r="E203" i="23"/>
  <c r="D203" i="23"/>
  <c r="C203" i="23"/>
  <c r="B203" i="23"/>
  <c r="G202" i="23"/>
  <c r="F202" i="23"/>
  <c r="E202" i="23"/>
  <c r="D202" i="23"/>
  <c r="C202" i="23"/>
  <c r="B202" i="23"/>
  <c r="G201" i="23"/>
  <c r="F201" i="23"/>
  <c r="E201" i="23"/>
  <c r="D201" i="23"/>
  <c r="C201" i="23"/>
  <c r="B201" i="23"/>
  <c r="G200" i="23"/>
  <c r="F200" i="23"/>
  <c r="E200" i="23"/>
  <c r="D200" i="23"/>
  <c r="C200" i="23"/>
  <c r="B200" i="23"/>
  <c r="G199" i="23"/>
  <c r="F199" i="23"/>
  <c r="E199" i="23"/>
  <c r="D199" i="23"/>
  <c r="C199" i="23"/>
  <c r="B199" i="23"/>
  <c r="G198" i="23"/>
  <c r="F198" i="23"/>
  <c r="E198" i="23"/>
  <c r="D198" i="23"/>
  <c r="C198" i="23"/>
  <c r="B198" i="23"/>
  <c r="G197" i="23"/>
  <c r="F197" i="23"/>
  <c r="E197" i="23"/>
  <c r="D197" i="23"/>
  <c r="C197" i="23"/>
  <c r="B197" i="23"/>
  <c r="G196" i="23"/>
  <c r="F196" i="23"/>
  <c r="E196" i="23"/>
  <c r="D196" i="23"/>
  <c r="C196" i="23"/>
  <c r="B196" i="23"/>
  <c r="G195" i="23"/>
  <c r="F195" i="23"/>
  <c r="E195" i="23"/>
  <c r="D195" i="23"/>
  <c r="C195" i="23"/>
  <c r="B195" i="23"/>
  <c r="G194" i="23"/>
  <c r="F194" i="23"/>
  <c r="E194" i="23"/>
  <c r="D194" i="23"/>
  <c r="C194" i="23"/>
  <c r="B194" i="23"/>
  <c r="G193" i="23"/>
  <c r="F193" i="23"/>
  <c r="E193" i="23"/>
  <c r="D193" i="23"/>
  <c r="C193" i="23"/>
  <c r="B193" i="23"/>
  <c r="G192" i="23"/>
  <c r="F192" i="23"/>
  <c r="E192" i="23"/>
  <c r="D192" i="23"/>
  <c r="C192" i="23"/>
  <c r="B192" i="23"/>
  <c r="G191" i="23"/>
  <c r="F191" i="23"/>
  <c r="E191" i="23"/>
  <c r="D191" i="23"/>
  <c r="C191" i="23"/>
  <c r="B191" i="23"/>
  <c r="G190" i="23"/>
  <c r="F190" i="23"/>
  <c r="E190" i="23"/>
  <c r="D190" i="23"/>
  <c r="C190" i="23"/>
  <c r="B190" i="23"/>
  <c r="G189" i="23"/>
  <c r="F189" i="23"/>
  <c r="E189" i="23"/>
  <c r="D189" i="23"/>
  <c r="C189" i="23"/>
  <c r="B189" i="23"/>
  <c r="G188" i="23"/>
  <c r="F188" i="23"/>
  <c r="E188" i="23"/>
  <c r="D188" i="23"/>
  <c r="C188" i="23"/>
  <c r="B188" i="23"/>
  <c r="G187" i="23"/>
  <c r="F187" i="23"/>
  <c r="E187" i="23"/>
  <c r="D187" i="23"/>
  <c r="C187" i="23"/>
  <c r="B187" i="23"/>
  <c r="G186" i="23"/>
  <c r="F186" i="23"/>
  <c r="E186" i="23"/>
  <c r="D186" i="23"/>
  <c r="C186" i="23"/>
  <c r="B186" i="23"/>
  <c r="G185" i="23"/>
  <c r="F185" i="23"/>
  <c r="E185" i="23"/>
  <c r="D185" i="23"/>
  <c r="C185" i="23"/>
  <c r="B185" i="23"/>
  <c r="G184" i="23"/>
  <c r="F184" i="23"/>
  <c r="E184" i="23"/>
  <c r="D184" i="23"/>
  <c r="C184" i="23"/>
  <c r="B184" i="23"/>
  <c r="G183" i="23"/>
  <c r="F183" i="23"/>
  <c r="E183" i="23"/>
  <c r="D183" i="23"/>
  <c r="C183" i="23"/>
  <c r="B183" i="23"/>
  <c r="G182" i="23"/>
  <c r="F182" i="23"/>
  <c r="E182" i="23"/>
  <c r="D182" i="23"/>
  <c r="C182" i="23"/>
  <c r="B182" i="23"/>
  <c r="G181" i="23"/>
  <c r="F181" i="23"/>
  <c r="E181" i="23"/>
  <c r="D181" i="23"/>
  <c r="C181" i="23"/>
  <c r="B181" i="23"/>
  <c r="G180" i="23"/>
  <c r="F180" i="23"/>
  <c r="E180" i="23"/>
  <c r="D180" i="23"/>
  <c r="C180" i="23"/>
  <c r="B180" i="23"/>
  <c r="G179" i="23"/>
  <c r="F179" i="23"/>
  <c r="E179" i="23"/>
  <c r="D179" i="23"/>
  <c r="C179" i="23"/>
  <c r="B179" i="23"/>
  <c r="G178" i="23"/>
  <c r="F178" i="23"/>
  <c r="E178" i="23"/>
  <c r="D178" i="23"/>
  <c r="C178" i="23"/>
  <c r="B178" i="23"/>
  <c r="G177" i="23"/>
  <c r="F177" i="23"/>
  <c r="E177" i="23"/>
  <c r="D177" i="23"/>
  <c r="C177" i="23"/>
  <c r="B177" i="23"/>
  <c r="G176" i="23"/>
  <c r="F176" i="23"/>
  <c r="E176" i="23"/>
  <c r="D176" i="23"/>
  <c r="C176" i="23"/>
  <c r="B176" i="23"/>
  <c r="G175" i="23"/>
  <c r="F175" i="23"/>
  <c r="E175" i="23"/>
  <c r="D175" i="23"/>
  <c r="C175" i="23"/>
  <c r="B175" i="23"/>
  <c r="G174" i="23"/>
  <c r="F174" i="23"/>
  <c r="E174" i="23"/>
  <c r="D174" i="23"/>
  <c r="C174" i="23"/>
  <c r="B174" i="23"/>
  <c r="G173" i="23"/>
  <c r="F173" i="23"/>
  <c r="E173" i="23"/>
  <c r="D173" i="23"/>
  <c r="C173" i="23"/>
  <c r="B173" i="23"/>
  <c r="G172" i="23"/>
  <c r="F172" i="23"/>
  <c r="E172" i="23"/>
  <c r="D172" i="23"/>
  <c r="C172" i="23"/>
  <c r="B172" i="23"/>
  <c r="G171" i="23"/>
  <c r="F171" i="23"/>
  <c r="E171" i="23"/>
  <c r="D171" i="23"/>
  <c r="C171" i="23"/>
  <c r="B171" i="23"/>
  <c r="G170" i="23"/>
  <c r="F170" i="23"/>
  <c r="E170" i="23"/>
  <c r="D170" i="23"/>
  <c r="C170" i="23"/>
  <c r="B170" i="23"/>
  <c r="G169" i="23"/>
  <c r="F169" i="23"/>
  <c r="E169" i="23"/>
  <c r="D169" i="23"/>
  <c r="C169" i="23"/>
  <c r="B169" i="23"/>
  <c r="G168" i="23"/>
  <c r="F168" i="23"/>
  <c r="E168" i="23"/>
  <c r="D168" i="23"/>
  <c r="C168" i="23"/>
  <c r="B168" i="23"/>
  <c r="G167" i="23"/>
  <c r="F167" i="23"/>
  <c r="E167" i="23"/>
  <c r="D167" i="23"/>
  <c r="C167" i="23"/>
  <c r="B167" i="23"/>
  <c r="G166" i="23"/>
  <c r="F166" i="23"/>
  <c r="E166" i="23"/>
  <c r="D166" i="23"/>
  <c r="C166" i="23"/>
  <c r="B166" i="23"/>
  <c r="G165" i="23"/>
  <c r="F165" i="23"/>
  <c r="E165" i="23"/>
  <c r="D165" i="23"/>
  <c r="C165" i="23"/>
  <c r="B165" i="23"/>
  <c r="G164" i="23"/>
  <c r="F164" i="23"/>
  <c r="E164" i="23"/>
  <c r="D164" i="23"/>
  <c r="C164" i="23"/>
  <c r="B164" i="23"/>
  <c r="G163" i="23"/>
  <c r="F163" i="23"/>
  <c r="E163" i="23"/>
  <c r="D163" i="23"/>
  <c r="C163" i="23"/>
  <c r="B163" i="23"/>
  <c r="G162" i="23"/>
  <c r="F162" i="23"/>
  <c r="E162" i="23"/>
  <c r="D162" i="23"/>
  <c r="C162" i="23"/>
  <c r="B162" i="23"/>
  <c r="G161" i="23"/>
  <c r="F161" i="23"/>
  <c r="E161" i="23"/>
  <c r="D161" i="23"/>
  <c r="C161" i="23"/>
  <c r="B161" i="23"/>
  <c r="G160" i="23"/>
  <c r="F160" i="23"/>
  <c r="E160" i="23"/>
  <c r="D160" i="23"/>
  <c r="C160" i="23"/>
  <c r="B160" i="23"/>
  <c r="G159" i="23"/>
  <c r="F159" i="23"/>
  <c r="E159" i="23"/>
  <c r="D159" i="23"/>
  <c r="C159" i="23"/>
  <c r="B159" i="23"/>
  <c r="G158" i="23"/>
  <c r="F158" i="23"/>
  <c r="E158" i="23"/>
  <c r="D158" i="23"/>
  <c r="C158" i="23"/>
  <c r="B158" i="23"/>
  <c r="G157" i="23"/>
  <c r="F157" i="23"/>
  <c r="E157" i="23"/>
  <c r="D157" i="23"/>
  <c r="C157" i="23"/>
  <c r="B157" i="23"/>
  <c r="G156" i="23"/>
  <c r="F156" i="23"/>
  <c r="E156" i="23"/>
  <c r="D156" i="23"/>
  <c r="C156" i="23"/>
  <c r="B156" i="23"/>
  <c r="G155" i="23"/>
  <c r="F155" i="23"/>
  <c r="E155" i="23"/>
  <c r="D155" i="23"/>
  <c r="C155" i="23"/>
  <c r="B155" i="23"/>
  <c r="G154" i="23"/>
  <c r="F154" i="23"/>
  <c r="E154" i="23"/>
  <c r="D154" i="23"/>
  <c r="C154" i="23"/>
  <c r="B154" i="23"/>
  <c r="G153" i="23"/>
  <c r="F153" i="23"/>
  <c r="E153" i="23"/>
  <c r="D153" i="23"/>
  <c r="C153" i="23"/>
  <c r="B153" i="23"/>
  <c r="G152" i="23"/>
  <c r="F152" i="23"/>
  <c r="E152" i="23"/>
  <c r="D152" i="23"/>
  <c r="C152" i="23"/>
  <c r="B152" i="23"/>
  <c r="G151" i="23"/>
  <c r="F151" i="23"/>
  <c r="E151" i="23"/>
  <c r="D151" i="23"/>
  <c r="C151" i="23"/>
  <c r="B151" i="23"/>
  <c r="G150" i="23"/>
  <c r="F150" i="23"/>
  <c r="E150" i="23"/>
  <c r="D150" i="23"/>
  <c r="C150" i="23"/>
  <c r="B150" i="23"/>
  <c r="G149" i="23"/>
  <c r="F149" i="23"/>
  <c r="E149" i="23"/>
  <c r="D149" i="23"/>
  <c r="C149" i="23"/>
  <c r="B149" i="23"/>
  <c r="G148" i="23"/>
  <c r="F148" i="23"/>
  <c r="E148" i="23"/>
  <c r="D148" i="23"/>
  <c r="C148" i="23"/>
  <c r="B148" i="23"/>
  <c r="G147" i="23"/>
  <c r="F147" i="23"/>
  <c r="E147" i="23"/>
  <c r="D147" i="23"/>
  <c r="C147" i="23"/>
  <c r="B147" i="23"/>
  <c r="G146" i="23"/>
  <c r="F146" i="23"/>
  <c r="E146" i="23"/>
  <c r="D146" i="23"/>
  <c r="C146" i="23"/>
  <c r="B146" i="23"/>
  <c r="G145" i="23"/>
  <c r="F145" i="23"/>
  <c r="E145" i="23"/>
  <c r="D145" i="23"/>
  <c r="C145" i="23"/>
  <c r="B145" i="23"/>
  <c r="G144" i="23"/>
  <c r="F144" i="23"/>
  <c r="E144" i="23"/>
  <c r="D144" i="23"/>
  <c r="C144" i="23"/>
  <c r="B144" i="23"/>
  <c r="G143" i="23"/>
  <c r="F143" i="23"/>
  <c r="E143" i="23"/>
  <c r="D143" i="23"/>
  <c r="C143" i="23"/>
  <c r="B143" i="23"/>
  <c r="G142" i="23"/>
  <c r="F142" i="23"/>
  <c r="E142" i="23"/>
  <c r="D142" i="23"/>
  <c r="C142" i="23"/>
  <c r="B142" i="23"/>
  <c r="G141" i="23"/>
  <c r="F141" i="23"/>
  <c r="E141" i="23"/>
  <c r="D141" i="23"/>
  <c r="C141" i="23"/>
  <c r="B141" i="23"/>
  <c r="G140" i="23"/>
  <c r="F140" i="23"/>
  <c r="E140" i="23"/>
  <c r="D140" i="23"/>
  <c r="C140" i="23"/>
  <c r="B140" i="23"/>
  <c r="G139" i="23"/>
  <c r="F139" i="23"/>
  <c r="E139" i="23"/>
  <c r="D139" i="23"/>
  <c r="C139" i="23"/>
  <c r="B139" i="23"/>
  <c r="G138" i="23"/>
  <c r="F138" i="23"/>
  <c r="E138" i="23"/>
  <c r="D138" i="23"/>
  <c r="C138" i="23"/>
  <c r="B138" i="23"/>
  <c r="G137" i="23"/>
  <c r="F137" i="23"/>
  <c r="E137" i="23"/>
  <c r="D137" i="23"/>
  <c r="C137" i="23"/>
  <c r="B137" i="23"/>
  <c r="G136" i="23"/>
  <c r="F136" i="23"/>
  <c r="E136" i="23"/>
  <c r="D136" i="23"/>
  <c r="C136" i="23"/>
  <c r="B136" i="23"/>
  <c r="G135" i="23"/>
  <c r="F135" i="23"/>
  <c r="E135" i="23"/>
  <c r="D135" i="23"/>
  <c r="C135" i="23"/>
  <c r="B135" i="23"/>
  <c r="G134" i="23"/>
  <c r="F134" i="23"/>
  <c r="E134" i="23"/>
  <c r="D134" i="23"/>
  <c r="C134" i="23"/>
  <c r="B134" i="23"/>
  <c r="G133" i="23"/>
  <c r="F133" i="23"/>
  <c r="E133" i="23"/>
  <c r="D133" i="23"/>
  <c r="C133" i="23"/>
  <c r="B133" i="23"/>
  <c r="G132" i="23"/>
  <c r="F132" i="23"/>
  <c r="E132" i="23"/>
  <c r="D132" i="23"/>
  <c r="C132" i="23"/>
  <c r="B132" i="23"/>
  <c r="G131" i="23"/>
  <c r="F131" i="23"/>
  <c r="E131" i="23"/>
  <c r="D131" i="23"/>
  <c r="C131" i="23"/>
  <c r="B131" i="23"/>
  <c r="G130" i="23"/>
  <c r="F130" i="23"/>
  <c r="E130" i="23"/>
  <c r="D130" i="23"/>
  <c r="C130" i="23"/>
  <c r="B130" i="23"/>
  <c r="G129" i="23"/>
  <c r="F129" i="23"/>
  <c r="E129" i="23"/>
  <c r="D129" i="23"/>
  <c r="C129" i="23"/>
  <c r="B129" i="23"/>
  <c r="G128" i="23"/>
  <c r="F128" i="23"/>
  <c r="E128" i="23"/>
  <c r="D128" i="23"/>
  <c r="C128" i="23"/>
  <c r="B128" i="23"/>
  <c r="G127" i="23"/>
  <c r="F127" i="23"/>
  <c r="E127" i="23"/>
  <c r="D127" i="23"/>
  <c r="C127" i="23"/>
  <c r="B127" i="23"/>
  <c r="G126" i="23"/>
  <c r="F126" i="23"/>
  <c r="E126" i="23"/>
  <c r="D126" i="23"/>
  <c r="C126" i="23"/>
  <c r="B126" i="23"/>
  <c r="G125" i="23"/>
  <c r="F125" i="23"/>
  <c r="E125" i="23"/>
  <c r="D125" i="23"/>
  <c r="C125" i="23"/>
  <c r="B125" i="23"/>
  <c r="G124" i="23"/>
  <c r="F124" i="23"/>
  <c r="E124" i="23"/>
  <c r="D124" i="23"/>
  <c r="C124" i="23"/>
  <c r="B124" i="23"/>
  <c r="G123" i="23"/>
  <c r="F123" i="23"/>
  <c r="E123" i="23"/>
  <c r="D123" i="23"/>
  <c r="C123" i="23"/>
  <c r="B123" i="23"/>
  <c r="G122" i="23"/>
  <c r="F122" i="23"/>
  <c r="E122" i="23"/>
  <c r="D122" i="23"/>
  <c r="C122" i="23"/>
  <c r="B122" i="23"/>
  <c r="G121" i="23"/>
  <c r="F121" i="23"/>
  <c r="E121" i="23"/>
  <c r="D121" i="23"/>
  <c r="C121" i="23"/>
  <c r="B121" i="23"/>
  <c r="G120" i="23"/>
  <c r="F120" i="23"/>
  <c r="E120" i="23"/>
  <c r="D120" i="23"/>
  <c r="C120" i="23"/>
  <c r="B120" i="23"/>
  <c r="G119" i="23"/>
  <c r="F119" i="23"/>
  <c r="E119" i="23"/>
  <c r="D119" i="23"/>
  <c r="C119" i="23"/>
  <c r="B119" i="23"/>
  <c r="G118" i="23"/>
  <c r="F118" i="23"/>
  <c r="E118" i="23"/>
  <c r="D118" i="23"/>
  <c r="C118" i="23"/>
  <c r="B118" i="23"/>
  <c r="G117" i="23"/>
  <c r="F117" i="23"/>
  <c r="E117" i="23"/>
  <c r="D117" i="23"/>
  <c r="C117" i="23"/>
  <c r="B117" i="23"/>
  <c r="G116" i="23"/>
  <c r="F116" i="23"/>
  <c r="E116" i="23"/>
  <c r="D116" i="23"/>
  <c r="C116" i="23"/>
  <c r="B116" i="23"/>
  <c r="G115" i="23"/>
  <c r="F115" i="23"/>
  <c r="E115" i="23"/>
  <c r="D115" i="23"/>
  <c r="C115" i="23"/>
  <c r="B115" i="23"/>
  <c r="G114" i="23"/>
  <c r="F114" i="23"/>
  <c r="E114" i="23"/>
  <c r="D114" i="23"/>
  <c r="C114" i="23"/>
  <c r="B114" i="23"/>
  <c r="G113" i="23"/>
  <c r="F113" i="23"/>
  <c r="E113" i="23"/>
  <c r="D113" i="23"/>
  <c r="C113" i="23"/>
  <c r="B113" i="23"/>
  <c r="G112" i="23"/>
  <c r="F112" i="23"/>
  <c r="E112" i="23"/>
  <c r="D112" i="23"/>
  <c r="C112" i="23"/>
  <c r="B112" i="23"/>
  <c r="G111" i="23"/>
  <c r="F111" i="23"/>
  <c r="E111" i="23"/>
  <c r="D111" i="23"/>
  <c r="C111" i="23"/>
  <c r="B111" i="23"/>
  <c r="G110" i="23"/>
  <c r="F110" i="23"/>
  <c r="E110" i="23"/>
  <c r="D110" i="23"/>
  <c r="C110" i="23"/>
  <c r="B110" i="23"/>
  <c r="G109" i="23"/>
  <c r="F109" i="23"/>
  <c r="E109" i="23"/>
  <c r="D109" i="23"/>
  <c r="C109" i="23"/>
  <c r="B109" i="23"/>
  <c r="G108" i="23"/>
  <c r="F108" i="23"/>
  <c r="E108" i="23"/>
  <c r="D108" i="23"/>
  <c r="C108" i="23"/>
  <c r="B108" i="23"/>
  <c r="G107" i="23"/>
  <c r="F107" i="23"/>
  <c r="E107" i="23"/>
  <c r="D107" i="23"/>
  <c r="C107" i="23"/>
  <c r="B107" i="23"/>
  <c r="G106" i="23"/>
  <c r="F106" i="23"/>
  <c r="E106" i="23"/>
  <c r="D106" i="23"/>
  <c r="C106" i="23"/>
  <c r="B106" i="23"/>
  <c r="G105" i="23"/>
  <c r="F105" i="23"/>
  <c r="E105" i="23"/>
  <c r="D105" i="23"/>
  <c r="C105" i="23"/>
  <c r="B105" i="23"/>
  <c r="G104" i="23"/>
  <c r="F104" i="23"/>
  <c r="E104" i="23"/>
  <c r="D104" i="23"/>
  <c r="C104" i="23"/>
  <c r="B104" i="23"/>
  <c r="G103" i="23"/>
  <c r="F103" i="23"/>
  <c r="E103" i="23"/>
  <c r="D103" i="23"/>
  <c r="C103" i="23"/>
  <c r="B103" i="23"/>
  <c r="G102" i="23"/>
  <c r="F102" i="23"/>
  <c r="E102" i="23"/>
  <c r="D102" i="23"/>
  <c r="C102" i="23"/>
  <c r="B102" i="23"/>
  <c r="G101" i="23"/>
  <c r="F101" i="23"/>
  <c r="E101" i="23"/>
  <c r="D101" i="23"/>
  <c r="C101" i="23"/>
  <c r="B101" i="23"/>
  <c r="G100" i="23"/>
  <c r="F100" i="23"/>
  <c r="E100" i="23"/>
  <c r="D100" i="23"/>
  <c r="C100" i="23"/>
  <c r="B100" i="23"/>
  <c r="G99" i="23"/>
  <c r="F99" i="23"/>
  <c r="E99" i="23"/>
  <c r="D99" i="23"/>
  <c r="C99" i="23"/>
  <c r="B99" i="23"/>
  <c r="G98" i="23"/>
  <c r="F98" i="23"/>
  <c r="E98" i="23"/>
  <c r="D98" i="23"/>
  <c r="C98" i="23"/>
  <c r="B98" i="23"/>
  <c r="G97" i="23"/>
  <c r="F97" i="23"/>
  <c r="E97" i="23"/>
  <c r="D97" i="23"/>
  <c r="C97" i="23"/>
  <c r="B97" i="23"/>
  <c r="G96" i="23"/>
  <c r="F96" i="23"/>
  <c r="E96" i="23"/>
  <c r="D96" i="23"/>
  <c r="C96" i="23"/>
  <c r="B96" i="23"/>
  <c r="G95" i="23"/>
  <c r="F95" i="23"/>
  <c r="E95" i="23"/>
  <c r="D95" i="23"/>
  <c r="C95" i="23"/>
  <c r="B95" i="23"/>
  <c r="G94" i="23"/>
  <c r="F94" i="23"/>
  <c r="E94" i="23"/>
  <c r="D94" i="23"/>
  <c r="C94" i="23"/>
  <c r="B94" i="23"/>
  <c r="G93" i="23"/>
  <c r="F93" i="23"/>
  <c r="E93" i="23"/>
  <c r="D93" i="23"/>
  <c r="C93" i="23"/>
  <c r="B93" i="23"/>
  <c r="G92" i="23"/>
  <c r="F92" i="23"/>
  <c r="E92" i="23"/>
  <c r="D92" i="23"/>
  <c r="C92" i="23"/>
  <c r="B92" i="23"/>
  <c r="G91" i="23"/>
  <c r="F91" i="23"/>
  <c r="E91" i="23"/>
  <c r="D91" i="23"/>
  <c r="C91" i="23"/>
  <c r="B91" i="23"/>
  <c r="G90" i="23"/>
  <c r="F90" i="23"/>
  <c r="E90" i="23"/>
  <c r="D90" i="23"/>
  <c r="C90" i="23"/>
  <c r="B90" i="23"/>
  <c r="G89" i="23"/>
  <c r="F89" i="23"/>
  <c r="E89" i="23"/>
  <c r="D89" i="23"/>
  <c r="C89" i="23"/>
  <c r="B89" i="23"/>
  <c r="G88" i="23"/>
  <c r="F88" i="23"/>
  <c r="E88" i="23"/>
  <c r="D88" i="23"/>
  <c r="C88" i="23"/>
  <c r="B88" i="23"/>
  <c r="G87" i="23"/>
  <c r="F87" i="23"/>
  <c r="E87" i="23"/>
  <c r="D87" i="23"/>
  <c r="C87" i="23"/>
  <c r="B87" i="23"/>
  <c r="G86" i="23"/>
  <c r="F86" i="23"/>
  <c r="E86" i="23"/>
  <c r="D86" i="23"/>
  <c r="C86" i="23"/>
  <c r="B86" i="23"/>
  <c r="G85" i="23"/>
  <c r="F85" i="23"/>
  <c r="E85" i="23"/>
  <c r="D85" i="23"/>
  <c r="C85" i="23"/>
  <c r="B85" i="23"/>
  <c r="G84" i="23"/>
  <c r="F84" i="23"/>
  <c r="E84" i="23"/>
  <c r="D84" i="23"/>
  <c r="C84" i="23"/>
  <c r="B84" i="23"/>
  <c r="G83" i="23"/>
  <c r="F83" i="23"/>
  <c r="E83" i="23"/>
  <c r="D83" i="23"/>
  <c r="C83" i="23"/>
  <c r="B83" i="23"/>
  <c r="G82" i="23"/>
  <c r="F82" i="23"/>
  <c r="E82" i="23"/>
  <c r="D82" i="23"/>
  <c r="C82" i="23"/>
  <c r="B82" i="23"/>
  <c r="G81" i="23"/>
  <c r="F81" i="23"/>
  <c r="E81" i="23"/>
  <c r="D81" i="23"/>
  <c r="C81" i="23"/>
  <c r="B81" i="23"/>
  <c r="G80" i="23"/>
  <c r="F80" i="23"/>
  <c r="E80" i="23"/>
  <c r="D80" i="23"/>
  <c r="C80" i="23"/>
  <c r="B80" i="23"/>
  <c r="G79" i="23"/>
  <c r="F79" i="23"/>
  <c r="E79" i="23"/>
  <c r="D79" i="23"/>
  <c r="C79" i="23"/>
  <c r="B79" i="23"/>
  <c r="G78" i="23"/>
  <c r="F78" i="23"/>
  <c r="E78" i="23"/>
  <c r="D78" i="23"/>
  <c r="C78" i="23"/>
  <c r="B78" i="23"/>
  <c r="G77" i="23"/>
  <c r="F77" i="23"/>
  <c r="E77" i="23"/>
  <c r="D77" i="23"/>
  <c r="C77" i="23"/>
  <c r="B77" i="23"/>
  <c r="G76" i="23"/>
  <c r="F76" i="23"/>
  <c r="E76" i="23"/>
  <c r="D76" i="23"/>
  <c r="C76" i="23"/>
  <c r="B76" i="23"/>
  <c r="G75" i="23"/>
  <c r="F75" i="23"/>
  <c r="E75" i="23"/>
  <c r="D75" i="23"/>
  <c r="C75" i="23"/>
  <c r="B75" i="23"/>
  <c r="G74" i="23"/>
  <c r="F74" i="23"/>
  <c r="E74" i="23"/>
  <c r="D74" i="23"/>
  <c r="C74" i="23"/>
  <c r="B74" i="23"/>
  <c r="G73" i="23"/>
  <c r="F73" i="23"/>
  <c r="E73" i="23"/>
  <c r="D73" i="23"/>
  <c r="C73" i="23"/>
  <c r="B73" i="23"/>
  <c r="G72" i="23"/>
  <c r="F72" i="23"/>
  <c r="E72" i="23"/>
  <c r="D72" i="23"/>
  <c r="C72" i="23"/>
  <c r="B72" i="23"/>
  <c r="G71" i="23"/>
  <c r="F71" i="23"/>
  <c r="E71" i="23"/>
  <c r="D71" i="23"/>
  <c r="C71" i="23"/>
  <c r="B71" i="23"/>
  <c r="G70" i="23"/>
  <c r="F70" i="23"/>
  <c r="E70" i="23"/>
  <c r="D70" i="23"/>
  <c r="C70" i="23"/>
  <c r="B70" i="23"/>
  <c r="G69" i="23"/>
  <c r="F69" i="23"/>
  <c r="E69" i="23"/>
  <c r="D69" i="23"/>
  <c r="C69" i="23"/>
  <c r="B69" i="23"/>
  <c r="G68" i="23"/>
  <c r="F68" i="23"/>
  <c r="E68" i="23"/>
  <c r="D68" i="23"/>
  <c r="C68" i="23"/>
  <c r="B68" i="23"/>
  <c r="G67" i="23"/>
  <c r="F67" i="23"/>
  <c r="E67" i="23"/>
  <c r="D67" i="23"/>
  <c r="C67" i="23"/>
  <c r="B67" i="23"/>
  <c r="G66" i="23"/>
  <c r="F66" i="23"/>
  <c r="E66" i="23"/>
  <c r="D66" i="23"/>
  <c r="C66" i="23"/>
  <c r="B66" i="23"/>
  <c r="G65" i="23"/>
  <c r="F65" i="23"/>
  <c r="E65" i="23"/>
  <c r="D65" i="23"/>
  <c r="C65" i="23"/>
  <c r="B65" i="23"/>
  <c r="G64" i="23"/>
  <c r="F64" i="23"/>
  <c r="E64" i="23"/>
  <c r="D64" i="23"/>
  <c r="C64" i="23"/>
  <c r="B64" i="23"/>
  <c r="G63" i="23"/>
  <c r="F63" i="23"/>
  <c r="E63" i="23"/>
  <c r="D63" i="23"/>
  <c r="C63" i="23"/>
  <c r="B63" i="23"/>
  <c r="G62" i="23"/>
  <c r="F62" i="23"/>
  <c r="E62" i="23"/>
  <c r="D62" i="23"/>
  <c r="C62" i="23"/>
  <c r="B62" i="23"/>
  <c r="G61" i="23"/>
  <c r="F61" i="23"/>
  <c r="E61" i="23"/>
  <c r="D61" i="23"/>
  <c r="C61" i="23"/>
  <c r="B61" i="23"/>
  <c r="G60" i="23"/>
  <c r="F60" i="23"/>
  <c r="E60" i="23"/>
  <c r="D60" i="23"/>
  <c r="C60" i="23"/>
  <c r="B60" i="23"/>
  <c r="G59" i="23"/>
  <c r="F59" i="23"/>
  <c r="E59" i="23"/>
  <c r="D59" i="23"/>
  <c r="C59" i="23"/>
  <c r="B59" i="23"/>
  <c r="G58" i="23"/>
  <c r="F58" i="23"/>
  <c r="E58" i="23"/>
  <c r="D58" i="23"/>
  <c r="C58" i="23"/>
  <c r="B58" i="23"/>
  <c r="G57" i="23"/>
  <c r="F57" i="23"/>
  <c r="E57" i="23"/>
  <c r="D57" i="23"/>
  <c r="C57" i="23"/>
  <c r="B57" i="23"/>
  <c r="G56" i="23"/>
  <c r="F56" i="23"/>
  <c r="E56" i="23"/>
  <c r="D56" i="23"/>
  <c r="C56" i="23"/>
  <c r="B56" i="23"/>
  <c r="G55" i="23"/>
  <c r="F55" i="23"/>
  <c r="E55" i="23"/>
  <c r="D55" i="23"/>
  <c r="C55" i="23"/>
  <c r="B55" i="23"/>
  <c r="G54" i="23"/>
  <c r="F54" i="23"/>
  <c r="E54" i="23"/>
  <c r="D54" i="23"/>
  <c r="C54" i="23"/>
  <c r="B54" i="23"/>
  <c r="G53" i="23"/>
  <c r="F53" i="23"/>
  <c r="E53" i="23"/>
  <c r="D53" i="23"/>
  <c r="C53" i="23"/>
  <c r="B53" i="23"/>
  <c r="G52" i="23"/>
  <c r="F52" i="23"/>
  <c r="E52" i="23"/>
  <c r="D52" i="23"/>
  <c r="C52" i="23"/>
  <c r="B52" i="23"/>
  <c r="G51" i="23"/>
  <c r="F51" i="23"/>
  <c r="E51" i="23"/>
  <c r="D51" i="23"/>
  <c r="C51" i="23"/>
  <c r="B51" i="23"/>
  <c r="G50" i="23"/>
  <c r="F50" i="23"/>
  <c r="E50" i="23"/>
  <c r="D50" i="23"/>
  <c r="C50" i="23"/>
  <c r="B50" i="23"/>
  <c r="G49" i="23"/>
  <c r="F49" i="23"/>
  <c r="E49" i="23"/>
  <c r="D49" i="23"/>
  <c r="C49" i="23"/>
  <c r="B49" i="23"/>
  <c r="G48" i="23"/>
  <c r="F48" i="23"/>
  <c r="E48" i="23"/>
  <c r="D48" i="23"/>
  <c r="C48" i="23"/>
  <c r="B48" i="23"/>
  <c r="G47" i="23"/>
  <c r="F47" i="23"/>
  <c r="E47" i="23"/>
  <c r="D47" i="23"/>
  <c r="C47" i="23"/>
  <c r="B47" i="23"/>
  <c r="G46" i="23"/>
  <c r="F46" i="23"/>
  <c r="E46" i="23"/>
  <c r="D46" i="23"/>
  <c r="C46" i="23"/>
  <c r="B46" i="23"/>
  <c r="G45" i="23"/>
  <c r="F45" i="23"/>
  <c r="E45" i="23"/>
  <c r="D45" i="23"/>
  <c r="C45" i="23"/>
  <c r="B45" i="23"/>
  <c r="G44" i="23"/>
  <c r="F44" i="23"/>
  <c r="E44" i="23"/>
  <c r="D44" i="23"/>
  <c r="C44" i="23"/>
  <c r="B44" i="23"/>
  <c r="G43" i="23"/>
  <c r="F43" i="23"/>
  <c r="E43" i="23"/>
  <c r="D43" i="23"/>
  <c r="C43" i="23"/>
  <c r="B43" i="23"/>
  <c r="G42" i="23"/>
  <c r="F42" i="23"/>
  <c r="E42" i="23"/>
  <c r="D42" i="23"/>
  <c r="C42" i="23"/>
  <c r="B42" i="23"/>
  <c r="G41" i="23"/>
  <c r="F41" i="23"/>
  <c r="E41" i="23"/>
  <c r="D41" i="23"/>
  <c r="C41" i="23"/>
  <c r="B41" i="23"/>
  <c r="G40" i="23"/>
  <c r="F40" i="23"/>
  <c r="E40" i="23"/>
  <c r="D40" i="23"/>
  <c r="C40" i="23"/>
  <c r="B40" i="23"/>
  <c r="G39" i="23"/>
  <c r="F39" i="23"/>
  <c r="E39" i="23"/>
  <c r="D39" i="23"/>
  <c r="C39" i="23"/>
  <c r="B39" i="23"/>
  <c r="G38" i="23"/>
  <c r="F38" i="23"/>
  <c r="E38" i="23"/>
  <c r="D38" i="23"/>
  <c r="C38" i="23"/>
  <c r="B38" i="23"/>
  <c r="G37" i="23"/>
  <c r="F37" i="23"/>
  <c r="E37" i="23"/>
  <c r="D37" i="23"/>
  <c r="C37" i="23"/>
  <c r="B37" i="23"/>
  <c r="G36" i="23"/>
  <c r="F36" i="23"/>
  <c r="E36" i="23"/>
  <c r="D36" i="23"/>
  <c r="C36" i="23"/>
  <c r="B36" i="23"/>
  <c r="G35" i="23"/>
  <c r="F35" i="23"/>
  <c r="E35" i="23"/>
  <c r="D35" i="23"/>
  <c r="C35" i="23"/>
  <c r="B35" i="23"/>
  <c r="G34" i="23"/>
  <c r="F34" i="23"/>
  <c r="E34" i="23"/>
  <c r="D34" i="23"/>
  <c r="C34" i="23"/>
  <c r="B34" i="23"/>
  <c r="G33" i="23"/>
  <c r="F33" i="23"/>
  <c r="E33" i="23"/>
  <c r="D33" i="23"/>
  <c r="C33" i="23"/>
  <c r="B33" i="23"/>
  <c r="G32" i="23"/>
  <c r="F32" i="23"/>
  <c r="E32" i="23"/>
  <c r="D32" i="23"/>
  <c r="C32" i="23"/>
  <c r="B32" i="23"/>
  <c r="G31" i="23"/>
  <c r="F31" i="23"/>
  <c r="E31" i="23"/>
  <c r="D31" i="23"/>
  <c r="C31" i="23"/>
  <c r="B31" i="23"/>
  <c r="G30" i="23"/>
  <c r="F30" i="23"/>
  <c r="E30" i="23"/>
  <c r="D30" i="23"/>
  <c r="C30" i="23"/>
  <c r="B30" i="23"/>
  <c r="G29" i="23"/>
  <c r="F29" i="23"/>
  <c r="E29" i="23"/>
  <c r="D29" i="23"/>
  <c r="C29" i="23"/>
  <c r="B29" i="23"/>
  <c r="G28" i="23"/>
  <c r="F28" i="23"/>
  <c r="S39" i="2" s="1"/>
  <c r="E28" i="23"/>
  <c r="D28" i="23"/>
  <c r="C28" i="23"/>
  <c r="B28" i="23"/>
  <c r="G27" i="23"/>
  <c r="F27" i="23"/>
  <c r="E27" i="23"/>
  <c r="D27" i="23"/>
  <c r="C27" i="23"/>
  <c r="B27" i="23"/>
  <c r="B18" i="23"/>
  <c r="D14" i="23"/>
  <c r="C14" i="23"/>
  <c r="B14" i="23"/>
  <c r="E10" i="23"/>
  <c r="D10" i="23"/>
  <c r="B10" i="23"/>
  <c r="B7" i="23"/>
  <c r="G278" i="22"/>
  <c r="F278" i="22"/>
  <c r="E278" i="22"/>
  <c r="D278" i="22"/>
  <c r="C278" i="22"/>
  <c r="B278" i="22"/>
  <c r="G277" i="22"/>
  <c r="F277" i="22"/>
  <c r="E277" i="22"/>
  <c r="D277" i="22"/>
  <c r="C277" i="22"/>
  <c r="B277" i="22"/>
  <c r="G276" i="22"/>
  <c r="F276" i="22"/>
  <c r="E276" i="22"/>
  <c r="D276" i="22"/>
  <c r="C276" i="22"/>
  <c r="B276" i="22"/>
  <c r="G275" i="22"/>
  <c r="F275" i="22"/>
  <c r="E275" i="22"/>
  <c r="D275" i="22"/>
  <c r="C275" i="22"/>
  <c r="B275" i="22"/>
  <c r="G274" i="22"/>
  <c r="F274" i="22"/>
  <c r="E274" i="22"/>
  <c r="D274" i="22"/>
  <c r="C274" i="22"/>
  <c r="B274" i="22"/>
  <c r="G273" i="22"/>
  <c r="F273" i="22"/>
  <c r="E273" i="22"/>
  <c r="D273" i="22"/>
  <c r="C273" i="22"/>
  <c r="B273" i="22"/>
  <c r="G272" i="22"/>
  <c r="F272" i="22"/>
  <c r="E272" i="22"/>
  <c r="D272" i="22"/>
  <c r="C272" i="22"/>
  <c r="B272" i="22"/>
  <c r="G271" i="22"/>
  <c r="F271" i="22"/>
  <c r="E271" i="22"/>
  <c r="D271" i="22"/>
  <c r="C271" i="22"/>
  <c r="B271" i="22"/>
  <c r="G270" i="22"/>
  <c r="F270" i="22"/>
  <c r="E270" i="22"/>
  <c r="D270" i="22"/>
  <c r="C270" i="22"/>
  <c r="B270" i="22"/>
  <c r="G269" i="22"/>
  <c r="F269" i="22"/>
  <c r="E269" i="22"/>
  <c r="D269" i="22"/>
  <c r="C269" i="22"/>
  <c r="B269" i="22"/>
  <c r="G268" i="22"/>
  <c r="F268" i="22"/>
  <c r="E268" i="22"/>
  <c r="D268" i="22"/>
  <c r="C268" i="22"/>
  <c r="B268" i="22"/>
  <c r="G267" i="22"/>
  <c r="F267" i="22"/>
  <c r="E267" i="22"/>
  <c r="D267" i="22"/>
  <c r="C267" i="22"/>
  <c r="B267" i="22"/>
  <c r="G266" i="22"/>
  <c r="F266" i="22"/>
  <c r="E266" i="22"/>
  <c r="D266" i="22"/>
  <c r="C266" i="22"/>
  <c r="B266" i="22"/>
  <c r="G265" i="22"/>
  <c r="F265" i="22"/>
  <c r="E265" i="22"/>
  <c r="D265" i="22"/>
  <c r="C265" i="22"/>
  <c r="B265" i="22"/>
  <c r="G264" i="22"/>
  <c r="F264" i="22"/>
  <c r="E264" i="22"/>
  <c r="D264" i="22"/>
  <c r="C264" i="22"/>
  <c r="B264" i="22"/>
  <c r="G263" i="22"/>
  <c r="F263" i="22"/>
  <c r="E263" i="22"/>
  <c r="D263" i="22"/>
  <c r="C263" i="22"/>
  <c r="B263" i="22"/>
  <c r="G262" i="22"/>
  <c r="F262" i="22"/>
  <c r="E262" i="22"/>
  <c r="D262" i="22"/>
  <c r="C262" i="22"/>
  <c r="B262" i="22"/>
  <c r="G261" i="22"/>
  <c r="F261" i="22"/>
  <c r="E261" i="22"/>
  <c r="D261" i="22"/>
  <c r="C261" i="22"/>
  <c r="B261" i="22"/>
  <c r="G260" i="22"/>
  <c r="F260" i="22"/>
  <c r="E260" i="22"/>
  <c r="D260" i="22"/>
  <c r="C260" i="22"/>
  <c r="B260" i="22"/>
  <c r="G259" i="22"/>
  <c r="F259" i="22"/>
  <c r="E259" i="22"/>
  <c r="D259" i="22"/>
  <c r="C259" i="22"/>
  <c r="B259" i="22"/>
  <c r="G258" i="22"/>
  <c r="F258" i="22"/>
  <c r="E258" i="22"/>
  <c r="D258" i="22"/>
  <c r="C258" i="22"/>
  <c r="B258" i="22"/>
  <c r="G257" i="22"/>
  <c r="F257" i="22"/>
  <c r="E257" i="22"/>
  <c r="D257" i="22"/>
  <c r="C257" i="22"/>
  <c r="B257" i="22"/>
  <c r="G256" i="22"/>
  <c r="F256" i="22"/>
  <c r="P40" i="2" s="1"/>
  <c r="E256" i="22"/>
  <c r="D256" i="22"/>
  <c r="C256" i="22"/>
  <c r="B256" i="22"/>
  <c r="G255" i="22"/>
  <c r="F255" i="22"/>
  <c r="E255" i="22"/>
  <c r="D255" i="22"/>
  <c r="C255" i="22"/>
  <c r="B255" i="22"/>
  <c r="G254" i="22"/>
  <c r="F254" i="22"/>
  <c r="E254" i="22"/>
  <c r="D254" i="22"/>
  <c r="C254" i="22"/>
  <c r="B254" i="22"/>
  <c r="G253" i="22"/>
  <c r="F253" i="22"/>
  <c r="E253" i="22"/>
  <c r="D253" i="22"/>
  <c r="C253" i="22"/>
  <c r="B253" i="22"/>
  <c r="G252" i="22"/>
  <c r="F252" i="22"/>
  <c r="E252" i="22"/>
  <c r="D252" i="22"/>
  <c r="C252" i="22"/>
  <c r="B252" i="22"/>
  <c r="G251" i="22"/>
  <c r="F251" i="22"/>
  <c r="E251" i="22"/>
  <c r="D251" i="22"/>
  <c r="C251" i="22"/>
  <c r="B251" i="22"/>
  <c r="G250" i="22"/>
  <c r="F250" i="22"/>
  <c r="E250" i="22"/>
  <c r="D250" i="22"/>
  <c r="C250" i="22"/>
  <c r="B250" i="22"/>
  <c r="G249" i="22"/>
  <c r="F249" i="22"/>
  <c r="E249" i="22"/>
  <c r="D249" i="22"/>
  <c r="C249" i="22"/>
  <c r="B249" i="22"/>
  <c r="G248" i="22"/>
  <c r="F248" i="22"/>
  <c r="E248" i="22"/>
  <c r="D248" i="22"/>
  <c r="C248" i="22"/>
  <c r="B248" i="22"/>
  <c r="G247" i="22"/>
  <c r="F247" i="22"/>
  <c r="E247" i="22"/>
  <c r="D247" i="22"/>
  <c r="C247" i="22"/>
  <c r="B247" i="22"/>
  <c r="G246" i="22"/>
  <c r="F246" i="22"/>
  <c r="E246" i="22"/>
  <c r="D246" i="22"/>
  <c r="C246" i="22"/>
  <c r="B246" i="22"/>
  <c r="G245" i="22"/>
  <c r="F245" i="22"/>
  <c r="E245" i="22"/>
  <c r="D245" i="22"/>
  <c r="C245" i="22"/>
  <c r="B245" i="22"/>
  <c r="G244" i="22"/>
  <c r="F244" i="22"/>
  <c r="E244" i="22"/>
  <c r="D244" i="22"/>
  <c r="C244" i="22"/>
  <c r="B244" i="22"/>
  <c r="G243" i="22"/>
  <c r="F243" i="22"/>
  <c r="E243" i="22"/>
  <c r="D243" i="22"/>
  <c r="C243" i="22"/>
  <c r="B243" i="22"/>
  <c r="G242" i="22"/>
  <c r="F242" i="22"/>
  <c r="E242" i="22"/>
  <c r="D242" i="22"/>
  <c r="C242" i="22"/>
  <c r="B242" i="22"/>
  <c r="G241" i="22"/>
  <c r="F241" i="22"/>
  <c r="E241" i="22"/>
  <c r="D241" i="22"/>
  <c r="C241" i="22"/>
  <c r="B241" i="22"/>
  <c r="G240" i="22"/>
  <c r="F240" i="22"/>
  <c r="E240" i="22"/>
  <c r="D240" i="22"/>
  <c r="C240" i="22"/>
  <c r="B240" i="22"/>
  <c r="G239" i="22"/>
  <c r="F239" i="22"/>
  <c r="E239" i="22"/>
  <c r="D239" i="22"/>
  <c r="C239" i="22"/>
  <c r="B239" i="22"/>
  <c r="G238" i="22"/>
  <c r="F238" i="22"/>
  <c r="E238" i="22"/>
  <c r="D238" i="22"/>
  <c r="C238" i="22"/>
  <c r="B238" i="22"/>
  <c r="G237" i="22"/>
  <c r="F237" i="22"/>
  <c r="E237" i="22"/>
  <c r="D237" i="22"/>
  <c r="C237" i="22"/>
  <c r="B237" i="22"/>
  <c r="G236" i="22"/>
  <c r="F236" i="22"/>
  <c r="E236" i="22"/>
  <c r="D236" i="22"/>
  <c r="C236" i="22"/>
  <c r="B236" i="22"/>
  <c r="G235" i="22"/>
  <c r="F235" i="22"/>
  <c r="E235" i="22"/>
  <c r="D235" i="22"/>
  <c r="C235" i="22"/>
  <c r="B235" i="22"/>
  <c r="G234" i="22"/>
  <c r="F234" i="22"/>
  <c r="E234" i="22"/>
  <c r="D234" i="22"/>
  <c r="C234" i="22"/>
  <c r="B234" i="22"/>
  <c r="G233" i="22"/>
  <c r="F233" i="22"/>
  <c r="E233" i="22"/>
  <c r="D233" i="22"/>
  <c r="C233" i="22"/>
  <c r="B233" i="22"/>
  <c r="G232" i="22"/>
  <c r="F232" i="22"/>
  <c r="E232" i="22"/>
  <c r="D232" i="22"/>
  <c r="C232" i="22"/>
  <c r="B232" i="22"/>
  <c r="G231" i="22"/>
  <c r="F231" i="22"/>
  <c r="E231" i="22"/>
  <c r="D231" i="22"/>
  <c r="C231" i="22"/>
  <c r="B231" i="22"/>
  <c r="G230" i="22"/>
  <c r="F230" i="22"/>
  <c r="E230" i="22"/>
  <c r="D230" i="22"/>
  <c r="C230" i="22"/>
  <c r="B230" i="22"/>
  <c r="G229" i="22"/>
  <c r="F229" i="22"/>
  <c r="E229" i="22"/>
  <c r="D229" i="22"/>
  <c r="C229" i="22"/>
  <c r="B229" i="22"/>
  <c r="G228" i="22"/>
  <c r="F228" i="22"/>
  <c r="E228" i="22"/>
  <c r="D228" i="22"/>
  <c r="C228" i="22"/>
  <c r="B228" i="22"/>
  <c r="G227" i="22"/>
  <c r="F227" i="22"/>
  <c r="E227" i="22"/>
  <c r="D227" i="22"/>
  <c r="C227" i="22"/>
  <c r="B227" i="22"/>
  <c r="G226" i="22"/>
  <c r="F226" i="22"/>
  <c r="E226" i="22"/>
  <c r="D226" i="22"/>
  <c r="C226" i="22"/>
  <c r="B226" i="22"/>
  <c r="G225" i="22"/>
  <c r="F225" i="22"/>
  <c r="E225" i="22"/>
  <c r="D225" i="22"/>
  <c r="C225" i="22"/>
  <c r="B225" i="22"/>
  <c r="G224" i="22"/>
  <c r="F224" i="22"/>
  <c r="E224" i="22"/>
  <c r="D224" i="22"/>
  <c r="C224" i="22"/>
  <c r="B224" i="22"/>
  <c r="G223" i="22"/>
  <c r="F223" i="22"/>
  <c r="E223" i="22"/>
  <c r="D223" i="22"/>
  <c r="C223" i="22"/>
  <c r="B223" i="22"/>
  <c r="G222" i="22"/>
  <c r="F222" i="22"/>
  <c r="E222" i="22"/>
  <c r="D222" i="22"/>
  <c r="C222" i="22"/>
  <c r="B222" i="22"/>
  <c r="G221" i="22"/>
  <c r="F221" i="22"/>
  <c r="E221" i="22"/>
  <c r="D221" i="22"/>
  <c r="C221" i="22"/>
  <c r="B221" i="22"/>
  <c r="G220" i="22"/>
  <c r="F220" i="22"/>
  <c r="E220" i="22"/>
  <c r="D220" i="22"/>
  <c r="C220" i="22"/>
  <c r="B220" i="22"/>
  <c r="G219" i="22"/>
  <c r="F219" i="22"/>
  <c r="E219" i="22"/>
  <c r="D219" i="22"/>
  <c r="C219" i="22"/>
  <c r="B219" i="22"/>
  <c r="G218" i="22"/>
  <c r="F218" i="22"/>
  <c r="E218" i="22"/>
  <c r="D218" i="22"/>
  <c r="C218" i="22"/>
  <c r="B218" i="22"/>
  <c r="G217" i="22"/>
  <c r="F217" i="22"/>
  <c r="E217" i="22"/>
  <c r="D217" i="22"/>
  <c r="C217" i="22"/>
  <c r="B217" i="22"/>
  <c r="G216" i="22"/>
  <c r="F216" i="22"/>
  <c r="E216" i="22"/>
  <c r="D216" i="22"/>
  <c r="C216" i="22"/>
  <c r="B216" i="22"/>
  <c r="G215" i="22"/>
  <c r="F215" i="22"/>
  <c r="E215" i="22"/>
  <c r="D215" i="22"/>
  <c r="C215" i="22"/>
  <c r="B215" i="22"/>
  <c r="G214" i="22"/>
  <c r="F214" i="22"/>
  <c r="E214" i="22"/>
  <c r="D214" i="22"/>
  <c r="C214" i="22"/>
  <c r="B214" i="22"/>
  <c r="G213" i="22"/>
  <c r="F213" i="22"/>
  <c r="E213" i="22"/>
  <c r="D213" i="22"/>
  <c r="C213" i="22"/>
  <c r="B213" i="22"/>
  <c r="G212" i="22"/>
  <c r="F212" i="22"/>
  <c r="E212" i="22"/>
  <c r="D212" i="22"/>
  <c r="C212" i="22"/>
  <c r="B212" i="22"/>
  <c r="G211" i="22"/>
  <c r="F211" i="22"/>
  <c r="E211" i="22"/>
  <c r="D211" i="22"/>
  <c r="C211" i="22"/>
  <c r="B211" i="22"/>
  <c r="G210" i="22"/>
  <c r="F210" i="22"/>
  <c r="E210" i="22"/>
  <c r="D210" i="22"/>
  <c r="C210" i="22"/>
  <c r="B210" i="22"/>
  <c r="G209" i="22"/>
  <c r="F209" i="22"/>
  <c r="E209" i="22"/>
  <c r="D209" i="22"/>
  <c r="C209" i="22"/>
  <c r="B209" i="22"/>
  <c r="G208" i="22"/>
  <c r="F208" i="22"/>
  <c r="E208" i="22"/>
  <c r="D208" i="22"/>
  <c r="C208" i="22"/>
  <c r="B208" i="22"/>
  <c r="G207" i="22"/>
  <c r="F207" i="22"/>
  <c r="E207" i="22"/>
  <c r="D207" i="22"/>
  <c r="C207" i="22"/>
  <c r="B207" i="22"/>
  <c r="G206" i="22"/>
  <c r="F206" i="22"/>
  <c r="E206" i="22"/>
  <c r="D206" i="22"/>
  <c r="C206" i="22"/>
  <c r="B206" i="22"/>
  <c r="G205" i="22"/>
  <c r="F205" i="22"/>
  <c r="E205" i="22"/>
  <c r="D205" i="22"/>
  <c r="C205" i="22"/>
  <c r="B205" i="22"/>
  <c r="G204" i="22"/>
  <c r="F204" i="22"/>
  <c r="E204" i="22"/>
  <c r="D204" i="22"/>
  <c r="C204" i="22"/>
  <c r="B204" i="22"/>
  <c r="G203" i="22"/>
  <c r="F203" i="22"/>
  <c r="E203" i="22"/>
  <c r="D203" i="22"/>
  <c r="C203" i="22"/>
  <c r="B203" i="22"/>
  <c r="G202" i="22"/>
  <c r="F202" i="22"/>
  <c r="E202" i="22"/>
  <c r="D202" i="22"/>
  <c r="C202" i="22"/>
  <c r="B202" i="22"/>
  <c r="G201" i="22"/>
  <c r="F201" i="22"/>
  <c r="E201" i="22"/>
  <c r="D201" i="22"/>
  <c r="C201" i="22"/>
  <c r="B201" i="22"/>
  <c r="G200" i="22"/>
  <c r="F200" i="22"/>
  <c r="E200" i="22"/>
  <c r="D200" i="22"/>
  <c r="C200" i="22"/>
  <c r="B200" i="22"/>
  <c r="G199" i="22"/>
  <c r="F199" i="22"/>
  <c r="E199" i="22"/>
  <c r="D199" i="22"/>
  <c r="C199" i="22"/>
  <c r="B199" i="22"/>
  <c r="G198" i="22"/>
  <c r="F198" i="22"/>
  <c r="E198" i="22"/>
  <c r="D198" i="22"/>
  <c r="C198" i="22"/>
  <c r="B198" i="22"/>
  <c r="G197" i="22"/>
  <c r="F197" i="22"/>
  <c r="E197" i="22"/>
  <c r="D197" i="22"/>
  <c r="C197" i="22"/>
  <c r="B197" i="22"/>
  <c r="G196" i="22"/>
  <c r="F196" i="22"/>
  <c r="E196" i="22"/>
  <c r="D196" i="22"/>
  <c r="C196" i="22"/>
  <c r="B196" i="22"/>
  <c r="G195" i="22"/>
  <c r="F195" i="22"/>
  <c r="E195" i="22"/>
  <c r="D195" i="22"/>
  <c r="C195" i="22"/>
  <c r="B195" i="22"/>
  <c r="G194" i="22"/>
  <c r="F194" i="22"/>
  <c r="E194" i="22"/>
  <c r="D194" i="22"/>
  <c r="C194" i="22"/>
  <c r="B194" i="22"/>
  <c r="G193" i="22"/>
  <c r="F193" i="22"/>
  <c r="E193" i="22"/>
  <c r="D193" i="22"/>
  <c r="C193" i="22"/>
  <c r="B193" i="22"/>
  <c r="G192" i="22"/>
  <c r="F192" i="22"/>
  <c r="E192" i="22"/>
  <c r="D192" i="22"/>
  <c r="C192" i="22"/>
  <c r="B192" i="22"/>
  <c r="G191" i="22"/>
  <c r="F191" i="22"/>
  <c r="E191" i="22"/>
  <c r="D191" i="22"/>
  <c r="C191" i="22"/>
  <c r="B191" i="22"/>
  <c r="G190" i="22"/>
  <c r="F190" i="22"/>
  <c r="E190" i="22"/>
  <c r="D190" i="22"/>
  <c r="C190" i="22"/>
  <c r="B190" i="22"/>
  <c r="G189" i="22"/>
  <c r="F189" i="22"/>
  <c r="E189" i="22"/>
  <c r="D189" i="22"/>
  <c r="C189" i="22"/>
  <c r="B189" i="22"/>
  <c r="G188" i="22"/>
  <c r="F188" i="22"/>
  <c r="E188" i="22"/>
  <c r="D188" i="22"/>
  <c r="C188" i="22"/>
  <c r="B188" i="22"/>
  <c r="G187" i="22"/>
  <c r="F187" i="22"/>
  <c r="E187" i="22"/>
  <c r="D187" i="22"/>
  <c r="C187" i="22"/>
  <c r="B187" i="22"/>
  <c r="G186" i="22"/>
  <c r="F186" i="22"/>
  <c r="E186" i="22"/>
  <c r="D186" i="22"/>
  <c r="C186" i="22"/>
  <c r="B186" i="22"/>
  <c r="G185" i="22"/>
  <c r="F185" i="22"/>
  <c r="E185" i="22"/>
  <c r="D185" i="22"/>
  <c r="C185" i="22"/>
  <c r="B185" i="22"/>
  <c r="G184" i="22"/>
  <c r="F184" i="22"/>
  <c r="E184" i="22"/>
  <c r="D184" i="22"/>
  <c r="C184" i="22"/>
  <c r="B184" i="22"/>
  <c r="G183" i="22"/>
  <c r="F183" i="22"/>
  <c r="E183" i="22"/>
  <c r="D183" i="22"/>
  <c r="C183" i="22"/>
  <c r="B183" i="22"/>
  <c r="G182" i="22"/>
  <c r="F182" i="22"/>
  <c r="E182" i="22"/>
  <c r="D182" i="22"/>
  <c r="C182" i="22"/>
  <c r="B182" i="22"/>
  <c r="G181" i="22"/>
  <c r="F181" i="22"/>
  <c r="E181" i="22"/>
  <c r="D181" i="22"/>
  <c r="C181" i="22"/>
  <c r="B181" i="22"/>
  <c r="G180" i="22"/>
  <c r="F180" i="22"/>
  <c r="E180" i="22"/>
  <c r="D180" i="22"/>
  <c r="C180" i="22"/>
  <c r="B180" i="22"/>
  <c r="G179" i="22"/>
  <c r="F179" i="22"/>
  <c r="E179" i="22"/>
  <c r="D179" i="22"/>
  <c r="C179" i="22"/>
  <c r="B179" i="22"/>
  <c r="G178" i="22"/>
  <c r="F178" i="22"/>
  <c r="E178" i="22"/>
  <c r="D178" i="22"/>
  <c r="C178" i="22"/>
  <c r="B178" i="22"/>
  <c r="G177" i="22"/>
  <c r="F177" i="22"/>
  <c r="E177" i="22"/>
  <c r="D177" i="22"/>
  <c r="C177" i="22"/>
  <c r="B177" i="22"/>
  <c r="G176" i="22"/>
  <c r="F176" i="22"/>
  <c r="E176" i="22"/>
  <c r="D176" i="22"/>
  <c r="C176" i="22"/>
  <c r="B176" i="22"/>
  <c r="G175" i="22"/>
  <c r="F175" i="22"/>
  <c r="E175" i="22"/>
  <c r="D175" i="22"/>
  <c r="C175" i="22"/>
  <c r="B175" i="22"/>
  <c r="G174" i="22"/>
  <c r="F174" i="22"/>
  <c r="E174" i="22"/>
  <c r="D174" i="22"/>
  <c r="C174" i="22"/>
  <c r="B174" i="22"/>
  <c r="G173" i="22"/>
  <c r="F173" i="22"/>
  <c r="E173" i="22"/>
  <c r="D173" i="22"/>
  <c r="C173" i="22"/>
  <c r="B173" i="22"/>
  <c r="G172" i="22"/>
  <c r="F172" i="22"/>
  <c r="E172" i="22"/>
  <c r="D172" i="22"/>
  <c r="C172" i="22"/>
  <c r="B172" i="22"/>
  <c r="G171" i="22"/>
  <c r="F171" i="22"/>
  <c r="E171" i="22"/>
  <c r="D171" i="22"/>
  <c r="C171" i="22"/>
  <c r="B171" i="22"/>
  <c r="G170" i="22"/>
  <c r="F170" i="22"/>
  <c r="E170" i="22"/>
  <c r="D170" i="22"/>
  <c r="C170" i="22"/>
  <c r="B170" i="22"/>
  <c r="G169" i="22"/>
  <c r="F169" i="22"/>
  <c r="E169" i="22"/>
  <c r="D169" i="22"/>
  <c r="C169" i="22"/>
  <c r="B169" i="22"/>
  <c r="G168" i="22"/>
  <c r="F168" i="22"/>
  <c r="E168" i="22"/>
  <c r="D168" i="22"/>
  <c r="C168" i="22"/>
  <c r="B168" i="22"/>
  <c r="G167" i="22"/>
  <c r="F167" i="22"/>
  <c r="E167" i="22"/>
  <c r="D167" i="22"/>
  <c r="C167" i="22"/>
  <c r="B167" i="22"/>
  <c r="G166" i="22"/>
  <c r="F166" i="22"/>
  <c r="E166" i="22"/>
  <c r="D166" i="22"/>
  <c r="C166" i="22"/>
  <c r="B166" i="22"/>
  <c r="G165" i="22"/>
  <c r="F165" i="22"/>
  <c r="E165" i="22"/>
  <c r="D165" i="22"/>
  <c r="C165" i="22"/>
  <c r="B165" i="22"/>
  <c r="G164" i="22"/>
  <c r="F164" i="22"/>
  <c r="E164" i="22"/>
  <c r="D164" i="22"/>
  <c r="C164" i="22"/>
  <c r="B164" i="22"/>
  <c r="G163" i="22"/>
  <c r="F163" i="22"/>
  <c r="E163" i="22"/>
  <c r="D163" i="22"/>
  <c r="C163" i="22"/>
  <c r="B163" i="22"/>
  <c r="G162" i="22"/>
  <c r="F162" i="22"/>
  <c r="E162" i="22"/>
  <c r="D162" i="22"/>
  <c r="C162" i="22"/>
  <c r="B162" i="22"/>
  <c r="G161" i="22"/>
  <c r="F161" i="22"/>
  <c r="E161" i="22"/>
  <c r="D161" i="22"/>
  <c r="C161" i="22"/>
  <c r="B161" i="22"/>
  <c r="G160" i="22"/>
  <c r="F160" i="22"/>
  <c r="E160" i="22"/>
  <c r="D160" i="22"/>
  <c r="C160" i="22"/>
  <c r="B160" i="22"/>
  <c r="G159" i="22"/>
  <c r="F159" i="22"/>
  <c r="E159" i="22"/>
  <c r="D159" i="22"/>
  <c r="C159" i="22"/>
  <c r="B159" i="22"/>
  <c r="G158" i="22"/>
  <c r="F158" i="22"/>
  <c r="E158" i="22"/>
  <c r="D158" i="22"/>
  <c r="C158" i="22"/>
  <c r="B158" i="22"/>
  <c r="G157" i="22"/>
  <c r="F157" i="22"/>
  <c r="E157" i="22"/>
  <c r="D157" i="22"/>
  <c r="C157" i="22"/>
  <c r="B157" i="22"/>
  <c r="G156" i="22"/>
  <c r="F156" i="22"/>
  <c r="E156" i="22"/>
  <c r="D156" i="22"/>
  <c r="C156" i="22"/>
  <c r="B156" i="22"/>
  <c r="G155" i="22"/>
  <c r="F155" i="22"/>
  <c r="E155" i="22"/>
  <c r="D155" i="22"/>
  <c r="C155" i="22"/>
  <c r="B155" i="22"/>
  <c r="G154" i="22"/>
  <c r="F154" i="22"/>
  <c r="E154" i="22"/>
  <c r="D154" i="22"/>
  <c r="C154" i="22"/>
  <c r="B154" i="22"/>
  <c r="G153" i="22"/>
  <c r="F153" i="22"/>
  <c r="E153" i="22"/>
  <c r="D153" i="22"/>
  <c r="C153" i="22"/>
  <c r="B153" i="22"/>
  <c r="G152" i="22"/>
  <c r="F152" i="22"/>
  <c r="E152" i="22"/>
  <c r="D152" i="22"/>
  <c r="C152" i="22"/>
  <c r="B152" i="22"/>
  <c r="G151" i="22"/>
  <c r="F151" i="22"/>
  <c r="E151" i="22"/>
  <c r="D151" i="22"/>
  <c r="C151" i="22"/>
  <c r="B151" i="22"/>
  <c r="G150" i="22"/>
  <c r="F150" i="22"/>
  <c r="E150" i="22"/>
  <c r="D150" i="22"/>
  <c r="C150" i="22"/>
  <c r="B150" i="22"/>
  <c r="G149" i="22"/>
  <c r="F149" i="22"/>
  <c r="E149" i="22"/>
  <c r="D149" i="22"/>
  <c r="C149" i="22"/>
  <c r="B149" i="22"/>
  <c r="G148" i="22"/>
  <c r="F148" i="22"/>
  <c r="E148" i="22"/>
  <c r="D148" i="22"/>
  <c r="C148" i="22"/>
  <c r="B148" i="22"/>
  <c r="G147" i="22"/>
  <c r="F147" i="22"/>
  <c r="E147" i="22"/>
  <c r="D147" i="22"/>
  <c r="C147" i="22"/>
  <c r="B147" i="22"/>
  <c r="G146" i="22"/>
  <c r="F146" i="22"/>
  <c r="E146" i="22"/>
  <c r="D146" i="22"/>
  <c r="C146" i="22"/>
  <c r="B146" i="22"/>
  <c r="G145" i="22"/>
  <c r="F145" i="22"/>
  <c r="E145" i="22"/>
  <c r="D145" i="22"/>
  <c r="C145" i="22"/>
  <c r="B145" i="22"/>
  <c r="G144" i="22"/>
  <c r="F144" i="22"/>
  <c r="E144" i="22"/>
  <c r="D144" i="22"/>
  <c r="C144" i="22"/>
  <c r="B144" i="22"/>
  <c r="G143" i="22"/>
  <c r="F143" i="22"/>
  <c r="E143" i="22"/>
  <c r="D143" i="22"/>
  <c r="C143" i="22"/>
  <c r="B143" i="22"/>
  <c r="G142" i="22"/>
  <c r="F142" i="22"/>
  <c r="E142" i="22"/>
  <c r="D142" i="22"/>
  <c r="C142" i="22"/>
  <c r="B142" i="22"/>
  <c r="G141" i="22"/>
  <c r="F141" i="22"/>
  <c r="E141" i="22"/>
  <c r="D141" i="22"/>
  <c r="C141" i="22"/>
  <c r="B141" i="22"/>
  <c r="G140" i="22"/>
  <c r="F140" i="22"/>
  <c r="E140" i="22"/>
  <c r="D140" i="22"/>
  <c r="C140" i="22"/>
  <c r="B140" i="22"/>
  <c r="G139" i="22"/>
  <c r="F139" i="22"/>
  <c r="E139" i="22"/>
  <c r="D139" i="22"/>
  <c r="C139" i="22"/>
  <c r="B139" i="22"/>
  <c r="G138" i="22"/>
  <c r="F138" i="22"/>
  <c r="E138" i="22"/>
  <c r="D138" i="22"/>
  <c r="C138" i="22"/>
  <c r="B138" i="22"/>
  <c r="G137" i="22"/>
  <c r="F137" i="22"/>
  <c r="E137" i="22"/>
  <c r="D137" i="22"/>
  <c r="C137" i="22"/>
  <c r="B137" i="22"/>
  <c r="G136" i="22"/>
  <c r="F136" i="22"/>
  <c r="E136" i="22"/>
  <c r="D136" i="22"/>
  <c r="C136" i="22"/>
  <c r="B136" i="22"/>
  <c r="G135" i="22"/>
  <c r="F135" i="22"/>
  <c r="E135" i="22"/>
  <c r="D135" i="22"/>
  <c r="C135" i="22"/>
  <c r="B135" i="22"/>
  <c r="G134" i="22"/>
  <c r="F134" i="22"/>
  <c r="E134" i="22"/>
  <c r="D134" i="22"/>
  <c r="C134" i="22"/>
  <c r="B134" i="22"/>
  <c r="G133" i="22"/>
  <c r="F133" i="22"/>
  <c r="E133" i="22"/>
  <c r="D133" i="22"/>
  <c r="C133" i="22"/>
  <c r="B133" i="22"/>
  <c r="G132" i="22"/>
  <c r="F132" i="22"/>
  <c r="E132" i="22"/>
  <c r="D132" i="22"/>
  <c r="C132" i="22"/>
  <c r="B132" i="22"/>
  <c r="G131" i="22"/>
  <c r="F131" i="22"/>
  <c r="E131" i="22"/>
  <c r="D131" i="22"/>
  <c r="C131" i="22"/>
  <c r="B131" i="22"/>
  <c r="G130" i="22"/>
  <c r="F130" i="22"/>
  <c r="E130" i="22"/>
  <c r="D130" i="22"/>
  <c r="C130" i="22"/>
  <c r="B130" i="22"/>
  <c r="G129" i="22"/>
  <c r="F129" i="22"/>
  <c r="E129" i="22"/>
  <c r="D129" i="22"/>
  <c r="C129" i="22"/>
  <c r="B129" i="22"/>
  <c r="G128" i="22"/>
  <c r="F128" i="22"/>
  <c r="E128" i="22"/>
  <c r="D128" i="22"/>
  <c r="C128" i="22"/>
  <c r="B128" i="22"/>
  <c r="G127" i="22"/>
  <c r="F127" i="22"/>
  <c r="E127" i="22"/>
  <c r="D127" i="22"/>
  <c r="C127" i="22"/>
  <c r="B127" i="22"/>
  <c r="G126" i="22"/>
  <c r="F126" i="22"/>
  <c r="E126" i="22"/>
  <c r="D126" i="22"/>
  <c r="C126" i="22"/>
  <c r="B126" i="22"/>
  <c r="G125" i="22"/>
  <c r="F125" i="22"/>
  <c r="E125" i="22"/>
  <c r="D125" i="22"/>
  <c r="C125" i="22"/>
  <c r="B125" i="22"/>
  <c r="G124" i="22"/>
  <c r="F124" i="22"/>
  <c r="E124" i="22"/>
  <c r="D124" i="22"/>
  <c r="C124" i="22"/>
  <c r="B124" i="22"/>
  <c r="G123" i="22"/>
  <c r="F123" i="22"/>
  <c r="E123" i="22"/>
  <c r="D123" i="22"/>
  <c r="C123" i="22"/>
  <c r="B123" i="22"/>
  <c r="G122" i="22"/>
  <c r="F122" i="22"/>
  <c r="E122" i="22"/>
  <c r="D122" i="22"/>
  <c r="C122" i="22"/>
  <c r="B122" i="22"/>
  <c r="G121" i="22"/>
  <c r="F121" i="22"/>
  <c r="E121" i="22"/>
  <c r="D121" i="22"/>
  <c r="C121" i="22"/>
  <c r="B121" i="22"/>
  <c r="G120" i="22"/>
  <c r="F120" i="22"/>
  <c r="E120" i="22"/>
  <c r="D120" i="22"/>
  <c r="C120" i="22"/>
  <c r="B120" i="22"/>
  <c r="G119" i="22"/>
  <c r="F119" i="22"/>
  <c r="E119" i="22"/>
  <c r="D119" i="22"/>
  <c r="C119" i="22"/>
  <c r="B119" i="22"/>
  <c r="G118" i="22"/>
  <c r="F118" i="22"/>
  <c r="E118" i="22"/>
  <c r="D118" i="22"/>
  <c r="C118" i="22"/>
  <c r="B118" i="22"/>
  <c r="G117" i="22"/>
  <c r="F117" i="22"/>
  <c r="E117" i="22"/>
  <c r="D117" i="22"/>
  <c r="C117" i="22"/>
  <c r="B117" i="22"/>
  <c r="G116" i="22"/>
  <c r="F116" i="22"/>
  <c r="E116" i="22"/>
  <c r="D116" i="22"/>
  <c r="C116" i="22"/>
  <c r="B116" i="22"/>
  <c r="G115" i="22"/>
  <c r="F115" i="22"/>
  <c r="E115" i="22"/>
  <c r="D115" i="22"/>
  <c r="C115" i="22"/>
  <c r="B115" i="22"/>
  <c r="G114" i="22"/>
  <c r="F114" i="22"/>
  <c r="E114" i="22"/>
  <c r="D114" i="22"/>
  <c r="C114" i="22"/>
  <c r="B114" i="22"/>
  <c r="G113" i="22"/>
  <c r="F113" i="22"/>
  <c r="E113" i="22"/>
  <c r="D113" i="22"/>
  <c r="C113" i="22"/>
  <c r="B113" i="22"/>
  <c r="G112" i="22"/>
  <c r="F112" i="22"/>
  <c r="E112" i="22"/>
  <c r="D112" i="22"/>
  <c r="C112" i="22"/>
  <c r="B112" i="22"/>
  <c r="G111" i="22"/>
  <c r="F111" i="22"/>
  <c r="E111" i="22"/>
  <c r="D111" i="22"/>
  <c r="C111" i="22"/>
  <c r="B111" i="22"/>
  <c r="G110" i="22"/>
  <c r="F110" i="22"/>
  <c r="E110" i="22"/>
  <c r="D110" i="22"/>
  <c r="C110" i="22"/>
  <c r="B110" i="22"/>
  <c r="G109" i="22"/>
  <c r="F109" i="22"/>
  <c r="E109" i="22"/>
  <c r="D109" i="22"/>
  <c r="C109" i="22"/>
  <c r="B109" i="22"/>
  <c r="G108" i="22"/>
  <c r="F108" i="22"/>
  <c r="E108" i="22"/>
  <c r="D108" i="22"/>
  <c r="C108" i="22"/>
  <c r="B108" i="22"/>
  <c r="G107" i="22"/>
  <c r="F107" i="22"/>
  <c r="E107" i="22"/>
  <c r="D107" i="22"/>
  <c r="C107" i="22"/>
  <c r="B107" i="22"/>
  <c r="G106" i="22"/>
  <c r="F106" i="22"/>
  <c r="E106" i="22"/>
  <c r="D106" i="22"/>
  <c r="C106" i="22"/>
  <c r="B106" i="22"/>
  <c r="G105" i="22"/>
  <c r="F105" i="22"/>
  <c r="E105" i="22"/>
  <c r="D105" i="22"/>
  <c r="C105" i="22"/>
  <c r="B105" i="22"/>
  <c r="G104" i="22"/>
  <c r="F104" i="22"/>
  <c r="E104" i="22"/>
  <c r="D104" i="22"/>
  <c r="C104" i="22"/>
  <c r="B104" i="22"/>
  <c r="G103" i="22"/>
  <c r="F103" i="22"/>
  <c r="E103" i="22"/>
  <c r="D103" i="22"/>
  <c r="C103" i="22"/>
  <c r="B103" i="22"/>
  <c r="G102" i="22"/>
  <c r="F102" i="22"/>
  <c r="E102" i="22"/>
  <c r="D102" i="22"/>
  <c r="C102" i="22"/>
  <c r="B102" i="22"/>
  <c r="G101" i="22"/>
  <c r="F101" i="22"/>
  <c r="E101" i="22"/>
  <c r="D101" i="22"/>
  <c r="C101" i="22"/>
  <c r="B101" i="22"/>
  <c r="G100" i="22"/>
  <c r="F100" i="22"/>
  <c r="E100" i="22"/>
  <c r="D100" i="22"/>
  <c r="C100" i="22"/>
  <c r="B100" i="22"/>
  <c r="G99" i="22"/>
  <c r="F99" i="22"/>
  <c r="E99" i="22"/>
  <c r="D99" i="22"/>
  <c r="C99" i="22"/>
  <c r="B99" i="22"/>
  <c r="G98" i="22"/>
  <c r="F98" i="22"/>
  <c r="E98" i="22"/>
  <c r="D98" i="22"/>
  <c r="C98" i="22"/>
  <c r="B98" i="22"/>
  <c r="G97" i="22"/>
  <c r="F97" i="22"/>
  <c r="E97" i="22"/>
  <c r="D97" i="22"/>
  <c r="C97" i="22"/>
  <c r="B97" i="22"/>
  <c r="G96" i="22"/>
  <c r="F96" i="22"/>
  <c r="E96" i="22"/>
  <c r="D96" i="22"/>
  <c r="C96" i="22"/>
  <c r="B96" i="22"/>
  <c r="G95" i="22"/>
  <c r="F95" i="22"/>
  <c r="E95" i="22"/>
  <c r="D95" i="22"/>
  <c r="C95" i="22"/>
  <c r="B95" i="22"/>
  <c r="G94" i="22"/>
  <c r="F94" i="22"/>
  <c r="E94" i="22"/>
  <c r="D94" i="22"/>
  <c r="C94" i="22"/>
  <c r="B94" i="22"/>
  <c r="G93" i="22"/>
  <c r="F93" i="22"/>
  <c r="E93" i="22"/>
  <c r="D93" i="22"/>
  <c r="C93" i="22"/>
  <c r="B93" i="22"/>
  <c r="G92" i="22"/>
  <c r="F92" i="22"/>
  <c r="E92" i="22"/>
  <c r="D92" i="22"/>
  <c r="C92" i="22"/>
  <c r="B92" i="22"/>
  <c r="G91" i="22"/>
  <c r="F91" i="22"/>
  <c r="E91" i="22"/>
  <c r="D91" i="22"/>
  <c r="C91" i="22"/>
  <c r="B91" i="22"/>
  <c r="G90" i="22"/>
  <c r="F90" i="22"/>
  <c r="E90" i="22"/>
  <c r="D90" i="22"/>
  <c r="C90" i="22"/>
  <c r="B90" i="22"/>
  <c r="G89" i="22"/>
  <c r="F89" i="22"/>
  <c r="E89" i="22"/>
  <c r="D89" i="22"/>
  <c r="C89" i="22"/>
  <c r="B89" i="22"/>
  <c r="G88" i="22"/>
  <c r="F88" i="22"/>
  <c r="E88" i="22"/>
  <c r="D88" i="22"/>
  <c r="C88" i="22"/>
  <c r="B88" i="22"/>
  <c r="G87" i="22"/>
  <c r="F87" i="22"/>
  <c r="E87" i="22"/>
  <c r="D87" i="22"/>
  <c r="C87" i="22"/>
  <c r="B87" i="22"/>
  <c r="G86" i="22"/>
  <c r="F86" i="22"/>
  <c r="E86" i="22"/>
  <c r="D86" i="22"/>
  <c r="C86" i="22"/>
  <c r="B86" i="22"/>
  <c r="G85" i="22"/>
  <c r="F85" i="22"/>
  <c r="E85" i="22"/>
  <c r="D85" i="22"/>
  <c r="C85" i="22"/>
  <c r="B85" i="22"/>
  <c r="G84" i="22"/>
  <c r="F84" i="22"/>
  <c r="E84" i="22"/>
  <c r="D84" i="22"/>
  <c r="C84" i="22"/>
  <c r="B84" i="22"/>
  <c r="G83" i="22"/>
  <c r="F83" i="22"/>
  <c r="E83" i="22"/>
  <c r="D83" i="22"/>
  <c r="C83" i="22"/>
  <c r="B83" i="22"/>
  <c r="G82" i="22"/>
  <c r="F82" i="22"/>
  <c r="E82" i="22"/>
  <c r="D82" i="22"/>
  <c r="C82" i="22"/>
  <c r="B82" i="22"/>
  <c r="G81" i="22"/>
  <c r="F81" i="22"/>
  <c r="E81" i="22"/>
  <c r="D81" i="22"/>
  <c r="C81" i="22"/>
  <c r="B81" i="22"/>
  <c r="G80" i="22"/>
  <c r="F80" i="22"/>
  <c r="E80" i="22"/>
  <c r="D80" i="22"/>
  <c r="C80" i="22"/>
  <c r="B80" i="22"/>
  <c r="G79" i="22"/>
  <c r="F79" i="22"/>
  <c r="E79" i="22"/>
  <c r="D79" i="22"/>
  <c r="C79" i="22"/>
  <c r="B79" i="22"/>
  <c r="G78" i="22"/>
  <c r="F78" i="22"/>
  <c r="E78" i="22"/>
  <c r="D78" i="22"/>
  <c r="C78" i="22"/>
  <c r="B78" i="22"/>
  <c r="G77" i="22"/>
  <c r="F77" i="22"/>
  <c r="E77" i="22"/>
  <c r="D77" i="22"/>
  <c r="C77" i="22"/>
  <c r="B77" i="22"/>
  <c r="G76" i="22"/>
  <c r="F76" i="22"/>
  <c r="E76" i="22"/>
  <c r="D76" i="22"/>
  <c r="C76" i="22"/>
  <c r="B76" i="22"/>
  <c r="G75" i="22"/>
  <c r="F75" i="22"/>
  <c r="E75" i="22"/>
  <c r="D75" i="22"/>
  <c r="C75" i="22"/>
  <c r="B75" i="22"/>
  <c r="G74" i="22"/>
  <c r="F74" i="22"/>
  <c r="E74" i="22"/>
  <c r="D74" i="22"/>
  <c r="C74" i="22"/>
  <c r="B74" i="22"/>
  <c r="G73" i="22"/>
  <c r="F73" i="22"/>
  <c r="E73" i="22"/>
  <c r="D73" i="22"/>
  <c r="C73" i="22"/>
  <c r="B73" i="22"/>
  <c r="G72" i="22"/>
  <c r="F72" i="22"/>
  <c r="E72" i="22"/>
  <c r="D72" i="22"/>
  <c r="C72" i="22"/>
  <c r="B72" i="22"/>
  <c r="G71" i="22"/>
  <c r="F71" i="22"/>
  <c r="E71" i="22"/>
  <c r="D71" i="22"/>
  <c r="C71" i="22"/>
  <c r="B71" i="22"/>
  <c r="G70" i="22"/>
  <c r="F70" i="22"/>
  <c r="E70" i="22"/>
  <c r="D70" i="22"/>
  <c r="C70" i="22"/>
  <c r="B70" i="22"/>
  <c r="G69" i="22"/>
  <c r="F69" i="22"/>
  <c r="E69" i="22"/>
  <c r="D69" i="22"/>
  <c r="C69" i="22"/>
  <c r="B69" i="22"/>
  <c r="G68" i="22"/>
  <c r="F68" i="22"/>
  <c r="E68" i="22"/>
  <c r="D68" i="22"/>
  <c r="C68" i="22"/>
  <c r="B68" i="22"/>
  <c r="G67" i="22"/>
  <c r="F67" i="22"/>
  <c r="E67" i="22"/>
  <c r="D67" i="22"/>
  <c r="C67" i="22"/>
  <c r="B67" i="22"/>
  <c r="G66" i="22"/>
  <c r="F66" i="22"/>
  <c r="E66" i="22"/>
  <c r="D66" i="22"/>
  <c r="C66" i="22"/>
  <c r="B66" i="22"/>
  <c r="G65" i="22"/>
  <c r="F65" i="22"/>
  <c r="E65" i="22"/>
  <c r="D65" i="22"/>
  <c r="C65" i="22"/>
  <c r="B65" i="22"/>
  <c r="G64" i="22"/>
  <c r="F64" i="22"/>
  <c r="E64" i="22"/>
  <c r="D64" i="22"/>
  <c r="C64" i="22"/>
  <c r="B64" i="22"/>
  <c r="G63" i="22"/>
  <c r="F63" i="22"/>
  <c r="E63" i="22"/>
  <c r="D63" i="22"/>
  <c r="C63" i="22"/>
  <c r="B63" i="22"/>
  <c r="G62" i="22"/>
  <c r="F62" i="22"/>
  <c r="E62" i="22"/>
  <c r="D62" i="22"/>
  <c r="C62" i="22"/>
  <c r="B62" i="22"/>
  <c r="G61" i="22"/>
  <c r="F61" i="22"/>
  <c r="E61" i="22"/>
  <c r="D61" i="22"/>
  <c r="C61" i="22"/>
  <c r="B61" i="22"/>
  <c r="G60" i="22"/>
  <c r="F60" i="22"/>
  <c r="E60" i="22"/>
  <c r="D60" i="22"/>
  <c r="C60" i="22"/>
  <c r="B60" i="22"/>
  <c r="G59" i="22"/>
  <c r="F59" i="22"/>
  <c r="E59" i="22"/>
  <c r="D59" i="22"/>
  <c r="C59" i="22"/>
  <c r="B59" i="22"/>
  <c r="G58" i="22"/>
  <c r="F58" i="22"/>
  <c r="E58" i="22"/>
  <c r="D58" i="22"/>
  <c r="C58" i="22"/>
  <c r="B58" i="22"/>
  <c r="G57" i="22"/>
  <c r="F57" i="22"/>
  <c r="E57" i="22"/>
  <c r="D57" i="22"/>
  <c r="C57" i="22"/>
  <c r="B57" i="22"/>
  <c r="G56" i="22"/>
  <c r="F56" i="22"/>
  <c r="E56" i="22"/>
  <c r="D56" i="22"/>
  <c r="C56" i="22"/>
  <c r="B56" i="22"/>
  <c r="G55" i="22"/>
  <c r="F55" i="22"/>
  <c r="E55" i="22"/>
  <c r="D55" i="22"/>
  <c r="C55" i="22"/>
  <c r="B55" i="22"/>
  <c r="G54" i="22"/>
  <c r="F54" i="22"/>
  <c r="E54" i="22"/>
  <c r="D54" i="22"/>
  <c r="C54" i="22"/>
  <c r="B54" i="22"/>
  <c r="G53" i="22"/>
  <c r="F53" i="22"/>
  <c r="E53" i="22"/>
  <c r="D53" i="22"/>
  <c r="C53" i="22"/>
  <c r="B53" i="22"/>
  <c r="G52" i="22"/>
  <c r="F52" i="22"/>
  <c r="E52" i="22"/>
  <c r="D52" i="22"/>
  <c r="C52" i="22"/>
  <c r="B52" i="22"/>
  <c r="G51" i="22"/>
  <c r="F51" i="22"/>
  <c r="E51" i="22"/>
  <c r="D51" i="22"/>
  <c r="C51" i="22"/>
  <c r="B51" i="22"/>
  <c r="G50" i="22"/>
  <c r="F50" i="22"/>
  <c r="E50" i="22"/>
  <c r="D50" i="22"/>
  <c r="C50" i="22"/>
  <c r="B50" i="22"/>
  <c r="G49" i="22"/>
  <c r="F49" i="22"/>
  <c r="E49" i="22"/>
  <c r="D49" i="22"/>
  <c r="C49" i="22"/>
  <c r="B49" i="22"/>
  <c r="G48" i="22"/>
  <c r="F48" i="22"/>
  <c r="E48" i="22"/>
  <c r="D48" i="22"/>
  <c r="C48" i="22"/>
  <c r="B48" i="22"/>
  <c r="G47" i="22"/>
  <c r="F47" i="22"/>
  <c r="E47" i="22"/>
  <c r="D47" i="22"/>
  <c r="C47" i="22"/>
  <c r="B47" i="22"/>
  <c r="G46" i="22"/>
  <c r="F46" i="22"/>
  <c r="E46" i="22"/>
  <c r="D46" i="22"/>
  <c r="C46" i="22"/>
  <c r="B46" i="22"/>
  <c r="G45" i="22"/>
  <c r="F45" i="22"/>
  <c r="E45" i="22"/>
  <c r="D45" i="22"/>
  <c r="C45" i="22"/>
  <c r="B45" i="22"/>
  <c r="G44" i="22"/>
  <c r="F44" i="22"/>
  <c r="E44" i="22"/>
  <c r="D44" i="22"/>
  <c r="C44" i="22"/>
  <c r="B44" i="22"/>
  <c r="G43" i="22"/>
  <c r="F43" i="22"/>
  <c r="E43" i="22"/>
  <c r="D43" i="22"/>
  <c r="C43" i="22"/>
  <c r="B43" i="22"/>
  <c r="G42" i="22"/>
  <c r="F42" i="22"/>
  <c r="E42" i="22"/>
  <c r="D42" i="22"/>
  <c r="C42" i="22"/>
  <c r="B42" i="22"/>
  <c r="G41" i="22"/>
  <c r="F41" i="22"/>
  <c r="E41" i="22"/>
  <c r="D41" i="22"/>
  <c r="C41" i="22"/>
  <c r="B41" i="22"/>
  <c r="G40" i="22"/>
  <c r="F40" i="22"/>
  <c r="E40" i="22"/>
  <c r="D40" i="22"/>
  <c r="C40" i="22"/>
  <c r="B40" i="22"/>
  <c r="G39" i="22"/>
  <c r="F39" i="22"/>
  <c r="E39" i="22"/>
  <c r="D39" i="22"/>
  <c r="C39" i="22"/>
  <c r="B39" i="22"/>
  <c r="G38" i="22"/>
  <c r="F38" i="22"/>
  <c r="E38" i="22"/>
  <c r="D38" i="22"/>
  <c r="C38" i="22"/>
  <c r="B38" i="22"/>
  <c r="G37" i="22"/>
  <c r="F37" i="22"/>
  <c r="E37" i="22"/>
  <c r="D37" i="22"/>
  <c r="C37" i="22"/>
  <c r="B37" i="22"/>
  <c r="G36" i="22"/>
  <c r="F36" i="22"/>
  <c r="E36" i="22"/>
  <c r="D36" i="22"/>
  <c r="C36" i="22"/>
  <c r="B36" i="22"/>
  <c r="G35" i="22"/>
  <c r="F35" i="22"/>
  <c r="E35" i="22"/>
  <c r="D35" i="22"/>
  <c r="C35" i="22"/>
  <c r="B35" i="22"/>
  <c r="G34" i="22"/>
  <c r="F34" i="22"/>
  <c r="E34" i="22"/>
  <c r="D34" i="22"/>
  <c r="C34" i="22"/>
  <c r="B34" i="22"/>
  <c r="G33" i="22"/>
  <c r="F33" i="22"/>
  <c r="E33" i="22"/>
  <c r="D33" i="22"/>
  <c r="C33" i="22"/>
  <c r="B33" i="22"/>
  <c r="G32" i="22"/>
  <c r="F32" i="22"/>
  <c r="E32" i="22"/>
  <c r="D32" i="22"/>
  <c r="C32" i="22"/>
  <c r="B32" i="22"/>
  <c r="G31" i="22"/>
  <c r="F31" i="22"/>
  <c r="E31" i="22"/>
  <c r="D31" i="22"/>
  <c r="C31" i="22"/>
  <c r="B31" i="22"/>
  <c r="G30" i="22"/>
  <c r="F30" i="22"/>
  <c r="E30" i="22"/>
  <c r="D30" i="22"/>
  <c r="C30" i="22"/>
  <c r="B30" i="22"/>
  <c r="G29" i="22"/>
  <c r="F29" i="22"/>
  <c r="E29" i="22"/>
  <c r="D29" i="22"/>
  <c r="C29" i="22"/>
  <c r="B29" i="22"/>
  <c r="G28" i="22"/>
  <c r="F28" i="22"/>
  <c r="S28" i="2" s="1"/>
  <c r="E28" i="22"/>
  <c r="D28" i="22"/>
  <c r="C28" i="22"/>
  <c r="B28" i="22"/>
  <c r="G27" i="22"/>
  <c r="F27" i="22"/>
  <c r="E27" i="22"/>
  <c r="D27" i="22"/>
  <c r="C27" i="22"/>
  <c r="B27" i="22"/>
  <c r="B18" i="22"/>
  <c r="D14" i="22"/>
  <c r="C14" i="22"/>
  <c r="B14" i="22"/>
  <c r="E10" i="22"/>
  <c r="D10" i="22"/>
  <c r="B10" i="22"/>
  <c r="B7" i="22"/>
  <c r="G278" i="21"/>
  <c r="F278" i="21"/>
  <c r="E278" i="21"/>
  <c r="D278" i="21"/>
  <c r="C278" i="21"/>
  <c r="B278" i="21"/>
  <c r="G277" i="21"/>
  <c r="F277" i="21"/>
  <c r="E277" i="21"/>
  <c r="D277" i="21"/>
  <c r="C277" i="21"/>
  <c r="B277" i="21"/>
  <c r="G276" i="21"/>
  <c r="F276" i="21"/>
  <c r="E276" i="21"/>
  <c r="D276" i="21"/>
  <c r="C276" i="21"/>
  <c r="B276" i="21"/>
  <c r="G275" i="21"/>
  <c r="F275" i="21"/>
  <c r="E275" i="21"/>
  <c r="D275" i="21"/>
  <c r="C275" i="21"/>
  <c r="B275" i="21"/>
  <c r="G274" i="21"/>
  <c r="F274" i="21"/>
  <c r="E274" i="21"/>
  <c r="D274" i="21"/>
  <c r="C274" i="21"/>
  <c r="B274" i="21"/>
  <c r="G273" i="21"/>
  <c r="F273" i="21"/>
  <c r="E273" i="21"/>
  <c r="D273" i="21"/>
  <c r="C273" i="21"/>
  <c r="B273" i="21"/>
  <c r="G272" i="21"/>
  <c r="F272" i="21"/>
  <c r="E272" i="21"/>
  <c r="D272" i="21"/>
  <c r="C272" i="21"/>
  <c r="B272" i="21"/>
  <c r="G271" i="21"/>
  <c r="F271" i="21"/>
  <c r="E271" i="21"/>
  <c r="D271" i="21"/>
  <c r="C271" i="21"/>
  <c r="B271" i="21"/>
  <c r="G270" i="21"/>
  <c r="F270" i="21"/>
  <c r="E270" i="21"/>
  <c r="D270" i="21"/>
  <c r="C270" i="21"/>
  <c r="B270" i="21"/>
  <c r="G269" i="21"/>
  <c r="F269" i="21"/>
  <c r="E269" i="21"/>
  <c r="D269" i="21"/>
  <c r="C269" i="21"/>
  <c r="B269" i="21"/>
  <c r="G268" i="21"/>
  <c r="F268" i="21"/>
  <c r="E268" i="21"/>
  <c r="D268" i="21"/>
  <c r="C268" i="21"/>
  <c r="B268" i="21"/>
  <c r="G267" i="21"/>
  <c r="F267" i="21"/>
  <c r="E267" i="21"/>
  <c r="D267" i="21"/>
  <c r="C267" i="21"/>
  <c r="B267" i="21"/>
  <c r="G266" i="21"/>
  <c r="F266" i="21"/>
  <c r="E266" i="21"/>
  <c r="D266" i="21"/>
  <c r="C266" i="21"/>
  <c r="B266" i="21"/>
  <c r="G265" i="21"/>
  <c r="F265" i="21"/>
  <c r="E265" i="21"/>
  <c r="D265" i="21"/>
  <c r="C265" i="21"/>
  <c r="B265" i="21"/>
  <c r="G264" i="21"/>
  <c r="F264" i="21"/>
  <c r="E264" i="21"/>
  <c r="D264" i="21"/>
  <c r="C264" i="21"/>
  <c r="B264" i="21"/>
  <c r="G263" i="21"/>
  <c r="F263" i="21"/>
  <c r="E263" i="21"/>
  <c r="D263" i="21"/>
  <c r="C263" i="21"/>
  <c r="B263" i="21"/>
  <c r="G262" i="21"/>
  <c r="F262" i="21"/>
  <c r="E262" i="21"/>
  <c r="D262" i="21"/>
  <c r="C262" i="21"/>
  <c r="B262" i="21"/>
  <c r="G261" i="21"/>
  <c r="F261" i="21"/>
  <c r="E261" i="21"/>
  <c r="D261" i="21"/>
  <c r="C261" i="21"/>
  <c r="B261" i="21"/>
  <c r="G260" i="21"/>
  <c r="F260" i="21"/>
  <c r="E260" i="21"/>
  <c r="D260" i="21"/>
  <c r="C260" i="21"/>
  <c r="B260" i="21"/>
  <c r="G259" i="21"/>
  <c r="F259" i="21"/>
  <c r="E259" i="21"/>
  <c r="D259" i="21"/>
  <c r="C259" i="21"/>
  <c r="B259" i="21"/>
  <c r="G258" i="21"/>
  <c r="F258" i="21"/>
  <c r="E258" i="21"/>
  <c r="D258" i="21"/>
  <c r="C258" i="21"/>
  <c r="B258" i="21"/>
  <c r="G257" i="21"/>
  <c r="F257" i="21"/>
  <c r="E257" i="21"/>
  <c r="D257" i="21"/>
  <c r="C257" i="21"/>
  <c r="B257" i="21"/>
  <c r="G256" i="21"/>
  <c r="F256" i="21"/>
  <c r="P27" i="2" s="1"/>
  <c r="E256" i="21"/>
  <c r="D256" i="21"/>
  <c r="C256" i="21"/>
  <c r="B256" i="21"/>
  <c r="G255" i="21"/>
  <c r="F255" i="21"/>
  <c r="E255" i="21"/>
  <c r="D255" i="21"/>
  <c r="C255" i="21"/>
  <c r="B255" i="21"/>
  <c r="G254" i="21"/>
  <c r="F254" i="21"/>
  <c r="E254" i="21"/>
  <c r="D254" i="21"/>
  <c r="C254" i="21"/>
  <c r="B254" i="21"/>
  <c r="G253" i="21"/>
  <c r="F253" i="21"/>
  <c r="E253" i="21"/>
  <c r="D253" i="21"/>
  <c r="C253" i="21"/>
  <c r="B253" i="21"/>
  <c r="G252" i="21"/>
  <c r="F252" i="21"/>
  <c r="E252" i="21"/>
  <c r="D252" i="21"/>
  <c r="C252" i="21"/>
  <c r="B252" i="21"/>
  <c r="G251" i="21"/>
  <c r="F251" i="21"/>
  <c r="E251" i="21"/>
  <c r="D251" i="21"/>
  <c r="C251" i="21"/>
  <c r="B251" i="21"/>
  <c r="G250" i="21"/>
  <c r="F250" i="21"/>
  <c r="E250" i="21"/>
  <c r="D250" i="21"/>
  <c r="C250" i="21"/>
  <c r="B250" i="21"/>
  <c r="G249" i="21"/>
  <c r="F249" i="21"/>
  <c r="E249" i="21"/>
  <c r="D249" i="21"/>
  <c r="C249" i="21"/>
  <c r="B249" i="21"/>
  <c r="G248" i="21"/>
  <c r="F248" i="21"/>
  <c r="E248" i="21"/>
  <c r="D248" i="21"/>
  <c r="C248" i="21"/>
  <c r="B248" i="21"/>
  <c r="G247" i="21"/>
  <c r="F247" i="21"/>
  <c r="E247" i="21"/>
  <c r="D247" i="21"/>
  <c r="C247" i="21"/>
  <c r="B247" i="21"/>
  <c r="G246" i="21"/>
  <c r="F246" i="21"/>
  <c r="E246" i="21"/>
  <c r="D246" i="21"/>
  <c r="C246" i="21"/>
  <c r="B246" i="21"/>
  <c r="G245" i="21"/>
  <c r="F245" i="21"/>
  <c r="E245" i="21"/>
  <c r="D245" i="21"/>
  <c r="C245" i="21"/>
  <c r="B245" i="21"/>
  <c r="G244" i="21"/>
  <c r="F244" i="21"/>
  <c r="E244" i="21"/>
  <c r="D244" i="21"/>
  <c r="C244" i="21"/>
  <c r="B244" i="21"/>
  <c r="G243" i="21"/>
  <c r="F243" i="21"/>
  <c r="E243" i="21"/>
  <c r="D243" i="21"/>
  <c r="C243" i="21"/>
  <c r="B243" i="21"/>
  <c r="G242" i="21"/>
  <c r="F242" i="21"/>
  <c r="E242" i="21"/>
  <c r="D242" i="21"/>
  <c r="C242" i="21"/>
  <c r="B242" i="21"/>
  <c r="G241" i="21"/>
  <c r="F241" i="21"/>
  <c r="E241" i="21"/>
  <c r="D241" i="21"/>
  <c r="C241" i="21"/>
  <c r="B241" i="21"/>
  <c r="G240" i="21"/>
  <c r="F240" i="21"/>
  <c r="E240" i="21"/>
  <c r="D240" i="21"/>
  <c r="C240" i="21"/>
  <c r="B240" i="21"/>
  <c r="G239" i="21"/>
  <c r="F239" i="21"/>
  <c r="E239" i="21"/>
  <c r="D239" i="21"/>
  <c r="C239" i="21"/>
  <c r="B239" i="21"/>
  <c r="G238" i="21"/>
  <c r="F238" i="21"/>
  <c r="E238" i="21"/>
  <c r="D238" i="21"/>
  <c r="C238" i="21"/>
  <c r="B238" i="21"/>
  <c r="G237" i="21"/>
  <c r="F237" i="21"/>
  <c r="E237" i="21"/>
  <c r="D237" i="21"/>
  <c r="C237" i="21"/>
  <c r="B237" i="21"/>
  <c r="G236" i="21"/>
  <c r="F236" i="21"/>
  <c r="E236" i="21"/>
  <c r="D236" i="21"/>
  <c r="C236" i="21"/>
  <c r="B236" i="21"/>
  <c r="G235" i="21"/>
  <c r="F235" i="21"/>
  <c r="E235" i="21"/>
  <c r="D235" i="21"/>
  <c r="C235" i="21"/>
  <c r="B235" i="21"/>
  <c r="G234" i="21"/>
  <c r="F234" i="21"/>
  <c r="E234" i="21"/>
  <c r="D234" i="21"/>
  <c r="C234" i="21"/>
  <c r="B234" i="21"/>
  <c r="G233" i="21"/>
  <c r="F233" i="21"/>
  <c r="E233" i="21"/>
  <c r="D233" i="21"/>
  <c r="C233" i="21"/>
  <c r="B233" i="21"/>
  <c r="G232" i="21"/>
  <c r="F232" i="21"/>
  <c r="E232" i="21"/>
  <c r="D232" i="21"/>
  <c r="C232" i="21"/>
  <c r="B232" i="21"/>
  <c r="G231" i="21"/>
  <c r="F231" i="21"/>
  <c r="E231" i="21"/>
  <c r="D231" i="21"/>
  <c r="C231" i="21"/>
  <c r="B231" i="21"/>
  <c r="G230" i="21"/>
  <c r="F230" i="21"/>
  <c r="E230" i="21"/>
  <c r="D230" i="21"/>
  <c r="C230" i="21"/>
  <c r="B230" i="21"/>
  <c r="G229" i="21"/>
  <c r="F229" i="21"/>
  <c r="E229" i="21"/>
  <c r="D229" i="21"/>
  <c r="C229" i="21"/>
  <c r="B229" i="21"/>
  <c r="G228" i="21"/>
  <c r="F228" i="21"/>
  <c r="E228" i="21"/>
  <c r="D228" i="21"/>
  <c r="C228" i="21"/>
  <c r="B228" i="21"/>
  <c r="G227" i="21"/>
  <c r="F227" i="21"/>
  <c r="E227" i="21"/>
  <c r="D227" i="21"/>
  <c r="C227" i="21"/>
  <c r="B227" i="21"/>
  <c r="G226" i="21"/>
  <c r="F226" i="21"/>
  <c r="E226" i="21"/>
  <c r="D226" i="21"/>
  <c r="C226" i="21"/>
  <c r="B226" i="21"/>
  <c r="G225" i="21"/>
  <c r="F225" i="21"/>
  <c r="E225" i="21"/>
  <c r="D225" i="21"/>
  <c r="C225" i="21"/>
  <c r="B225" i="21"/>
  <c r="G224" i="21"/>
  <c r="F224" i="21"/>
  <c r="E224" i="21"/>
  <c r="D224" i="21"/>
  <c r="C224" i="21"/>
  <c r="B224" i="21"/>
  <c r="G223" i="21"/>
  <c r="F223" i="21"/>
  <c r="E223" i="21"/>
  <c r="D223" i="21"/>
  <c r="C223" i="21"/>
  <c r="B223" i="21"/>
  <c r="G222" i="21"/>
  <c r="F222" i="21"/>
  <c r="E222" i="21"/>
  <c r="D222" i="21"/>
  <c r="C222" i="21"/>
  <c r="B222" i="21"/>
  <c r="G221" i="21"/>
  <c r="F221" i="21"/>
  <c r="E221" i="21"/>
  <c r="D221" i="21"/>
  <c r="C221" i="21"/>
  <c r="B221" i="21"/>
  <c r="G220" i="21"/>
  <c r="F220" i="21"/>
  <c r="E220" i="21"/>
  <c r="D220" i="21"/>
  <c r="C220" i="21"/>
  <c r="B220" i="21"/>
  <c r="G219" i="21"/>
  <c r="F219" i="21"/>
  <c r="E219" i="21"/>
  <c r="D219" i="21"/>
  <c r="C219" i="21"/>
  <c r="B219" i="21"/>
  <c r="G218" i="21"/>
  <c r="F218" i="21"/>
  <c r="E218" i="21"/>
  <c r="D218" i="21"/>
  <c r="C218" i="21"/>
  <c r="B218" i="21"/>
  <c r="G217" i="21"/>
  <c r="F217" i="21"/>
  <c r="E217" i="21"/>
  <c r="D217" i="21"/>
  <c r="C217" i="21"/>
  <c r="B217" i="21"/>
  <c r="G216" i="21"/>
  <c r="F216" i="21"/>
  <c r="E216" i="21"/>
  <c r="D216" i="21"/>
  <c r="C216" i="21"/>
  <c r="B216" i="21"/>
  <c r="G215" i="21"/>
  <c r="F215" i="21"/>
  <c r="E215" i="21"/>
  <c r="D215" i="21"/>
  <c r="C215" i="21"/>
  <c r="B215" i="21"/>
  <c r="G214" i="21"/>
  <c r="F214" i="21"/>
  <c r="E214" i="21"/>
  <c r="D214" i="21"/>
  <c r="C214" i="21"/>
  <c r="B214" i="21"/>
  <c r="G213" i="21"/>
  <c r="F213" i="21"/>
  <c r="E213" i="21"/>
  <c r="D213" i="21"/>
  <c r="C213" i="21"/>
  <c r="B213" i="21"/>
  <c r="G212" i="21"/>
  <c r="F212" i="21"/>
  <c r="E212" i="21"/>
  <c r="D212" i="21"/>
  <c r="C212" i="21"/>
  <c r="B212" i="21"/>
  <c r="G211" i="21"/>
  <c r="F211" i="21"/>
  <c r="E211" i="21"/>
  <c r="D211" i="21"/>
  <c r="C211" i="21"/>
  <c r="B211" i="21"/>
  <c r="G210" i="21"/>
  <c r="F210" i="21"/>
  <c r="E210" i="21"/>
  <c r="D210" i="21"/>
  <c r="C210" i="21"/>
  <c r="B210" i="21"/>
  <c r="G209" i="21"/>
  <c r="F209" i="21"/>
  <c r="E209" i="21"/>
  <c r="D209" i="21"/>
  <c r="C209" i="21"/>
  <c r="B209" i="21"/>
  <c r="G208" i="21"/>
  <c r="F208" i="21"/>
  <c r="E208" i="21"/>
  <c r="D208" i="21"/>
  <c r="C208" i="21"/>
  <c r="B208" i="21"/>
  <c r="G207" i="21"/>
  <c r="F207" i="21"/>
  <c r="E207" i="21"/>
  <c r="D207" i="21"/>
  <c r="C207" i="21"/>
  <c r="B207" i="21"/>
  <c r="G206" i="21"/>
  <c r="F206" i="21"/>
  <c r="E206" i="21"/>
  <c r="D206" i="21"/>
  <c r="C206" i="21"/>
  <c r="B206" i="21"/>
  <c r="G205" i="21"/>
  <c r="F205" i="21"/>
  <c r="E205" i="21"/>
  <c r="D205" i="21"/>
  <c r="C205" i="21"/>
  <c r="B205" i="21"/>
  <c r="G204" i="21"/>
  <c r="F204" i="21"/>
  <c r="E204" i="21"/>
  <c r="D204" i="21"/>
  <c r="C204" i="21"/>
  <c r="B204" i="21"/>
  <c r="G203" i="21"/>
  <c r="F203" i="21"/>
  <c r="E203" i="21"/>
  <c r="D203" i="21"/>
  <c r="C203" i="21"/>
  <c r="B203" i="21"/>
  <c r="G202" i="21"/>
  <c r="F202" i="21"/>
  <c r="E202" i="21"/>
  <c r="D202" i="21"/>
  <c r="C202" i="21"/>
  <c r="B202" i="21"/>
  <c r="G201" i="21"/>
  <c r="F201" i="21"/>
  <c r="E201" i="21"/>
  <c r="D201" i="21"/>
  <c r="C201" i="21"/>
  <c r="B201" i="21"/>
  <c r="G200" i="21"/>
  <c r="F200" i="21"/>
  <c r="E200" i="21"/>
  <c r="D200" i="21"/>
  <c r="C200" i="21"/>
  <c r="B200" i="21"/>
  <c r="G199" i="21"/>
  <c r="F199" i="21"/>
  <c r="E199" i="21"/>
  <c r="D199" i="21"/>
  <c r="C199" i="21"/>
  <c r="B199" i="21"/>
  <c r="G198" i="21"/>
  <c r="F198" i="21"/>
  <c r="E198" i="21"/>
  <c r="D198" i="21"/>
  <c r="C198" i="21"/>
  <c r="B198" i="21"/>
  <c r="G197" i="21"/>
  <c r="F197" i="21"/>
  <c r="E197" i="21"/>
  <c r="D197" i="21"/>
  <c r="C197" i="21"/>
  <c r="B197" i="21"/>
  <c r="G196" i="21"/>
  <c r="F196" i="21"/>
  <c r="E196" i="21"/>
  <c r="D196" i="21"/>
  <c r="C196" i="21"/>
  <c r="B196" i="21"/>
  <c r="G195" i="21"/>
  <c r="F195" i="21"/>
  <c r="E195" i="21"/>
  <c r="D195" i="21"/>
  <c r="C195" i="21"/>
  <c r="B195" i="21"/>
  <c r="G194" i="21"/>
  <c r="F194" i="21"/>
  <c r="E194" i="21"/>
  <c r="D194" i="21"/>
  <c r="C194" i="21"/>
  <c r="B194" i="21"/>
  <c r="G193" i="21"/>
  <c r="F193" i="21"/>
  <c r="E193" i="21"/>
  <c r="D193" i="21"/>
  <c r="C193" i="21"/>
  <c r="B193" i="21"/>
  <c r="G192" i="21"/>
  <c r="F192" i="21"/>
  <c r="E192" i="21"/>
  <c r="D192" i="21"/>
  <c r="C192" i="21"/>
  <c r="B192" i="21"/>
  <c r="G191" i="21"/>
  <c r="F191" i="21"/>
  <c r="E191" i="21"/>
  <c r="D191" i="21"/>
  <c r="C191" i="21"/>
  <c r="B191" i="21"/>
  <c r="G190" i="21"/>
  <c r="F190" i="21"/>
  <c r="E190" i="21"/>
  <c r="D190" i="21"/>
  <c r="C190" i="21"/>
  <c r="B190" i="21"/>
  <c r="G189" i="21"/>
  <c r="F189" i="21"/>
  <c r="E189" i="21"/>
  <c r="D189" i="21"/>
  <c r="C189" i="21"/>
  <c r="B189" i="21"/>
  <c r="G188" i="21"/>
  <c r="F188" i="21"/>
  <c r="E188" i="21"/>
  <c r="D188" i="21"/>
  <c r="C188" i="21"/>
  <c r="B188" i="21"/>
  <c r="G187" i="21"/>
  <c r="F187" i="21"/>
  <c r="E187" i="21"/>
  <c r="D187" i="21"/>
  <c r="C187" i="21"/>
  <c r="B187" i="21"/>
  <c r="G186" i="21"/>
  <c r="F186" i="21"/>
  <c r="E186" i="21"/>
  <c r="D186" i="21"/>
  <c r="C186" i="21"/>
  <c r="B186" i="21"/>
  <c r="G185" i="21"/>
  <c r="F185" i="21"/>
  <c r="E185" i="21"/>
  <c r="D185" i="21"/>
  <c r="C185" i="21"/>
  <c r="B185" i="21"/>
  <c r="G184" i="21"/>
  <c r="F184" i="21"/>
  <c r="E184" i="21"/>
  <c r="D184" i="21"/>
  <c r="C184" i="21"/>
  <c r="B184" i="21"/>
  <c r="G183" i="21"/>
  <c r="F183" i="21"/>
  <c r="E183" i="21"/>
  <c r="D183" i="21"/>
  <c r="C183" i="21"/>
  <c r="B183" i="21"/>
  <c r="G182" i="21"/>
  <c r="F182" i="21"/>
  <c r="E182" i="21"/>
  <c r="D182" i="21"/>
  <c r="C182" i="21"/>
  <c r="B182" i="21"/>
  <c r="G181" i="21"/>
  <c r="F181" i="21"/>
  <c r="E181" i="21"/>
  <c r="D181" i="21"/>
  <c r="C181" i="21"/>
  <c r="B181" i="21"/>
  <c r="G180" i="21"/>
  <c r="F180" i="21"/>
  <c r="E180" i="21"/>
  <c r="D180" i="21"/>
  <c r="C180" i="21"/>
  <c r="B180" i="21"/>
  <c r="G179" i="21"/>
  <c r="F179" i="21"/>
  <c r="E179" i="21"/>
  <c r="D179" i="21"/>
  <c r="C179" i="21"/>
  <c r="B179" i="21"/>
  <c r="G178" i="21"/>
  <c r="F178" i="21"/>
  <c r="E178" i="21"/>
  <c r="D178" i="21"/>
  <c r="C178" i="21"/>
  <c r="B178" i="21"/>
  <c r="G177" i="21"/>
  <c r="F177" i="21"/>
  <c r="E177" i="21"/>
  <c r="D177" i="21"/>
  <c r="C177" i="21"/>
  <c r="B177" i="21"/>
  <c r="G176" i="21"/>
  <c r="F176" i="21"/>
  <c r="E176" i="21"/>
  <c r="D176" i="21"/>
  <c r="C176" i="21"/>
  <c r="B176" i="21"/>
  <c r="G175" i="21"/>
  <c r="F175" i="21"/>
  <c r="E175" i="21"/>
  <c r="D175" i="21"/>
  <c r="C175" i="21"/>
  <c r="B175" i="21"/>
  <c r="G174" i="21"/>
  <c r="F174" i="21"/>
  <c r="E174" i="21"/>
  <c r="D174" i="21"/>
  <c r="C174" i="21"/>
  <c r="B174" i="21"/>
  <c r="G173" i="21"/>
  <c r="F173" i="21"/>
  <c r="E173" i="21"/>
  <c r="D173" i="21"/>
  <c r="C173" i="21"/>
  <c r="B173" i="21"/>
  <c r="G172" i="21"/>
  <c r="F172" i="21"/>
  <c r="E172" i="21"/>
  <c r="D172" i="21"/>
  <c r="C172" i="21"/>
  <c r="B172" i="21"/>
  <c r="G171" i="21"/>
  <c r="F171" i="21"/>
  <c r="E171" i="21"/>
  <c r="D171" i="21"/>
  <c r="C171" i="21"/>
  <c r="B171" i="21"/>
  <c r="G170" i="21"/>
  <c r="F170" i="21"/>
  <c r="E170" i="21"/>
  <c r="D170" i="21"/>
  <c r="C170" i="21"/>
  <c r="B170" i="21"/>
  <c r="G169" i="21"/>
  <c r="F169" i="21"/>
  <c r="E169" i="21"/>
  <c r="D169" i="21"/>
  <c r="C169" i="21"/>
  <c r="B169" i="21"/>
  <c r="G168" i="21"/>
  <c r="F168" i="21"/>
  <c r="E168" i="21"/>
  <c r="D168" i="21"/>
  <c r="C168" i="21"/>
  <c r="B168" i="21"/>
  <c r="G167" i="21"/>
  <c r="F167" i="21"/>
  <c r="E167" i="21"/>
  <c r="D167" i="21"/>
  <c r="C167" i="21"/>
  <c r="B167" i="21"/>
  <c r="G166" i="21"/>
  <c r="F166" i="21"/>
  <c r="E166" i="21"/>
  <c r="D166" i="21"/>
  <c r="C166" i="21"/>
  <c r="B166" i="21"/>
  <c r="G165" i="21"/>
  <c r="F165" i="21"/>
  <c r="E165" i="21"/>
  <c r="D165" i="21"/>
  <c r="C165" i="21"/>
  <c r="B165" i="21"/>
  <c r="G164" i="21"/>
  <c r="F164" i="21"/>
  <c r="E164" i="21"/>
  <c r="D164" i="21"/>
  <c r="C164" i="21"/>
  <c r="B164" i="21"/>
  <c r="G163" i="21"/>
  <c r="F163" i="21"/>
  <c r="E163" i="21"/>
  <c r="D163" i="21"/>
  <c r="C163" i="21"/>
  <c r="B163" i="21"/>
  <c r="G162" i="21"/>
  <c r="F162" i="21"/>
  <c r="E162" i="21"/>
  <c r="D162" i="21"/>
  <c r="C162" i="21"/>
  <c r="B162" i="21"/>
  <c r="G161" i="21"/>
  <c r="F161" i="21"/>
  <c r="E161" i="21"/>
  <c r="D161" i="21"/>
  <c r="C161" i="21"/>
  <c r="B161" i="21"/>
  <c r="G160" i="21"/>
  <c r="F160" i="21"/>
  <c r="E160" i="21"/>
  <c r="D160" i="21"/>
  <c r="C160" i="21"/>
  <c r="B160" i="21"/>
  <c r="G159" i="21"/>
  <c r="F159" i="21"/>
  <c r="E159" i="21"/>
  <c r="D159" i="21"/>
  <c r="C159" i="21"/>
  <c r="B159" i="21"/>
  <c r="G158" i="21"/>
  <c r="F158" i="21"/>
  <c r="E158" i="21"/>
  <c r="D158" i="21"/>
  <c r="C158" i="21"/>
  <c r="B158" i="21"/>
  <c r="G157" i="21"/>
  <c r="F157" i="21"/>
  <c r="E157" i="21"/>
  <c r="D157" i="21"/>
  <c r="C157" i="21"/>
  <c r="B157" i="21"/>
  <c r="G156" i="21"/>
  <c r="F156" i="21"/>
  <c r="E156" i="21"/>
  <c r="D156" i="21"/>
  <c r="C156" i="21"/>
  <c r="B156" i="21"/>
  <c r="G155" i="21"/>
  <c r="F155" i="21"/>
  <c r="E155" i="21"/>
  <c r="D155" i="21"/>
  <c r="C155" i="21"/>
  <c r="B155" i="21"/>
  <c r="G154" i="21"/>
  <c r="F154" i="21"/>
  <c r="E154" i="21"/>
  <c r="D154" i="21"/>
  <c r="C154" i="21"/>
  <c r="B154" i="21"/>
  <c r="G153" i="21"/>
  <c r="F153" i="21"/>
  <c r="E153" i="21"/>
  <c r="D153" i="21"/>
  <c r="C153" i="21"/>
  <c r="B153" i="21"/>
  <c r="G152" i="21"/>
  <c r="F152" i="21"/>
  <c r="E152" i="21"/>
  <c r="D152" i="21"/>
  <c r="C152" i="21"/>
  <c r="B152" i="21"/>
  <c r="G151" i="21"/>
  <c r="F151" i="21"/>
  <c r="E151" i="21"/>
  <c r="D151" i="21"/>
  <c r="C151" i="21"/>
  <c r="B151" i="21"/>
  <c r="G150" i="21"/>
  <c r="F150" i="21"/>
  <c r="E150" i="21"/>
  <c r="D150" i="21"/>
  <c r="C150" i="21"/>
  <c r="B150" i="21"/>
  <c r="G149" i="21"/>
  <c r="F149" i="21"/>
  <c r="E149" i="21"/>
  <c r="D149" i="21"/>
  <c r="C149" i="21"/>
  <c r="B149" i="21"/>
  <c r="G148" i="21"/>
  <c r="F148" i="21"/>
  <c r="E148" i="21"/>
  <c r="D148" i="21"/>
  <c r="C148" i="21"/>
  <c r="B148" i="21"/>
  <c r="G147" i="21"/>
  <c r="F147" i="21"/>
  <c r="E147" i="21"/>
  <c r="D147" i="21"/>
  <c r="C147" i="21"/>
  <c r="B147" i="21"/>
  <c r="G146" i="21"/>
  <c r="F146" i="21"/>
  <c r="E146" i="21"/>
  <c r="D146" i="21"/>
  <c r="C146" i="21"/>
  <c r="B146" i="21"/>
  <c r="G145" i="21"/>
  <c r="F145" i="21"/>
  <c r="E145" i="21"/>
  <c r="D145" i="21"/>
  <c r="C145" i="21"/>
  <c r="B145" i="21"/>
  <c r="G144" i="21"/>
  <c r="F144" i="21"/>
  <c r="E144" i="21"/>
  <c r="D144" i="21"/>
  <c r="C144" i="21"/>
  <c r="B144" i="21"/>
  <c r="G143" i="21"/>
  <c r="F143" i="21"/>
  <c r="E143" i="21"/>
  <c r="D143" i="21"/>
  <c r="C143" i="21"/>
  <c r="B143" i="21"/>
  <c r="G142" i="21"/>
  <c r="F142" i="21"/>
  <c r="E142" i="21"/>
  <c r="D142" i="21"/>
  <c r="C142" i="21"/>
  <c r="B142" i="21"/>
  <c r="G141" i="21"/>
  <c r="F141" i="21"/>
  <c r="E141" i="21"/>
  <c r="D141" i="21"/>
  <c r="C141" i="21"/>
  <c r="B141" i="21"/>
  <c r="G140" i="21"/>
  <c r="F140" i="21"/>
  <c r="E140" i="21"/>
  <c r="D140" i="21"/>
  <c r="C140" i="21"/>
  <c r="B140" i="21"/>
  <c r="G139" i="21"/>
  <c r="F139" i="21"/>
  <c r="E139" i="21"/>
  <c r="D139" i="21"/>
  <c r="C139" i="21"/>
  <c r="B139" i="21"/>
  <c r="G138" i="21"/>
  <c r="F138" i="21"/>
  <c r="E138" i="21"/>
  <c r="D138" i="21"/>
  <c r="C138" i="21"/>
  <c r="B138" i="21"/>
  <c r="G137" i="21"/>
  <c r="F137" i="21"/>
  <c r="E137" i="21"/>
  <c r="D137" i="21"/>
  <c r="C137" i="21"/>
  <c r="B137" i="21"/>
  <c r="G136" i="21"/>
  <c r="F136" i="21"/>
  <c r="E136" i="21"/>
  <c r="D136" i="21"/>
  <c r="C136" i="21"/>
  <c r="B136" i="21"/>
  <c r="G135" i="21"/>
  <c r="F135" i="21"/>
  <c r="E135" i="21"/>
  <c r="D135" i="21"/>
  <c r="C135" i="21"/>
  <c r="B135" i="21"/>
  <c r="G134" i="21"/>
  <c r="F134" i="21"/>
  <c r="E134" i="21"/>
  <c r="D134" i="21"/>
  <c r="C134" i="21"/>
  <c r="B134" i="21"/>
  <c r="G133" i="21"/>
  <c r="F133" i="21"/>
  <c r="E133" i="21"/>
  <c r="D133" i="21"/>
  <c r="C133" i="21"/>
  <c r="B133" i="21"/>
  <c r="G132" i="21"/>
  <c r="F132" i="21"/>
  <c r="E132" i="21"/>
  <c r="D132" i="21"/>
  <c r="C132" i="21"/>
  <c r="B132" i="21"/>
  <c r="G131" i="21"/>
  <c r="F131" i="21"/>
  <c r="E131" i="21"/>
  <c r="D131" i="21"/>
  <c r="C131" i="21"/>
  <c r="B131" i="21"/>
  <c r="G130" i="21"/>
  <c r="F130" i="21"/>
  <c r="E130" i="21"/>
  <c r="D130" i="21"/>
  <c r="C130" i="21"/>
  <c r="B130" i="21"/>
  <c r="G129" i="21"/>
  <c r="F129" i="21"/>
  <c r="E129" i="21"/>
  <c r="D129" i="21"/>
  <c r="C129" i="21"/>
  <c r="B129" i="21"/>
  <c r="G128" i="21"/>
  <c r="F128" i="21"/>
  <c r="E128" i="21"/>
  <c r="D128" i="21"/>
  <c r="C128" i="21"/>
  <c r="B128" i="21"/>
  <c r="G127" i="21"/>
  <c r="F127" i="21"/>
  <c r="E127" i="21"/>
  <c r="D127" i="21"/>
  <c r="C127" i="21"/>
  <c r="B127" i="21"/>
  <c r="G126" i="21"/>
  <c r="F126" i="21"/>
  <c r="E126" i="21"/>
  <c r="D126" i="21"/>
  <c r="C126" i="21"/>
  <c r="B126" i="21"/>
  <c r="G125" i="21"/>
  <c r="F125" i="21"/>
  <c r="E125" i="21"/>
  <c r="D125" i="21"/>
  <c r="C125" i="21"/>
  <c r="B125" i="21"/>
  <c r="G124" i="21"/>
  <c r="F124" i="21"/>
  <c r="E124" i="21"/>
  <c r="D124" i="21"/>
  <c r="C124" i="21"/>
  <c r="B124" i="21"/>
  <c r="G123" i="21"/>
  <c r="F123" i="21"/>
  <c r="E123" i="21"/>
  <c r="D123" i="21"/>
  <c r="C123" i="21"/>
  <c r="B123" i="21"/>
  <c r="G122" i="21"/>
  <c r="F122" i="21"/>
  <c r="E122" i="21"/>
  <c r="D122" i="21"/>
  <c r="C122" i="21"/>
  <c r="B122" i="21"/>
  <c r="G121" i="21"/>
  <c r="F121" i="21"/>
  <c r="E121" i="21"/>
  <c r="D121" i="21"/>
  <c r="C121" i="21"/>
  <c r="B121" i="21"/>
  <c r="G120" i="21"/>
  <c r="F120" i="21"/>
  <c r="E120" i="21"/>
  <c r="D120" i="21"/>
  <c r="C120" i="21"/>
  <c r="B120" i="21"/>
  <c r="G119" i="21"/>
  <c r="F119" i="21"/>
  <c r="E119" i="21"/>
  <c r="D119" i="21"/>
  <c r="C119" i="21"/>
  <c r="B119" i="21"/>
  <c r="G118" i="21"/>
  <c r="F118" i="21"/>
  <c r="E118" i="21"/>
  <c r="D118" i="21"/>
  <c r="C118" i="21"/>
  <c r="B118" i="21"/>
  <c r="G117" i="21"/>
  <c r="F117" i="21"/>
  <c r="E117" i="21"/>
  <c r="D117" i="21"/>
  <c r="C117" i="21"/>
  <c r="B117" i="21"/>
  <c r="G116" i="21"/>
  <c r="F116" i="21"/>
  <c r="E116" i="21"/>
  <c r="D116" i="21"/>
  <c r="C116" i="21"/>
  <c r="B116" i="21"/>
  <c r="G115" i="21"/>
  <c r="F115" i="21"/>
  <c r="E115" i="21"/>
  <c r="D115" i="21"/>
  <c r="C115" i="21"/>
  <c r="B115" i="21"/>
  <c r="G114" i="21"/>
  <c r="F114" i="21"/>
  <c r="E114" i="21"/>
  <c r="D114" i="21"/>
  <c r="C114" i="21"/>
  <c r="B114" i="21"/>
  <c r="G113" i="21"/>
  <c r="F113" i="21"/>
  <c r="E113" i="21"/>
  <c r="D113" i="21"/>
  <c r="C113" i="21"/>
  <c r="B113" i="21"/>
  <c r="G112" i="21"/>
  <c r="F112" i="21"/>
  <c r="E112" i="21"/>
  <c r="D112" i="21"/>
  <c r="C112" i="21"/>
  <c r="B112" i="21"/>
  <c r="G111" i="21"/>
  <c r="F111" i="21"/>
  <c r="E111" i="21"/>
  <c r="D111" i="21"/>
  <c r="C111" i="21"/>
  <c r="B111" i="21"/>
  <c r="G110" i="21"/>
  <c r="F110" i="21"/>
  <c r="E110" i="21"/>
  <c r="D110" i="21"/>
  <c r="C110" i="21"/>
  <c r="B110" i="21"/>
  <c r="G109" i="21"/>
  <c r="F109" i="21"/>
  <c r="E109" i="21"/>
  <c r="D109" i="21"/>
  <c r="C109" i="21"/>
  <c r="B109" i="21"/>
  <c r="G108" i="21"/>
  <c r="F108" i="21"/>
  <c r="E108" i="21"/>
  <c r="D108" i="21"/>
  <c r="C108" i="21"/>
  <c r="B108" i="21"/>
  <c r="G107" i="21"/>
  <c r="F107" i="21"/>
  <c r="E107" i="21"/>
  <c r="D107" i="21"/>
  <c r="C107" i="21"/>
  <c r="B107" i="21"/>
  <c r="G106" i="21"/>
  <c r="F106" i="21"/>
  <c r="E106" i="21"/>
  <c r="D106" i="21"/>
  <c r="C106" i="21"/>
  <c r="B106" i="21"/>
  <c r="G105" i="21"/>
  <c r="F105" i="21"/>
  <c r="E105" i="21"/>
  <c r="D105" i="21"/>
  <c r="C105" i="21"/>
  <c r="B105" i="21"/>
  <c r="G104" i="21"/>
  <c r="F104" i="21"/>
  <c r="E104" i="21"/>
  <c r="D104" i="21"/>
  <c r="C104" i="21"/>
  <c r="B104" i="21"/>
  <c r="G103" i="21"/>
  <c r="F103" i="21"/>
  <c r="E103" i="21"/>
  <c r="D103" i="21"/>
  <c r="C103" i="21"/>
  <c r="B103" i="21"/>
  <c r="G102" i="21"/>
  <c r="F102" i="21"/>
  <c r="E102" i="21"/>
  <c r="D102" i="21"/>
  <c r="C102" i="21"/>
  <c r="B102" i="21"/>
  <c r="G101" i="21"/>
  <c r="F101" i="21"/>
  <c r="E101" i="21"/>
  <c r="D101" i="21"/>
  <c r="C101" i="21"/>
  <c r="B101" i="21"/>
  <c r="G100" i="21"/>
  <c r="F100" i="21"/>
  <c r="E100" i="21"/>
  <c r="D100" i="21"/>
  <c r="C100" i="21"/>
  <c r="B100" i="21"/>
  <c r="G99" i="21"/>
  <c r="F99" i="21"/>
  <c r="E99" i="21"/>
  <c r="D99" i="21"/>
  <c r="C99" i="21"/>
  <c r="B99" i="21"/>
  <c r="G98" i="21"/>
  <c r="F98" i="21"/>
  <c r="E98" i="21"/>
  <c r="D98" i="21"/>
  <c r="C98" i="21"/>
  <c r="B98" i="21"/>
  <c r="G97" i="21"/>
  <c r="F97" i="21"/>
  <c r="E97" i="21"/>
  <c r="D97" i="21"/>
  <c r="C97" i="21"/>
  <c r="B97" i="21"/>
  <c r="G96" i="21"/>
  <c r="F96" i="21"/>
  <c r="E96" i="21"/>
  <c r="D96" i="21"/>
  <c r="C96" i="21"/>
  <c r="B96" i="21"/>
  <c r="G95" i="21"/>
  <c r="F95" i="21"/>
  <c r="E95" i="21"/>
  <c r="D95" i="21"/>
  <c r="C95" i="21"/>
  <c r="B95" i="21"/>
  <c r="G94" i="21"/>
  <c r="F94" i="21"/>
  <c r="E94" i="21"/>
  <c r="D94" i="21"/>
  <c r="C94" i="21"/>
  <c r="B94" i="21"/>
  <c r="G93" i="21"/>
  <c r="F93" i="21"/>
  <c r="E93" i="21"/>
  <c r="D93" i="21"/>
  <c r="C93" i="21"/>
  <c r="B93" i="21"/>
  <c r="G92" i="21"/>
  <c r="F92" i="21"/>
  <c r="E92" i="21"/>
  <c r="D92" i="21"/>
  <c r="C92" i="21"/>
  <c r="B92" i="21"/>
  <c r="G91" i="21"/>
  <c r="F91" i="21"/>
  <c r="E91" i="21"/>
  <c r="D91" i="21"/>
  <c r="C91" i="21"/>
  <c r="B91" i="21"/>
  <c r="G90" i="21"/>
  <c r="F90" i="21"/>
  <c r="E90" i="21"/>
  <c r="D90" i="21"/>
  <c r="C90" i="21"/>
  <c r="B90" i="21"/>
  <c r="G89" i="21"/>
  <c r="F89" i="21"/>
  <c r="E89" i="21"/>
  <c r="D89" i="21"/>
  <c r="C89" i="21"/>
  <c r="B89" i="21"/>
  <c r="G88" i="21"/>
  <c r="F88" i="21"/>
  <c r="E88" i="21"/>
  <c r="D88" i="21"/>
  <c r="C88" i="21"/>
  <c r="B88" i="21"/>
  <c r="G87" i="21"/>
  <c r="F87" i="21"/>
  <c r="E87" i="21"/>
  <c r="D87" i="21"/>
  <c r="C87" i="21"/>
  <c r="B87" i="21"/>
  <c r="G86" i="21"/>
  <c r="F86" i="21"/>
  <c r="E86" i="21"/>
  <c r="D86" i="21"/>
  <c r="C86" i="21"/>
  <c r="B86" i="21"/>
  <c r="G85" i="21"/>
  <c r="F85" i="21"/>
  <c r="E85" i="21"/>
  <c r="D85" i="21"/>
  <c r="C85" i="21"/>
  <c r="B85" i="21"/>
  <c r="G84" i="21"/>
  <c r="F84" i="21"/>
  <c r="E84" i="21"/>
  <c r="D84" i="21"/>
  <c r="C84" i="21"/>
  <c r="B84" i="21"/>
  <c r="G83" i="21"/>
  <c r="F83" i="21"/>
  <c r="E83" i="21"/>
  <c r="D83" i="21"/>
  <c r="C83" i="21"/>
  <c r="B83" i="21"/>
  <c r="G82" i="21"/>
  <c r="F82" i="21"/>
  <c r="E82" i="21"/>
  <c r="D82" i="21"/>
  <c r="C82" i="21"/>
  <c r="B82" i="21"/>
  <c r="G81" i="21"/>
  <c r="F81" i="21"/>
  <c r="E81" i="21"/>
  <c r="D81" i="21"/>
  <c r="C81" i="21"/>
  <c r="B81" i="21"/>
  <c r="G80" i="21"/>
  <c r="F80" i="21"/>
  <c r="E80" i="21"/>
  <c r="D80" i="21"/>
  <c r="C80" i="21"/>
  <c r="B80" i="21"/>
  <c r="G79" i="21"/>
  <c r="F79" i="21"/>
  <c r="E79" i="21"/>
  <c r="D79" i="21"/>
  <c r="C79" i="21"/>
  <c r="B79" i="21"/>
  <c r="G78" i="21"/>
  <c r="F78" i="21"/>
  <c r="E78" i="21"/>
  <c r="D78" i="21"/>
  <c r="C78" i="21"/>
  <c r="B78" i="21"/>
  <c r="G77" i="21"/>
  <c r="F77" i="21"/>
  <c r="E77" i="21"/>
  <c r="D77" i="21"/>
  <c r="C77" i="21"/>
  <c r="B77" i="21"/>
  <c r="G76" i="21"/>
  <c r="F76" i="21"/>
  <c r="E76" i="21"/>
  <c r="D76" i="21"/>
  <c r="C76" i="21"/>
  <c r="B76" i="21"/>
  <c r="G75" i="21"/>
  <c r="F75" i="21"/>
  <c r="E75" i="21"/>
  <c r="D75" i="21"/>
  <c r="C75" i="21"/>
  <c r="B75" i="21"/>
  <c r="G74" i="21"/>
  <c r="F74" i="21"/>
  <c r="E74" i="21"/>
  <c r="D74" i="21"/>
  <c r="C74" i="21"/>
  <c r="B74" i="21"/>
  <c r="G73" i="21"/>
  <c r="F73" i="21"/>
  <c r="E73" i="21"/>
  <c r="D73" i="21"/>
  <c r="C73" i="21"/>
  <c r="B73" i="21"/>
  <c r="G72" i="21"/>
  <c r="F72" i="21"/>
  <c r="E72" i="21"/>
  <c r="D72" i="21"/>
  <c r="C72" i="21"/>
  <c r="B72" i="21"/>
  <c r="G71" i="21"/>
  <c r="F71" i="21"/>
  <c r="E71" i="21"/>
  <c r="D71" i="21"/>
  <c r="C71" i="21"/>
  <c r="B71" i="21"/>
  <c r="G70" i="21"/>
  <c r="F70" i="21"/>
  <c r="E70" i="21"/>
  <c r="D70" i="21"/>
  <c r="C70" i="21"/>
  <c r="B70" i="21"/>
  <c r="G69" i="21"/>
  <c r="F69" i="21"/>
  <c r="E69" i="21"/>
  <c r="D69" i="21"/>
  <c r="C69" i="21"/>
  <c r="B69" i="21"/>
  <c r="G68" i="21"/>
  <c r="F68" i="21"/>
  <c r="E68" i="21"/>
  <c r="D68" i="21"/>
  <c r="C68" i="21"/>
  <c r="B68" i="21"/>
  <c r="G67" i="21"/>
  <c r="F67" i="21"/>
  <c r="E67" i="21"/>
  <c r="D67" i="21"/>
  <c r="C67" i="21"/>
  <c r="B67" i="21"/>
  <c r="G66" i="21"/>
  <c r="F66" i="21"/>
  <c r="E66" i="21"/>
  <c r="D66" i="21"/>
  <c r="C66" i="21"/>
  <c r="B66" i="21"/>
  <c r="G65" i="21"/>
  <c r="F65" i="21"/>
  <c r="E65" i="21"/>
  <c r="D65" i="21"/>
  <c r="C65" i="21"/>
  <c r="B65" i="21"/>
  <c r="G64" i="21"/>
  <c r="F64" i="21"/>
  <c r="E64" i="21"/>
  <c r="D64" i="21"/>
  <c r="C64" i="21"/>
  <c r="B64" i="21"/>
  <c r="G63" i="21"/>
  <c r="F63" i="21"/>
  <c r="E63" i="21"/>
  <c r="D63" i="21"/>
  <c r="C63" i="21"/>
  <c r="B63" i="21"/>
  <c r="G62" i="21"/>
  <c r="F62" i="21"/>
  <c r="E62" i="21"/>
  <c r="D62" i="21"/>
  <c r="C62" i="21"/>
  <c r="B62" i="21"/>
  <c r="G61" i="21"/>
  <c r="F61" i="21"/>
  <c r="E61" i="21"/>
  <c r="D61" i="21"/>
  <c r="C61" i="21"/>
  <c r="B61" i="21"/>
  <c r="G60" i="21"/>
  <c r="F60" i="21"/>
  <c r="E60" i="21"/>
  <c r="D60" i="21"/>
  <c r="C60" i="21"/>
  <c r="B60" i="21"/>
  <c r="G59" i="21"/>
  <c r="F59" i="21"/>
  <c r="E59" i="21"/>
  <c r="D59" i="21"/>
  <c r="C59" i="21"/>
  <c r="B59" i="21"/>
  <c r="G58" i="21"/>
  <c r="F58" i="21"/>
  <c r="E58" i="21"/>
  <c r="D58" i="21"/>
  <c r="C58" i="21"/>
  <c r="B58" i="21"/>
  <c r="G57" i="21"/>
  <c r="F57" i="21"/>
  <c r="E57" i="21"/>
  <c r="D57" i="21"/>
  <c r="C57" i="21"/>
  <c r="B57" i="21"/>
  <c r="G56" i="21"/>
  <c r="F56" i="21"/>
  <c r="E56" i="21"/>
  <c r="D56" i="21"/>
  <c r="C56" i="21"/>
  <c r="B56" i="21"/>
  <c r="G55" i="21"/>
  <c r="F55" i="21"/>
  <c r="E55" i="21"/>
  <c r="D55" i="21"/>
  <c r="C55" i="21"/>
  <c r="B55" i="21"/>
  <c r="G54" i="21"/>
  <c r="F54" i="21"/>
  <c r="E54" i="21"/>
  <c r="D54" i="21"/>
  <c r="C54" i="21"/>
  <c r="B54" i="21"/>
  <c r="G53" i="21"/>
  <c r="F53" i="21"/>
  <c r="E53" i="21"/>
  <c r="D53" i="21"/>
  <c r="C53" i="21"/>
  <c r="B53" i="21"/>
  <c r="G52" i="21"/>
  <c r="F52" i="21"/>
  <c r="E52" i="21"/>
  <c r="D52" i="21"/>
  <c r="C52" i="21"/>
  <c r="B52" i="21"/>
  <c r="G51" i="21"/>
  <c r="F51" i="21"/>
  <c r="E51" i="21"/>
  <c r="D51" i="21"/>
  <c r="C51" i="21"/>
  <c r="B51" i="21"/>
  <c r="G50" i="21"/>
  <c r="F50" i="21"/>
  <c r="E50" i="21"/>
  <c r="D50" i="21"/>
  <c r="C50" i="21"/>
  <c r="B50" i="21"/>
  <c r="G49" i="21"/>
  <c r="F49" i="21"/>
  <c r="E49" i="21"/>
  <c r="D49" i="21"/>
  <c r="C49" i="21"/>
  <c r="B49" i="21"/>
  <c r="G48" i="21"/>
  <c r="F48" i="21"/>
  <c r="E48" i="21"/>
  <c r="D48" i="21"/>
  <c r="C48" i="21"/>
  <c r="B48" i="21"/>
  <c r="G47" i="21"/>
  <c r="F47" i="21"/>
  <c r="E47" i="21"/>
  <c r="D47" i="21"/>
  <c r="C47" i="21"/>
  <c r="B47" i="21"/>
  <c r="G46" i="21"/>
  <c r="F46" i="21"/>
  <c r="E46" i="21"/>
  <c r="D46" i="21"/>
  <c r="C46" i="21"/>
  <c r="B46" i="21"/>
  <c r="G45" i="21"/>
  <c r="F45" i="21"/>
  <c r="E45" i="21"/>
  <c r="D45" i="21"/>
  <c r="C45" i="21"/>
  <c r="B45" i="21"/>
  <c r="G44" i="21"/>
  <c r="F44" i="21"/>
  <c r="E44" i="21"/>
  <c r="D44" i="21"/>
  <c r="C44" i="21"/>
  <c r="B44" i="21"/>
  <c r="G43" i="21"/>
  <c r="F43" i="21"/>
  <c r="E43" i="21"/>
  <c r="D43" i="21"/>
  <c r="C43" i="21"/>
  <c r="B43" i="21"/>
  <c r="G42" i="21"/>
  <c r="F42" i="21"/>
  <c r="E42" i="21"/>
  <c r="D42" i="21"/>
  <c r="C42" i="21"/>
  <c r="B42" i="21"/>
  <c r="G41" i="21"/>
  <c r="F41" i="21"/>
  <c r="E41" i="21"/>
  <c r="D41" i="21"/>
  <c r="C41" i="21"/>
  <c r="B41" i="21"/>
  <c r="G40" i="21"/>
  <c r="F40" i="21"/>
  <c r="E40" i="21"/>
  <c r="D40" i="21"/>
  <c r="C40" i="21"/>
  <c r="B40" i="21"/>
  <c r="G39" i="21"/>
  <c r="F39" i="21"/>
  <c r="E39" i="21"/>
  <c r="D39" i="21"/>
  <c r="C39" i="21"/>
  <c r="B39" i="21"/>
  <c r="G38" i="21"/>
  <c r="F38" i="21"/>
  <c r="E38" i="21"/>
  <c r="D38" i="21"/>
  <c r="C38" i="21"/>
  <c r="B38" i="21"/>
  <c r="G37" i="21"/>
  <c r="F37" i="21"/>
  <c r="E37" i="21"/>
  <c r="D37" i="21"/>
  <c r="C37" i="21"/>
  <c r="B37" i="21"/>
  <c r="G36" i="21"/>
  <c r="F36" i="21"/>
  <c r="E36" i="21"/>
  <c r="D36" i="21"/>
  <c r="C36" i="21"/>
  <c r="B36" i="21"/>
  <c r="G35" i="21"/>
  <c r="F35" i="21"/>
  <c r="E35" i="21"/>
  <c r="D35" i="21"/>
  <c r="C35" i="21"/>
  <c r="B35" i="21"/>
  <c r="G34" i="21"/>
  <c r="F34" i="21"/>
  <c r="E34" i="21"/>
  <c r="D34" i="21"/>
  <c r="C34" i="21"/>
  <c r="B34" i="21"/>
  <c r="G33" i="21"/>
  <c r="F33" i="21"/>
  <c r="E33" i="21"/>
  <c r="D33" i="21"/>
  <c r="C33" i="21"/>
  <c r="B33" i="21"/>
  <c r="G32" i="21"/>
  <c r="F32" i="21"/>
  <c r="E32" i="21"/>
  <c r="D32" i="21"/>
  <c r="C32" i="21"/>
  <c r="B32" i="21"/>
  <c r="G31" i="21"/>
  <c r="F31" i="21"/>
  <c r="E31" i="21"/>
  <c r="D31" i="21"/>
  <c r="C31" i="21"/>
  <c r="B31" i="21"/>
  <c r="G30" i="21"/>
  <c r="F30" i="21"/>
  <c r="E30" i="21"/>
  <c r="D30" i="21"/>
  <c r="C30" i="21"/>
  <c r="B30" i="21"/>
  <c r="G29" i="21"/>
  <c r="F29" i="21"/>
  <c r="E29" i="21"/>
  <c r="D29" i="21"/>
  <c r="C29" i="21"/>
  <c r="B29" i="21"/>
  <c r="G28" i="21"/>
  <c r="F28" i="21"/>
  <c r="S43" i="2" s="1"/>
  <c r="E28" i="21"/>
  <c r="D28" i="21"/>
  <c r="C28" i="21"/>
  <c r="B28" i="21"/>
  <c r="G27" i="21"/>
  <c r="F27" i="21"/>
  <c r="E27" i="21"/>
  <c r="D27" i="21"/>
  <c r="C27" i="21"/>
  <c r="B27" i="21"/>
  <c r="B18" i="21"/>
  <c r="D14" i="21"/>
  <c r="C14" i="21"/>
  <c r="B14" i="21"/>
  <c r="E10" i="21"/>
  <c r="D10" i="21"/>
  <c r="B10" i="21"/>
  <c r="B7" i="21"/>
  <c r="G278" i="20"/>
  <c r="F278" i="20"/>
  <c r="E278" i="20"/>
  <c r="D278" i="20"/>
  <c r="C278" i="20"/>
  <c r="B278" i="20"/>
  <c r="G277" i="20"/>
  <c r="F277" i="20"/>
  <c r="E277" i="20"/>
  <c r="D277" i="20"/>
  <c r="C277" i="20"/>
  <c r="B277" i="20"/>
  <c r="G276" i="20"/>
  <c r="F276" i="20"/>
  <c r="E276" i="20"/>
  <c r="D276" i="20"/>
  <c r="C276" i="20"/>
  <c r="B276" i="20"/>
  <c r="G275" i="20"/>
  <c r="F275" i="20"/>
  <c r="E275" i="20"/>
  <c r="D275" i="20"/>
  <c r="C275" i="20"/>
  <c r="B275" i="20"/>
  <c r="G274" i="20"/>
  <c r="F274" i="20"/>
  <c r="E274" i="20"/>
  <c r="D274" i="20"/>
  <c r="C274" i="20"/>
  <c r="B274" i="20"/>
  <c r="G273" i="20"/>
  <c r="F273" i="20"/>
  <c r="E273" i="20"/>
  <c r="D273" i="20"/>
  <c r="C273" i="20"/>
  <c r="B273" i="20"/>
  <c r="G272" i="20"/>
  <c r="F272" i="20"/>
  <c r="E272" i="20"/>
  <c r="D272" i="20"/>
  <c r="C272" i="20"/>
  <c r="B272" i="20"/>
  <c r="G271" i="20"/>
  <c r="F271" i="20"/>
  <c r="E271" i="20"/>
  <c r="D271" i="20"/>
  <c r="C271" i="20"/>
  <c r="B271" i="20"/>
  <c r="G270" i="20"/>
  <c r="F270" i="20"/>
  <c r="E270" i="20"/>
  <c r="D270" i="20"/>
  <c r="C270" i="20"/>
  <c r="B270" i="20"/>
  <c r="G269" i="20"/>
  <c r="F269" i="20"/>
  <c r="E269" i="20"/>
  <c r="D269" i="20"/>
  <c r="C269" i="20"/>
  <c r="B269" i="20"/>
  <c r="G268" i="20"/>
  <c r="F268" i="20"/>
  <c r="E268" i="20"/>
  <c r="D268" i="20"/>
  <c r="C268" i="20"/>
  <c r="B268" i="20"/>
  <c r="G267" i="20"/>
  <c r="F267" i="20"/>
  <c r="E267" i="20"/>
  <c r="D267" i="20"/>
  <c r="C267" i="20"/>
  <c r="B267" i="20"/>
  <c r="G266" i="20"/>
  <c r="F266" i="20"/>
  <c r="E266" i="20"/>
  <c r="D266" i="20"/>
  <c r="C266" i="20"/>
  <c r="B266" i="20"/>
  <c r="G265" i="20"/>
  <c r="F265" i="20"/>
  <c r="E265" i="20"/>
  <c r="D265" i="20"/>
  <c r="C265" i="20"/>
  <c r="B265" i="20"/>
  <c r="G264" i="20"/>
  <c r="F264" i="20"/>
  <c r="E264" i="20"/>
  <c r="D264" i="20"/>
  <c r="C264" i="20"/>
  <c r="B264" i="20"/>
  <c r="G263" i="20"/>
  <c r="F263" i="20"/>
  <c r="E263" i="20"/>
  <c r="D263" i="20"/>
  <c r="C263" i="20"/>
  <c r="B263" i="20"/>
  <c r="G262" i="20"/>
  <c r="F262" i="20"/>
  <c r="E262" i="20"/>
  <c r="D262" i="20"/>
  <c r="C262" i="20"/>
  <c r="B262" i="20"/>
  <c r="G261" i="20"/>
  <c r="F261" i="20"/>
  <c r="E261" i="20"/>
  <c r="D261" i="20"/>
  <c r="C261" i="20"/>
  <c r="B261" i="20"/>
  <c r="G260" i="20"/>
  <c r="F260" i="20"/>
  <c r="E260" i="20"/>
  <c r="D260" i="20"/>
  <c r="C260" i="20"/>
  <c r="B260" i="20"/>
  <c r="G259" i="20"/>
  <c r="F259" i="20"/>
  <c r="E259" i="20"/>
  <c r="D259" i="20"/>
  <c r="C259" i="20"/>
  <c r="B259" i="20"/>
  <c r="G258" i="20"/>
  <c r="F258" i="20"/>
  <c r="E258" i="20"/>
  <c r="D258" i="20"/>
  <c r="C258" i="20"/>
  <c r="B258" i="20"/>
  <c r="G257" i="20"/>
  <c r="F257" i="20"/>
  <c r="E257" i="20"/>
  <c r="D257" i="20"/>
  <c r="C257" i="20"/>
  <c r="B257" i="20"/>
  <c r="G256" i="20"/>
  <c r="F256" i="20"/>
  <c r="P25" i="2" s="1"/>
  <c r="E256" i="20"/>
  <c r="D256" i="20"/>
  <c r="C256" i="20"/>
  <c r="B256" i="20"/>
  <c r="G255" i="20"/>
  <c r="F255" i="20"/>
  <c r="E255" i="20"/>
  <c r="D255" i="20"/>
  <c r="C255" i="20"/>
  <c r="B255" i="20"/>
  <c r="G254" i="20"/>
  <c r="F254" i="20"/>
  <c r="E254" i="20"/>
  <c r="D254" i="20"/>
  <c r="C254" i="20"/>
  <c r="B254" i="20"/>
  <c r="G253" i="20"/>
  <c r="F253" i="20"/>
  <c r="E253" i="20"/>
  <c r="D253" i="20"/>
  <c r="C253" i="20"/>
  <c r="B253" i="20"/>
  <c r="G252" i="20"/>
  <c r="F252" i="20"/>
  <c r="E252" i="20"/>
  <c r="D252" i="20"/>
  <c r="C252" i="20"/>
  <c r="B252" i="20"/>
  <c r="G251" i="20"/>
  <c r="F251" i="20"/>
  <c r="E251" i="20"/>
  <c r="D251" i="20"/>
  <c r="C251" i="20"/>
  <c r="B251" i="20"/>
  <c r="G250" i="20"/>
  <c r="F250" i="20"/>
  <c r="E250" i="20"/>
  <c r="D250" i="20"/>
  <c r="C250" i="20"/>
  <c r="B250" i="20"/>
  <c r="G249" i="20"/>
  <c r="F249" i="20"/>
  <c r="E249" i="20"/>
  <c r="D249" i="20"/>
  <c r="C249" i="20"/>
  <c r="B249" i="20"/>
  <c r="G248" i="20"/>
  <c r="F248" i="20"/>
  <c r="E248" i="20"/>
  <c r="D248" i="20"/>
  <c r="C248" i="20"/>
  <c r="B248" i="20"/>
  <c r="G247" i="20"/>
  <c r="F247" i="20"/>
  <c r="E247" i="20"/>
  <c r="D247" i="20"/>
  <c r="C247" i="20"/>
  <c r="B247" i="20"/>
  <c r="G246" i="20"/>
  <c r="F246" i="20"/>
  <c r="E246" i="20"/>
  <c r="D246" i="20"/>
  <c r="C246" i="20"/>
  <c r="B246" i="20"/>
  <c r="G245" i="20"/>
  <c r="F245" i="20"/>
  <c r="E245" i="20"/>
  <c r="D245" i="20"/>
  <c r="C245" i="20"/>
  <c r="B245" i="20"/>
  <c r="G244" i="20"/>
  <c r="F244" i="20"/>
  <c r="E244" i="20"/>
  <c r="D244" i="20"/>
  <c r="C244" i="20"/>
  <c r="B244" i="20"/>
  <c r="G243" i="20"/>
  <c r="F243" i="20"/>
  <c r="E243" i="20"/>
  <c r="D243" i="20"/>
  <c r="C243" i="20"/>
  <c r="B243" i="20"/>
  <c r="G242" i="20"/>
  <c r="F242" i="20"/>
  <c r="E242" i="20"/>
  <c r="D242" i="20"/>
  <c r="C242" i="20"/>
  <c r="B242" i="20"/>
  <c r="G241" i="20"/>
  <c r="F241" i="20"/>
  <c r="E241" i="20"/>
  <c r="D241" i="20"/>
  <c r="C241" i="20"/>
  <c r="B241" i="20"/>
  <c r="G240" i="20"/>
  <c r="F240" i="20"/>
  <c r="E240" i="20"/>
  <c r="D240" i="20"/>
  <c r="C240" i="20"/>
  <c r="B240" i="20"/>
  <c r="G239" i="20"/>
  <c r="F239" i="20"/>
  <c r="E239" i="20"/>
  <c r="D239" i="20"/>
  <c r="C239" i="20"/>
  <c r="B239" i="20"/>
  <c r="G238" i="20"/>
  <c r="F238" i="20"/>
  <c r="E238" i="20"/>
  <c r="D238" i="20"/>
  <c r="C238" i="20"/>
  <c r="B238" i="20"/>
  <c r="G237" i="20"/>
  <c r="F237" i="20"/>
  <c r="E237" i="20"/>
  <c r="D237" i="20"/>
  <c r="C237" i="20"/>
  <c r="B237" i="20"/>
  <c r="G236" i="20"/>
  <c r="F236" i="20"/>
  <c r="E236" i="20"/>
  <c r="D236" i="20"/>
  <c r="C236" i="20"/>
  <c r="B236" i="20"/>
  <c r="G235" i="20"/>
  <c r="F235" i="20"/>
  <c r="E235" i="20"/>
  <c r="D235" i="20"/>
  <c r="C235" i="20"/>
  <c r="B235" i="20"/>
  <c r="G234" i="20"/>
  <c r="F234" i="20"/>
  <c r="E234" i="20"/>
  <c r="D234" i="20"/>
  <c r="C234" i="20"/>
  <c r="B234" i="20"/>
  <c r="G233" i="20"/>
  <c r="F233" i="20"/>
  <c r="E233" i="20"/>
  <c r="D233" i="20"/>
  <c r="C233" i="20"/>
  <c r="B233" i="20"/>
  <c r="G232" i="20"/>
  <c r="F232" i="20"/>
  <c r="E232" i="20"/>
  <c r="D232" i="20"/>
  <c r="C232" i="20"/>
  <c r="B232" i="20"/>
  <c r="G231" i="20"/>
  <c r="F231" i="20"/>
  <c r="E231" i="20"/>
  <c r="D231" i="20"/>
  <c r="C231" i="20"/>
  <c r="B231" i="20"/>
  <c r="G230" i="20"/>
  <c r="F230" i="20"/>
  <c r="E230" i="20"/>
  <c r="D230" i="20"/>
  <c r="C230" i="20"/>
  <c r="B230" i="20"/>
  <c r="G229" i="20"/>
  <c r="F229" i="20"/>
  <c r="E229" i="20"/>
  <c r="D229" i="20"/>
  <c r="C229" i="20"/>
  <c r="B229" i="20"/>
  <c r="G228" i="20"/>
  <c r="F228" i="20"/>
  <c r="E228" i="20"/>
  <c r="D228" i="20"/>
  <c r="C228" i="20"/>
  <c r="B228" i="20"/>
  <c r="G227" i="20"/>
  <c r="F227" i="20"/>
  <c r="E227" i="20"/>
  <c r="D227" i="20"/>
  <c r="C227" i="20"/>
  <c r="B227" i="20"/>
  <c r="G226" i="20"/>
  <c r="F226" i="20"/>
  <c r="E226" i="20"/>
  <c r="D226" i="20"/>
  <c r="C226" i="20"/>
  <c r="B226" i="20"/>
  <c r="G225" i="20"/>
  <c r="F225" i="20"/>
  <c r="E225" i="20"/>
  <c r="D225" i="20"/>
  <c r="C225" i="20"/>
  <c r="B225" i="20"/>
  <c r="G224" i="20"/>
  <c r="F224" i="20"/>
  <c r="E224" i="20"/>
  <c r="D224" i="20"/>
  <c r="C224" i="20"/>
  <c r="B224" i="20"/>
  <c r="G223" i="20"/>
  <c r="F223" i="20"/>
  <c r="E223" i="20"/>
  <c r="D223" i="20"/>
  <c r="C223" i="20"/>
  <c r="B223" i="20"/>
  <c r="G222" i="20"/>
  <c r="F222" i="20"/>
  <c r="E222" i="20"/>
  <c r="D222" i="20"/>
  <c r="C222" i="20"/>
  <c r="B222" i="20"/>
  <c r="G221" i="20"/>
  <c r="F221" i="20"/>
  <c r="E221" i="20"/>
  <c r="D221" i="20"/>
  <c r="C221" i="20"/>
  <c r="B221" i="20"/>
  <c r="G220" i="20"/>
  <c r="F220" i="20"/>
  <c r="E220" i="20"/>
  <c r="D220" i="20"/>
  <c r="C220" i="20"/>
  <c r="B220" i="20"/>
  <c r="G219" i="20"/>
  <c r="F219" i="20"/>
  <c r="E219" i="20"/>
  <c r="D219" i="20"/>
  <c r="C219" i="20"/>
  <c r="B219" i="20"/>
  <c r="G218" i="20"/>
  <c r="F218" i="20"/>
  <c r="E218" i="20"/>
  <c r="D218" i="20"/>
  <c r="C218" i="20"/>
  <c r="B218" i="20"/>
  <c r="G217" i="20"/>
  <c r="F217" i="20"/>
  <c r="E217" i="20"/>
  <c r="D217" i="20"/>
  <c r="C217" i="20"/>
  <c r="B217" i="20"/>
  <c r="G216" i="20"/>
  <c r="F216" i="20"/>
  <c r="E216" i="20"/>
  <c r="D216" i="20"/>
  <c r="C216" i="20"/>
  <c r="B216" i="20"/>
  <c r="G215" i="20"/>
  <c r="F215" i="20"/>
  <c r="E215" i="20"/>
  <c r="D215" i="20"/>
  <c r="C215" i="20"/>
  <c r="B215" i="20"/>
  <c r="G214" i="20"/>
  <c r="F214" i="20"/>
  <c r="E214" i="20"/>
  <c r="D214" i="20"/>
  <c r="C214" i="20"/>
  <c r="B214" i="20"/>
  <c r="G213" i="20"/>
  <c r="F213" i="20"/>
  <c r="E213" i="20"/>
  <c r="D213" i="20"/>
  <c r="C213" i="20"/>
  <c r="B213" i="20"/>
  <c r="G212" i="20"/>
  <c r="F212" i="20"/>
  <c r="E212" i="20"/>
  <c r="D212" i="20"/>
  <c r="C212" i="20"/>
  <c r="B212" i="20"/>
  <c r="G211" i="20"/>
  <c r="F211" i="20"/>
  <c r="E211" i="20"/>
  <c r="D211" i="20"/>
  <c r="C211" i="20"/>
  <c r="B211" i="20"/>
  <c r="G210" i="20"/>
  <c r="F210" i="20"/>
  <c r="E210" i="20"/>
  <c r="D210" i="20"/>
  <c r="C210" i="20"/>
  <c r="B210" i="20"/>
  <c r="G209" i="20"/>
  <c r="F209" i="20"/>
  <c r="E209" i="20"/>
  <c r="D209" i="20"/>
  <c r="C209" i="20"/>
  <c r="B209" i="20"/>
  <c r="G208" i="20"/>
  <c r="F208" i="20"/>
  <c r="E208" i="20"/>
  <c r="D208" i="20"/>
  <c r="C208" i="20"/>
  <c r="B208" i="20"/>
  <c r="G207" i="20"/>
  <c r="F207" i="20"/>
  <c r="E207" i="20"/>
  <c r="D207" i="20"/>
  <c r="C207" i="20"/>
  <c r="B207" i="20"/>
  <c r="G206" i="20"/>
  <c r="F206" i="20"/>
  <c r="E206" i="20"/>
  <c r="D206" i="20"/>
  <c r="C206" i="20"/>
  <c r="B206" i="20"/>
  <c r="G205" i="20"/>
  <c r="F205" i="20"/>
  <c r="E205" i="20"/>
  <c r="D205" i="20"/>
  <c r="C205" i="20"/>
  <c r="B205" i="20"/>
  <c r="G204" i="20"/>
  <c r="F204" i="20"/>
  <c r="E204" i="20"/>
  <c r="D204" i="20"/>
  <c r="C204" i="20"/>
  <c r="B204" i="20"/>
  <c r="G203" i="20"/>
  <c r="F203" i="20"/>
  <c r="E203" i="20"/>
  <c r="D203" i="20"/>
  <c r="C203" i="20"/>
  <c r="B203" i="20"/>
  <c r="G202" i="20"/>
  <c r="F202" i="20"/>
  <c r="E202" i="20"/>
  <c r="D202" i="20"/>
  <c r="C202" i="20"/>
  <c r="B202" i="20"/>
  <c r="G201" i="20"/>
  <c r="F201" i="20"/>
  <c r="E201" i="20"/>
  <c r="D201" i="20"/>
  <c r="C201" i="20"/>
  <c r="B201" i="20"/>
  <c r="G200" i="20"/>
  <c r="F200" i="20"/>
  <c r="E200" i="20"/>
  <c r="D200" i="20"/>
  <c r="C200" i="20"/>
  <c r="B200" i="20"/>
  <c r="G199" i="20"/>
  <c r="F199" i="20"/>
  <c r="E199" i="20"/>
  <c r="D199" i="20"/>
  <c r="C199" i="20"/>
  <c r="B199" i="20"/>
  <c r="G198" i="20"/>
  <c r="F198" i="20"/>
  <c r="E198" i="20"/>
  <c r="D198" i="20"/>
  <c r="C198" i="20"/>
  <c r="B198" i="20"/>
  <c r="G197" i="20"/>
  <c r="F197" i="20"/>
  <c r="E197" i="20"/>
  <c r="D197" i="20"/>
  <c r="C197" i="20"/>
  <c r="B197" i="20"/>
  <c r="G196" i="20"/>
  <c r="F196" i="20"/>
  <c r="E196" i="20"/>
  <c r="D196" i="20"/>
  <c r="C196" i="20"/>
  <c r="B196" i="20"/>
  <c r="G195" i="20"/>
  <c r="F195" i="20"/>
  <c r="E195" i="20"/>
  <c r="D195" i="20"/>
  <c r="C195" i="20"/>
  <c r="B195" i="20"/>
  <c r="G194" i="20"/>
  <c r="F194" i="20"/>
  <c r="E194" i="20"/>
  <c r="D194" i="20"/>
  <c r="C194" i="20"/>
  <c r="B194" i="20"/>
  <c r="G193" i="20"/>
  <c r="F193" i="20"/>
  <c r="E193" i="20"/>
  <c r="D193" i="20"/>
  <c r="C193" i="20"/>
  <c r="B193" i="20"/>
  <c r="G192" i="20"/>
  <c r="F192" i="20"/>
  <c r="E192" i="20"/>
  <c r="D192" i="20"/>
  <c r="C192" i="20"/>
  <c r="B192" i="20"/>
  <c r="G191" i="20"/>
  <c r="F191" i="20"/>
  <c r="E191" i="20"/>
  <c r="D191" i="20"/>
  <c r="C191" i="20"/>
  <c r="B191" i="20"/>
  <c r="G190" i="20"/>
  <c r="F190" i="20"/>
  <c r="E190" i="20"/>
  <c r="D190" i="20"/>
  <c r="C190" i="20"/>
  <c r="B190" i="20"/>
  <c r="G189" i="20"/>
  <c r="F189" i="20"/>
  <c r="E189" i="20"/>
  <c r="D189" i="20"/>
  <c r="C189" i="20"/>
  <c r="B189" i="20"/>
  <c r="G188" i="20"/>
  <c r="F188" i="20"/>
  <c r="E188" i="20"/>
  <c r="D188" i="20"/>
  <c r="C188" i="20"/>
  <c r="B188" i="20"/>
  <c r="G187" i="20"/>
  <c r="F187" i="20"/>
  <c r="E187" i="20"/>
  <c r="D187" i="20"/>
  <c r="C187" i="20"/>
  <c r="B187" i="20"/>
  <c r="G186" i="20"/>
  <c r="F186" i="20"/>
  <c r="E186" i="20"/>
  <c r="D186" i="20"/>
  <c r="C186" i="20"/>
  <c r="B186" i="20"/>
  <c r="G185" i="20"/>
  <c r="F185" i="20"/>
  <c r="E185" i="20"/>
  <c r="D185" i="20"/>
  <c r="C185" i="20"/>
  <c r="B185" i="20"/>
  <c r="G184" i="20"/>
  <c r="F184" i="20"/>
  <c r="E184" i="20"/>
  <c r="D184" i="20"/>
  <c r="C184" i="20"/>
  <c r="B184" i="20"/>
  <c r="G183" i="20"/>
  <c r="F183" i="20"/>
  <c r="E183" i="20"/>
  <c r="D183" i="20"/>
  <c r="C183" i="20"/>
  <c r="B183" i="20"/>
  <c r="G182" i="20"/>
  <c r="F182" i="20"/>
  <c r="E182" i="20"/>
  <c r="D182" i="20"/>
  <c r="C182" i="20"/>
  <c r="B182" i="20"/>
  <c r="G181" i="20"/>
  <c r="F181" i="20"/>
  <c r="E181" i="20"/>
  <c r="D181" i="20"/>
  <c r="C181" i="20"/>
  <c r="B181" i="20"/>
  <c r="G180" i="20"/>
  <c r="F180" i="20"/>
  <c r="E180" i="20"/>
  <c r="D180" i="20"/>
  <c r="C180" i="20"/>
  <c r="B180" i="20"/>
  <c r="G179" i="20"/>
  <c r="F179" i="20"/>
  <c r="E179" i="20"/>
  <c r="D179" i="20"/>
  <c r="C179" i="20"/>
  <c r="B179" i="20"/>
  <c r="G178" i="20"/>
  <c r="F178" i="20"/>
  <c r="E178" i="20"/>
  <c r="D178" i="20"/>
  <c r="C178" i="20"/>
  <c r="B178" i="20"/>
  <c r="G177" i="20"/>
  <c r="F177" i="20"/>
  <c r="E177" i="20"/>
  <c r="D177" i="20"/>
  <c r="C177" i="20"/>
  <c r="B177" i="20"/>
  <c r="G176" i="20"/>
  <c r="F176" i="20"/>
  <c r="E176" i="20"/>
  <c r="D176" i="20"/>
  <c r="C176" i="20"/>
  <c r="B176" i="20"/>
  <c r="G175" i="20"/>
  <c r="F175" i="20"/>
  <c r="E175" i="20"/>
  <c r="D175" i="20"/>
  <c r="C175" i="20"/>
  <c r="B175" i="20"/>
  <c r="G174" i="20"/>
  <c r="F174" i="20"/>
  <c r="E174" i="20"/>
  <c r="D174" i="20"/>
  <c r="C174" i="20"/>
  <c r="B174" i="20"/>
  <c r="G173" i="20"/>
  <c r="F173" i="20"/>
  <c r="E173" i="20"/>
  <c r="D173" i="20"/>
  <c r="C173" i="20"/>
  <c r="B173" i="20"/>
  <c r="G172" i="20"/>
  <c r="F172" i="20"/>
  <c r="E172" i="20"/>
  <c r="D172" i="20"/>
  <c r="C172" i="20"/>
  <c r="B172" i="20"/>
  <c r="G171" i="20"/>
  <c r="F171" i="20"/>
  <c r="E171" i="20"/>
  <c r="D171" i="20"/>
  <c r="C171" i="20"/>
  <c r="B171" i="20"/>
  <c r="G170" i="20"/>
  <c r="F170" i="20"/>
  <c r="E170" i="20"/>
  <c r="D170" i="20"/>
  <c r="C170" i="20"/>
  <c r="B170" i="20"/>
  <c r="G169" i="20"/>
  <c r="F169" i="20"/>
  <c r="E169" i="20"/>
  <c r="D169" i="20"/>
  <c r="C169" i="20"/>
  <c r="B169" i="20"/>
  <c r="G168" i="20"/>
  <c r="F168" i="20"/>
  <c r="E168" i="20"/>
  <c r="D168" i="20"/>
  <c r="C168" i="20"/>
  <c r="B168" i="20"/>
  <c r="G167" i="20"/>
  <c r="F167" i="20"/>
  <c r="E167" i="20"/>
  <c r="D167" i="20"/>
  <c r="C167" i="20"/>
  <c r="B167" i="20"/>
  <c r="G166" i="20"/>
  <c r="F166" i="20"/>
  <c r="E166" i="20"/>
  <c r="D166" i="20"/>
  <c r="C166" i="20"/>
  <c r="B166" i="20"/>
  <c r="G165" i="20"/>
  <c r="F165" i="20"/>
  <c r="E165" i="20"/>
  <c r="D165" i="20"/>
  <c r="C165" i="20"/>
  <c r="B165" i="20"/>
  <c r="G164" i="20"/>
  <c r="F164" i="20"/>
  <c r="E164" i="20"/>
  <c r="D164" i="20"/>
  <c r="C164" i="20"/>
  <c r="B164" i="20"/>
  <c r="G163" i="20"/>
  <c r="F163" i="20"/>
  <c r="E163" i="20"/>
  <c r="D163" i="20"/>
  <c r="C163" i="20"/>
  <c r="B163" i="20"/>
  <c r="G162" i="20"/>
  <c r="F162" i="20"/>
  <c r="E162" i="20"/>
  <c r="D162" i="20"/>
  <c r="C162" i="20"/>
  <c r="B162" i="20"/>
  <c r="G161" i="20"/>
  <c r="F161" i="20"/>
  <c r="E161" i="20"/>
  <c r="D161" i="20"/>
  <c r="C161" i="20"/>
  <c r="B161" i="20"/>
  <c r="G160" i="20"/>
  <c r="F160" i="20"/>
  <c r="E160" i="20"/>
  <c r="D160" i="20"/>
  <c r="C160" i="20"/>
  <c r="B160" i="20"/>
  <c r="G159" i="20"/>
  <c r="F159" i="20"/>
  <c r="E159" i="20"/>
  <c r="D159" i="20"/>
  <c r="C159" i="20"/>
  <c r="B159" i="20"/>
  <c r="G158" i="20"/>
  <c r="F158" i="20"/>
  <c r="E158" i="20"/>
  <c r="D158" i="20"/>
  <c r="C158" i="20"/>
  <c r="B158" i="20"/>
  <c r="G157" i="20"/>
  <c r="F157" i="20"/>
  <c r="E157" i="20"/>
  <c r="D157" i="20"/>
  <c r="C157" i="20"/>
  <c r="B157" i="20"/>
  <c r="G156" i="20"/>
  <c r="F156" i="20"/>
  <c r="E156" i="20"/>
  <c r="D156" i="20"/>
  <c r="C156" i="20"/>
  <c r="B156" i="20"/>
  <c r="G155" i="20"/>
  <c r="F155" i="20"/>
  <c r="E155" i="20"/>
  <c r="D155" i="20"/>
  <c r="C155" i="20"/>
  <c r="B155" i="20"/>
  <c r="G154" i="20"/>
  <c r="F154" i="20"/>
  <c r="E154" i="20"/>
  <c r="D154" i="20"/>
  <c r="C154" i="20"/>
  <c r="B154" i="20"/>
  <c r="G153" i="20"/>
  <c r="F153" i="20"/>
  <c r="E153" i="20"/>
  <c r="D153" i="20"/>
  <c r="C153" i="20"/>
  <c r="B153" i="20"/>
  <c r="G152" i="20"/>
  <c r="F152" i="20"/>
  <c r="E152" i="20"/>
  <c r="D152" i="20"/>
  <c r="C152" i="20"/>
  <c r="B152" i="20"/>
  <c r="G151" i="20"/>
  <c r="F151" i="20"/>
  <c r="E151" i="20"/>
  <c r="D151" i="20"/>
  <c r="C151" i="20"/>
  <c r="B151" i="20"/>
  <c r="G150" i="20"/>
  <c r="F150" i="20"/>
  <c r="E150" i="20"/>
  <c r="D150" i="20"/>
  <c r="C150" i="20"/>
  <c r="B150" i="20"/>
  <c r="G149" i="20"/>
  <c r="F149" i="20"/>
  <c r="E149" i="20"/>
  <c r="D149" i="20"/>
  <c r="C149" i="20"/>
  <c r="B149" i="20"/>
  <c r="G148" i="20"/>
  <c r="F148" i="20"/>
  <c r="E148" i="20"/>
  <c r="D148" i="20"/>
  <c r="C148" i="20"/>
  <c r="B148" i="20"/>
  <c r="G147" i="20"/>
  <c r="F147" i="20"/>
  <c r="E147" i="20"/>
  <c r="D147" i="20"/>
  <c r="C147" i="20"/>
  <c r="B147" i="20"/>
  <c r="G146" i="20"/>
  <c r="F146" i="20"/>
  <c r="E146" i="20"/>
  <c r="D146" i="20"/>
  <c r="C146" i="20"/>
  <c r="B146" i="20"/>
  <c r="G145" i="20"/>
  <c r="F145" i="20"/>
  <c r="E145" i="20"/>
  <c r="D145" i="20"/>
  <c r="C145" i="20"/>
  <c r="B145" i="20"/>
  <c r="G144" i="20"/>
  <c r="F144" i="20"/>
  <c r="E144" i="20"/>
  <c r="D144" i="20"/>
  <c r="C144" i="20"/>
  <c r="B144" i="20"/>
  <c r="G143" i="20"/>
  <c r="F143" i="20"/>
  <c r="E143" i="20"/>
  <c r="D143" i="20"/>
  <c r="C143" i="20"/>
  <c r="B143" i="20"/>
  <c r="G142" i="20"/>
  <c r="F142" i="20"/>
  <c r="E142" i="20"/>
  <c r="D142" i="20"/>
  <c r="C142" i="20"/>
  <c r="B142" i="20"/>
  <c r="G141" i="20"/>
  <c r="F141" i="20"/>
  <c r="E141" i="20"/>
  <c r="D141" i="20"/>
  <c r="C141" i="20"/>
  <c r="B141" i="20"/>
  <c r="G140" i="20"/>
  <c r="F140" i="20"/>
  <c r="E140" i="20"/>
  <c r="D140" i="20"/>
  <c r="C140" i="20"/>
  <c r="B140" i="20"/>
  <c r="G139" i="20"/>
  <c r="F139" i="20"/>
  <c r="E139" i="20"/>
  <c r="D139" i="20"/>
  <c r="C139" i="20"/>
  <c r="B139" i="20"/>
  <c r="G138" i="20"/>
  <c r="F138" i="20"/>
  <c r="E138" i="20"/>
  <c r="D138" i="20"/>
  <c r="C138" i="20"/>
  <c r="B138" i="20"/>
  <c r="G137" i="20"/>
  <c r="F137" i="20"/>
  <c r="E137" i="20"/>
  <c r="D137" i="20"/>
  <c r="C137" i="20"/>
  <c r="B137" i="20"/>
  <c r="G136" i="20"/>
  <c r="F136" i="20"/>
  <c r="E136" i="20"/>
  <c r="D136" i="20"/>
  <c r="C136" i="20"/>
  <c r="B136" i="20"/>
  <c r="G135" i="20"/>
  <c r="F135" i="20"/>
  <c r="E135" i="20"/>
  <c r="D135" i="20"/>
  <c r="C135" i="20"/>
  <c r="B135" i="20"/>
  <c r="G134" i="20"/>
  <c r="F134" i="20"/>
  <c r="E134" i="20"/>
  <c r="D134" i="20"/>
  <c r="C134" i="20"/>
  <c r="B134" i="20"/>
  <c r="G133" i="20"/>
  <c r="F133" i="20"/>
  <c r="E133" i="20"/>
  <c r="D133" i="20"/>
  <c r="C133" i="20"/>
  <c r="B133" i="20"/>
  <c r="G132" i="20"/>
  <c r="F132" i="20"/>
  <c r="E132" i="20"/>
  <c r="D132" i="20"/>
  <c r="C132" i="20"/>
  <c r="B132" i="20"/>
  <c r="G131" i="20"/>
  <c r="F131" i="20"/>
  <c r="E131" i="20"/>
  <c r="D131" i="20"/>
  <c r="C131" i="20"/>
  <c r="B131" i="20"/>
  <c r="G130" i="20"/>
  <c r="F130" i="20"/>
  <c r="E130" i="20"/>
  <c r="D130" i="20"/>
  <c r="C130" i="20"/>
  <c r="B130" i="20"/>
  <c r="G129" i="20"/>
  <c r="F129" i="20"/>
  <c r="E129" i="20"/>
  <c r="D129" i="20"/>
  <c r="C129" i="20"/>
  <c r="B129" i="20"/>
  <c r="G128" i="20"/>
  <c r="F128" i="20"/>
  <c r="E128" i="20"/>
  <c r="D128" i="20"/>
  <c r="C128" i="20"/>
  <c r="B128" i="20"/>
  <c r="G127" i="20"/>
  <c r="F127" i="20"/>
  <c r="E127" i="20"/>
  <c r="D127" i="20"/>
  <c r="C127" i="20"/>
  <c r="B127" i="20"/>
  <c r="G126" i="20"/>
  <c r="F126" i="20"/>
  <c r="E126" i="20"/>
  <c r="D126" i="20"/>
  <c r="C126" i="20"/>
  <c r="B126" i="20"/>
  <c r="G125" i="20"/>
  <c r="F125" i="20"/>
  <c r="E125" i="20"/>
  <c r="D125" i="20"/>
  <c r="C125" i="20"/>
  <c r="B125" i="20"/>
  <c r="G124" i="20"/>
  <c r="F124" i="20"/>
  <c r="E124" i="20"/>
  <c r="D124" i="20"/>
  <c r="C124" i="20"/>
  <c r="B124" i="20"/>
  <c r="G123" i="20"/>
  <c r="F123" i="20"/>
  <c r="E123" i="20"/>
  <c r="D123" i="20"/>
  <c r="C123" i="20"/>
  <c r="B123" i="20"/>
  <c r="G122" i="20"/>
  <c r="F122" i="20"/>
  <c r="E122" i="20"/>
  <c r="D122" i="20"/>
  <c r="C122" i="20"/>
  <c r="B122" i="20"/>
  <c r="G121" i="20"/>
  <c r="F121" i="20"/>
  <c r="E121" i="20"/>
  <c r="D121" i="20"/>
  <c r="C121" i="20"/>
  <c r="B121" i="20"/>
  <c r="G120" i="20"/>
  <c r="F120" i="20"/>
  <c r="E120" i="20"/>
  <c r="D120" i="20"/>
  <c r="C120" i="20"/>
  <c r="B120" i="20"/>
  <c r="G119" i="20"/>
  <c r="F119" i="20"/>
  <c r="E119" i="20"/>
  <c r="D119" i="20"/>
  <c r="C119" i="20"/>
  <c r="B119" i="20"/>
  <c r="G118" i="20"/>
  <c r="F118" i="20"/>
  <c r="E118" i="20"/>
  <c r="D118" i="20"/>
  <c r="C118" i="20"/>
  <c r="B118" i="20"/>
  <c r="G117" i="20"/>
  <c r="F117" i="20"/>
  <c r="E117" i="20"/>
  <c r="D117" i="20"/>
  <c r="C117" i="20"/>
  <c r="B117" i="20"/>
  <c r="G116" i="20"/>
  <c r="F116" i="20"/>
  <c r="E116" i="20"/>
  <c r="D116" i="20"/>
  <c r="C116" i="20"/>
  <c r="B116" i="20"/>
  <c r="G115" i="20"/>
  <c r="F115" i="20"/>
  <c r="E115" i="20"/>
  <c r="D115" i="20"/>
  <c r="C115" i="20"/>
  <c r="B115" i="20"/>
  <c r="G114" i="20"/>
  <c r="F114" i="20"/>
  <c r="E114" i="20"/>
  <c r="D114" i="20"/>
  <c r="C114" i="20"/>
  <c r="B114" i="20"/>
  <c r="G113" i="20"/>
  <c r="F113" i="20"/>
  <c r="E113" i="20"/>
  <c r="D113" i="20"/>
  <c r="C113" i="20"/>
  <c r="B113" i="20"/>
  <c r="G112" i="20"/>
  <c r="F112" i="20"/>
  <c r="E112" i="20"/>
  <c r="D112" i="20"/>
  <c r="C112" i="20"/>
  <c r="B112" i="20"/>
  <c r="G111" i="20"/>
  <c r="F111" i="20"/>
  <c r="E111" i="20"/>
  <c r="D111" i="20"/>
  <c r="C111" i="20"/>
  <c r="B111" i="20"/>
  <c r="G110" i="20"/>
  <c r="F110" i="20"/>
  <c r="E110" i="20"/>
  <c r="D110" i="20"/>
  <c r="C110" i="20"/>
  <c r="B110" i="20"/>
  <c r="G109" i="20"/>
  <c r="F109" i="20"/>
  <c r="E109" i="20"/>
  <c r="D109" i="20"/>
  <c r="C109" i="20"/>
  <c r="B109" i="20"/>
  <c r="G108" i="20"/>
  <c r="F108" i="20"/>
  <c r="E108" i="20"/>
  <c r="D108" i="20"/>
  <c r="C108" i="20"/>
  <c r="B108" i="20"/>
  <c r="G107" i="20"/>
  <c r="F107" i="20"/>
  <c r="E107" i="20"/>
  <c r="D107" i="20"/>
  <c r="C107" i="20"/>
  <c r="B107" i="20"/>
  <c r="G106" i="20"/>
  <c r="F106" i="20"/>
  <c r="E106" i="20"/>
  <c r="D106" i="20"/>
  <c r="C106" i="20"/>
  <c r="B106" i="20"/>
  <c r="G105" i="20"/>
  <c r="F105" i="20"/>
  <c r="E105" i="20"/>
  <c r="D105" i="20"/>
  <c r="C105" i="20"/>
  <c r="B105" i="20"/>
  <c r="G104" i="20"/>
  <c r="F104" i="20"/>
  <c r="E104" i="20"/>
  <c r="D104" i="20"/>
  <c r="C104" i="20"/>
  <c r="B104" i="20"/>
  <c r="G103" i="20"/>
  <c r="F103" i="20"/>
  <c r="E103" i="20"/>
  <c r="D103" i="20"/>
  <c r="C103" i="20"/>
  <c r="B103" i="20"/>
  <c r="G102" i="20"/>
  <c r="F102" i="20"/>
  <c r="E102" i="20"/>
  <c r="D102" i="20"/>
  <c r="C102" i="20"/>
  <c r="B102" i="20"/>
  <c r="G101" i="20"/>
  <c r="F101" i="20"/>
  <c r="E101" i="20"/>
  <c r="D101" i="20"/>
  <c r="C101" i="20"/>
  <c r="B101" i="20"/>
  <c r="G100" i="20"/>
  <c r="F100" i="20"/>
  <c r="E100" i="20"/>
  <c r="D100" i="20"/>
  <c r="C100" i="20"/>
  <c r="B100" i="20"/>
  <c r="G99" i="20"/>
  <c r="F99" i="20"/>
  <c r="E99" i="20"/>
  <c r="D99" i="20"/>
  <c r="C99" i="20"/>
  <c r="B99" i="20"/>
  <c r="G98" i="20"/>
  <c r="F98" i="20"/>
  <c r="E98" i="20"/>
  <c r="D98" i="20"/>
  <c r="C98" i="20"/>
  <c r="B98" i="20"/>
  <c r="G97" i="20"/>
  <c r="F97" i="20"/>
  <c r="E97" i="20"/>
  <c r="D97" i="20"/>
  <c r="C97" i="20"/>
  <c r="B97" i="20"/>
  <c r="G96" i="20"/>
  <c r="F96" i="20"/>
  <c r="E96" i="20"/>
  <c r="D96" i="20"/>
  <c r="C96" i="20"/>
  <c r="B96" i="20"/>
  <c r="G95" i="20"/>
  <c r="F95" i="20"/>
  <c r="E95" i="20"/>
  <c r="D95" i="20"/>
  <c r="C95" i="20"/>
  <c r="B95" i="20"/>
  <c r="G94" i="20"/>
  <c r="F94" i="20"/>
  <c r="E94" i="20"/>
  <c r="D94" i="20"/>
  <c r="C94" i="20"/>
  <c r="B94" i="20"/>
  <c r="G93" i="20"/>
  <c r="F93" i="20"/>
  <c r="E93" i="20"/>
  <c r="D93" i="20"/>
  <c r="C93" i="20"/>
  <c r="B93" i="20"/>
  <c r="G92" i="20"/>
  <c r="F92" i="20"/>
  <c r="E92" i="20"/>
  <c r="D92" i="20"/>
  <c r="C92" i="20"/>
  <c r="B92" i="20"/>
  <c r="G91" i="20"/>
  <c r="F91" i="20"/>
  <c r="E91" i="20"/>
  <c r="D91" i="20"/>
  <c r="C91" i="20"/>
  <c r="B91" i="20"/>
  <c r="G90" i="20"/>
  <c r="F90" i="20"/>
  <c r="E90" i="20"/>
  <c r="D90" i="20"/>
  <c r="C90" i="20"/>
  <c r="B90" i="20"/>
  <c r="G89" i="20"/>
  <c r="F89" i="20"/>
  <c r="E89" i="20"/>
  <c r="D89" i="20"/>
  <c r="C89" i="20"/>
  <c r="B89" i="20"/>
  <c r="G88" i="20"/>
  <c r="F88" i="20"/>
  <c r="E88" i="20"/>
  <c r="D88" i="20"/>
  <c r="C88" i="20"/>
  <c r="B88" i="20"/>
  <c r="G87" i="20"/>
  <c r="F87" i="20"/>
  <c r="E87" i="20"/>
  <c r="D87" i="20"/>
  <c r="C87" i="20"/>
  <c r="B87" i="20"/>
  <c r="G86" i="20"/>
  <c r="F86" i="20"/>
  <c r="E86" i="20"/>
  <c r="D86" i="20"/>
  <c r="C86" i="20"/>
  <c r="B86" i="20"/>
  <c r="G85" i="20"/>
  <c r="F85" i="20"/>
  <c r="E85" i="20"/>
  <c r="D85" i="20"/>
  <c r="C85" i="20"/>
  <c r="B85" i="20"/>
  <c r="G84" i="20"/>
  <c r="F84" i="20"/>
  <c r="E84" i="20"/>
  <c r="D84" i="20"/>
  <c r="C84" i="20"/>
  <c r="B84" i="20"/>
  <c r="G83" i="20"/>
  <c r="F83" i="20"/>
  <c r="E83" i="20"/>
  <c r="D83" i="20"/>
  <c r="C83" i="20"/>
  <c r="B83" i="20"/>
  <c r="G82" i="20"/>
  <c r="F82" i="20"/>
  <c r="E82" i="20"/>
  <c r="D82" i="20"/>
  <c r="C82" i="20"/>
  <c r="B82" i="20"/>
  <c r="G81" i="20"/>
  <c r="F81" i="20"/>
  <c r="E81" i="20"/>
  <c r="D81" i="20"/>
  <c r="C81" i="20"/>
  <c r="B81" i="20"/>
  <c r="G80" i="20"/>
  <c r="F80" i="20"/>
  <c r="E80" i="20"/>
  <c r="D80" i="20"/>
  <c r="C80" i="20"/>
  <c r="B80" i="20"/>
  <c r="G79" i="20"/>
  <c r="F79" i="20"/>
  <c r="E79" i="20"/>
  <c r="D79" i="20"/>
  <c r="C79" i="20"/>
  <c r="B79" i="20"/>
  <c r="G78" i="20"/>
  <c r="F78" i="20"/>
  <c r="E78" i="20"/>
  <c r="D78" i="20"/>
  <c r="C78" i="20"/>
  <c r="B78" i="20"/>
  <c r="G77" i="20"/>
  <c r="F77" i="20"/>
  <c r="E77" i="20"/>
  <c r="D77" i="20"/>
  <c r="C77" i="20"/>
  <c r="B77" i="20"/>
  <c r="G76" i="20"/>
  <c r="F76" i="20"/>
  <c r="E76" i="20"/>
  <c r="D76" i="20"/>
  <c r="C76" i="20"/>
  <c r="B76" i="20"/>
  <c r="G75" i="20"/>
  <c r="F75" i="20"/>
  <c r="E75" i="20"/>
  <c r="D75" i="20"/>
  <c r="C75" i="20"/>
  <c r="B75" i="20"/>
  <c r="G74" i="20"/>
  <c r="F74" i="20"/>
  <c r="E74" i="20"/>
  <c r="D74" i="20"/>
  <c r="C74" i="20"/>
  <c r="B74" i="20"/>
  <c r="G73" i="20"/>
  <c r="F73" i="20"/>
  <c r="E73" i="20"/>
  <c r="D73" i="20"/>
  <c r="C73" i="20"/>
  <c r="B73" i="20"/>
  <c r="G72" i="20"/>
  <c r="F72" i="20"/>
  <c r="E72" i="20"/>
  <c r="D72" i="20"/>
  <c r="C72" i="20"/>
  <c r="B72" i="20"/>
  <c r="G71" i="20"/>
  <c r="F71" i="20"/>
  <c r="E71" i="20"/>
  <c r="D71" i="20"/>
  <c r="C71" i="20"/>
  <c r="B71" i="20"/>
  <c r="G70" i="20"/>
  <c r="F70" i="20"/>
  <c r="E70" i="20"/>
  <c r="D70" i="20"/>
  <c r="C70" i="20"/>
  <c r="B70" i="20"/>
  <c r="G69" i="20"/>
  <c r="F69" i="20"/>
  <c r="E69" i="20"/>
  <c r="D69" i="20"/>
  <c r="C69" i="20"/>
  <c r="B69" i="20"/>
  <c r="G68" i="20"/>
  <c r="F68" i="20"/>
  <c r="E68" i="20"/>
  <c r="D68" i="20"/>
  <c r="C68" i="20"/>
  <c r="B68" i="20"/>
  <c r="G67" i="20"/>
  <c r="F67" i="20"/>
  <c r="E67" i="20"/>
  <c r="D67" i="20"/>
  <c r="C67" i="20"/>
  <c r="B67" i="20"/>
  <c r="G66" i="20"/>
  <c r="F66" i="20"/>
  <c r="E66" i="20"/>
  <c r="D66" i="20"/>
  <c r="C66" i="20"/>
  <c r="B66" i="20"/>
  <c r="G65" i="20"/>
  <c r="F65" i="20"/>
  <c r="E65" i="20"/>
  <c r="D65" i="20"/>
  <c r="C65" i="20"/>
  <c r="B65" i="20"/>
  <c r="G64" i="20"/>
  <c r="F64" i="20"/>
  <c r="E64" i="20"/>
  <c r="D64" i="20"/>
  <c r="C64" i="20"/>
  <c r="B64" i="20"/>
  <c r="G63" i="20"/>
  <c r="F63" i="20"/>
  <c r="E63" i="20"/>
  <c r="D63" i="20"/>
  <c r="C63" i="20"/>
  <c r="B63" i="20"/>
  <c r="G62" i="20"/>
  <c r="F62" i="20"/>
  <c r="E62" i="20"/>
  <c r="D62" i="20"/>
  <c r="C62" i="20"/>
  <c r="B62" i="20"/>
  <c r="G61" i="20"/>
  <c r="F61" i="20"/>
  <c r="E61" i="20"/>
  <c r="D61" i="20"/>
  <c r="C61" i="20"/>
  <c r="B61" i="20"/>
  <c r="G60" i="20"/>
  <c r="F60" i="20"/>
  <c r="E60" i="20"/>
  <c r="D60" i="20"/>
  <c r="C60" i="20"/>
  <c r="B60" i="20"/>
  <c r="G59" i="20"/>
  <c r="F59" i="20"/>
  <c r="E59" i="20"/>
  <c r="D59" i="20"/>
  <c r="C59" i="20"/>
  <c r="B59" i="20"/>
  <c r="G58" i="20"/>
  <c r="F58" i="20"/>
  <c r="E58" i="20"/>
  <c r="D58" i="20"/>
  <c r="C58" i="20"/>
  <c r="B58" i="20"/>
  <c r="G57" i="20"/>
  <c r="F57" i="20"/>
  <c r="E57" i="20"/>
  <c r="D57" i="20"/>
  <c r="C57" i="20"/>
  <c r="B57" i="20"/>
  <c r="G56" i="20"/>
  <c r="F56" i="20"/>
  <c r="E56" i="20"/>
  <c r="D56" i="20"/>
  <c r="C56" i="20"/>
  <c r="B56" i="20"/>
  <c r="G55" i="20"/>
  <c r="F55" i="20"/>
  <c r="E55" i="20"/>
  <c r="D55" i="20"/>
  <c r="C55" i="20"/>
  <c r="B55" i="20"/>
  <c r="G54" i="20"/>
  <c r="F54" i="20"/>
  <c r="E54" i="20"/>
  <c r="D54" i="20"/>
  <c r="C54" i="20"/>
  <c r="B54" i="20"/>
  <c r="G53" i="20"/>
  <c r="F53" i="20"/>
  <c r="E53" i="20"/>
  <c r="D53" i="20"/>
  <c r="C53" i="20"/>
  <c r="B53" i="20"/>
  <c r="G52" i="20"/>
  <c r="F52" i="20"/>
  <c r="E52" i="20"/>
  <c r="D52" i="20"/>
  <c r="C52" i="20"/>
  <c r="B52" i="20"/>
  <c r="G51" i="20"/>
  <c r="F51" i="20"/>
  <c r="E51" i="20"/>
  <c r="D51" i="20"/>
  <c r="C51" i="20"/>
  <c r="B51" i="20"/>
  <c r="G50" i="20"/>
  <c r="F50" i="20"/>
  <c r="E50" i="20"/>
  <c r="D50" i="20"/>
  <c r="C50" i="20"/>
  <c r="B50" i="20"/>
  <c r="G49" i="20"/>
  <c r="F49" i="20"/>
  <c r="E49" i="20"/>
  <c r="D49" i="20"/>
  <c r="C49" i="20"/>
  <c r="B49" i="20"/>
  <c r="G48" i="20"/>
  <c r="F48" i="20"/>
  <c r="E48" i="20"/>
  <c r="D48" i="20"/>
  <c r="C48" i="20"/>
  <c r="B48" i="20"/>
  <c r="G47" i="20"/>
  <c r="F47" i="20"/>
  <c r="E47" i="20"/>
  <c r="D47" i="20"/>
  <c r="C47" i="20"/>
  <c r="B47" i="20"/>
  <c r="G46" i="20"/>
  <c r="F46" i="20"/>
  <c r="E46" i="20"/>
  <c r="D46" i="20"/>
  <c r="C46" i="20"/>
  <c r="B46" i="20"/>
  <c r="G45" i="20"/>
  <c r="F45" i="20"/>
  <c r="E45" i="20"/>
  <c r="D45" i="20"/>
  <c r="C45" i="20"/>
  <c r="B45" i="20"/>
  <c r="G44" i="20"/>
  <c r="F44" i="20"/>
  <c r="E44" i="20"/>
  <c r="D44" i="20"/>
  <c r="C44" i="20"/>
  <c r="B44" i="20"/>
  <c r="G43" i="20"/>
  <c r="F43" i="20"/>
  <c r="E43" i="20"/>
  <c r="D43" i="20"/>
  <c r="C43" i="20"/>
  <c r="B43" i="20"/>
  <c r="G42" i="20"/>
  <c r="F42" i="20"/>
  <c r="E42" i="20"/>
  <c r="D42" i="20"/>
  <c r="C42" i="20"/>
  <c r="B42" i="20"/>
  <c r="G41" i="20"/>
  <c r="F41" i="20"/>
  <c r="E41" i="20"/>
  <c r="D41" i="20"/>
  <c r="C41" i="20"/>
  <c r="B41" i="20"/>
  <c r="G40" i="20"/>
  <c r="F40" i="20"/>
  <c r="E40" i="20"/>
  <c r="D40" i="20"/>
  <c r="C40" i="20"/>
  <c r="B40" i="20"/>
  <c r="G39" i="20"/>
  <c r="F39" i="20"/>
  <c r="E39" i="20"/>
  <c r="D39" i="20"/>
  <c r="C39" i="20"/>
  <c r="B39" i="20"/>
  <c r="G38" i="20"/>
  <c r="F38" i="20"/>
  <c r="E38" i="20"/>
  <c r="D38" i="20"/>
  <c r="C38" i="20"/>
  <c r="B38" i="20"/>
  <c r="G37" i="20"/>
  <c r="F37" i="20"/>
  <c r="E37" i="20"/>
  <c r="D37" i="20"/>
  <c r="C37" i="20"/>
  <c r="B37" i="20"/>
  <c r="G36" i="20"/>
  <c r="F36" i="20"/>
  <c r="E36" i="20"/>
  <c r="D36" i="20"/>
  <c r="C36" i="20"/>
  <c r="B36" i="20"/>
  <c r="G35" i="20"/>
  <c r="F35" i="20"/>
  <c r="E35" i="20"/>
  <c r="D35" i="20"/>
  <c r="C35" i="20"/>
  <c r="B35" i="20"/>
  <c r="G34" i="20"/>
  <c r="F34" i="20"/>
  <c r="E34" i="20"/>
  <c r="D34" i="20"/>
  <c r="C34" i="20"/>
  <c r="B34" i="20"/>
  <c r="G33" i="20"/>
  <c r="F33" i="20"/>
  <c r="E33" i="20"/>
  <c r="D33" i="20"/>
  <c r="C33" i="20"/>
  <c r="B33" i="20"/>
  <c r="G32" i="20"/>
  <c r="F32" i="20"/>
  <c r="E32" i="20"/>
  <c r="D32" i="20"/>
  <c r="C32" i="20"/>
  <c r="B32" i="20"/>
  <c r="G31" i="20"/>
  <c r="F31" i="20"/>
  <c r="E31" i="20"/>
  <c r="D31" i="20"/>
  <c r="C31" i="20"/>
  <c r="B31" i="20"/>
  <c r="G30" i="20"/>
  <c r="F30" i="20"/>
  <c r="E30" i="20"/>
  <c r="D30" i="20"/>
  <c r="C30" i="20"/>
  <c r="B30" i="20"/>
  <c r="G29" i="20"/>
  <c r="F29" i="20"/>
  <c r="E29" i="20"/>
  <c r="D29" i="20"/>
  <c r="C29" i="20"/>
  <c r="B29" i="20"/>
  <c r="G28" i="20"/>
  <c r="F28" i="20"/>
  <c r="S25" i="2" s="1"/>
  <c r="E28" i="20"/>
  <c r="D28" i="20"/>
  <c r="C28" i="20"/>
  <c r="B28" i="20"/>
  <c r="G27" i="20"/>
  <c r="F27" i="20"/>
  <c r="E27" i="20"/>
  <c r="D27" i="20"/>
  <c r="C27" i="20"/>
  <c r="B27" i="20"/>
  <c r="B18" i="20"/>
  <c r="D14" i="20"/>
  <c r="C14" i="20"/>
  <c r="B14" i="20"/>
  <c r="E10" i="20"/>
  <c r="D10" i="20"/>
  <c r="B10" i="20"/>
  <c r="B7" i="20"/>
  <c r="G278" i="19"/>
  <c r="F278" i="19"/>
  <c r="E278" i="19"/>
  <c r="D278" i="19"/>
  <c r="C278" i="19"/>
  <c r="B278" i="19"/>
  <c r="G277" i="19"/>
  <c r="F277" i="19"/>
  <c r="E277" i="19"/>
  <c r="D277" i="19"/>
  <c r="C277" i="19"/>
  <c r="B277" i="19"/>
  <c r="G276" i="19"/>
  <c r="F276" i="19"/>
  <c r="E276" i="19"/>
  <c r="D276" i="19"/>
  <c r="C276" i="19"/>
  <c r="B276" i="19"/>
  <c r="G275" i="19"/>
  <c r="F275" i="19"/>
  <c r="E275" i="19"/>
  <c r="D275" i="19"/>
  <c r="C275" i="19"/>
  <c r="B275" i="19"/>
  <c r="G274" i="19"/>
  <c r="F274" i="19"/>
  <c r="E274" i="19"/>
  <c r="D274" i="19"/>
  <c r="C274" i="19"/>
  <c r="B274" i="19"/>
  <c r="G273" i="19"/>
  <c r="F273" i="19"/>
  <c r="E273" i="19"/>
  <c r="D273" i="19"/>
  <c r="C273" i="19"/>
  <c r="B273" i="19"/>
  <c r="G272" i="19"/>
  <c r="F272" i="19"/>
  <c r="E272" i="19"/>
  <c r="D272" i="19"/>
  <c r="C272" i="19"/>
  <c r="B272" i="19"/>
  <c r="G271" i="19"/>
  <c r="F271" i="19"/>
  <c r="E271" i="19"/>
  <c r="D271" i="19"/>
  <c r="C271" i="19"/>
  <c r="B271" i="19"/>
  <c r="G270" i="19"/>
  <c r="F270" i="19"/>
  <c r="E270" i="19"/>
  <c r="D270" i="19"/>
  <c r="C270" i="19"/>
  <c r="B270" i="19"/>
  <c r="G269" i="19"/>
  <c r="F269" i="19"/>
  <c r="E269" i="19"/>
  <c r="D269" i="19"/>
  <c r="C269" i="19"/>
  <c r="B269" i="19"/>
  <c r="G268" i="19"/>
  <c r="F268" i="19"/>
  <c r="E268" i="19"/>
  <c r="D268" i="19"/>
  <c r="C268" i="19"/>
  <c r="B268" i="19"/>
  <c r="G267" i="19"/>
  <c r="F267" i="19"/>
  <c r="E267" i="19"/>
  <c r="D267" i="19"/>
  <c r="C267" i="19"/>
  <c r="B267" i="19"/>
  <c r="G266" i="19"/>
  <c r="F266" i="19"/>
  <c r="E266" i="19"/>
  <c r="D266" i="19"/>
  <c r="C266" i="19"/>
  <c r="B266" i="19"/>
  <c r="G265" i="19"/>
  <c r="F265" i="19"/>
  <c r="E265" i="19"/>
  <c r="D265" i="19"/>
  <c r="C265" i="19"/>
  <c r="B265" i="19"/>
  <c r="G264" i="19"/>
  <c r="F264" i="19"/>
  <c r="E264" i="19"/>
  <c r="D264" i="19"/>
  <c r="C264" i="19"/>
  <c r="B264" i="19"/>
  <c r="G263" i="19"/>
  <c r="F263" i="19"/>
  <c r="E263" i="19"/>
  <c r="D263" i="19"/>
  <c r="C263" i="19"/>
  <c r="B263" i="19"/>
  <c r="G262" i="19"/>
  <c r="F262" i="19"/>
  <c r="E262" i="19"/>
  <c r="D262" i="19"/>
  <c r="C262" i="19"/>
  <c r="B262" i="19"/>
  <c r="G261" i="19"/>
  <c r="F261" i="19"/>
  <c r="E261" i="19"/>
  <c r="D261" i="19"/>
  <c r="C261" i="19"/>
  <c r="B261" i="19"/>
  <c r="G260" i="19"/>
  <c r="F260" i="19"/>
  <c r="E260" i="19"/>
  <c r="D260" i="19"/>
  <c r="C260" i="19"/>
  <c r="B260" i="19"/>
  <c r="G259" i="19"/>
  <c r="F259" i="19"/>
  <c r="E259" i="19"/>
  <c r="D259" i="19"/>
  <c r="C259" i="19"/>
  <c r="B259" i="19"/>
  <c r="G258" i="19"/>
  <c r="F258" i="19"/>
  <c r="E258" i="19"/>
  <c r="D258" i="19"/>
  <c r="C258" i="19"/>
  <c r="B258" i="19"/>
  <c r="G257" i="19"/>
  <c r="F257" i="19"/>
  <c r="E257" i="19"/>
  <c r="D257" i="19"/>
  <c r="C257" i="19"/>
  <c r="B257" i="19"/>
  <c r="G256" i="19"/>
  <c r="F256" i="19"/>
  <c r="P24" i="2" s="1"/>
  <c r="E256" i="19"/>
  <c r="D256" i="19"/>
  <c r="C256" i="19"/>
  <c r="B256" i="19"/>
  <c r="G255" i="19"/>
  <c r="F255" i="19"/>
  <c r="E255" i="19"/>
  <c r="D255" i="19"/>
  <c r="C255" i="19"/>
  <c r="B255" i="19"/>
  <c r="G254" i="19"/>
  <c r="F254" i="19"/>
  <c r="E254" i="19"/>
  <c r="D254" i="19"/>
  <c r="C254" i="19"/>
  <c r="B254" i="19"/>
  <c r="G253" i="19"/>
  <c r="F253" i="19"/>
  <c r="E253" i="19"/>
  <c r="D253" i="19"/>
  <c r="C253" i="19"/>
  <c r="B253" i="19"/>
  <c r="G252" i="19"/>
  <c r="F252" i="19"/>
  <c r="E252" i="19"/>
  <c r="D252" i="19"/>
  <c r="C252" i="19"/>
  <c r="B252" i="19"/>
  <c r="G251" i="19"/>
  <c r="F251" i="19"/>
  <c r="E251" i="19"/>
  <c r="D251" i="19"/>
  <c r="C251" i="19"/>
  <c r="B251" i="19"/>
  <c r="G250" i="19"/>
  <c r="F250" i="19"/>
  <c r="E250" i="19"/>
  <c r="D250" i="19"/>
  <c r="C250" i="19"/>
  <c r="B250" i="19"/>
  <c r="G249" i="19"/>
  <c r="F249" i="19"/>
  <c r="E249" i="19"/>
  <c r="D249" i="19"/>
  <c r="C249" i="19"/>
  <c r="B249" i="19"/>
  <c r="G248" i="19"/>
  <c r="F248" i="19"/>
  <c r="E248" i="19"/>
  <c r="D248" i="19"/>
  <c r="C248" i="19"/>
  <c r="B248" i="19"/>
  <c r="G247" i="19"/>
  <c r="F247" i="19"/>
  <c r="E247" i="19"/>
  <c r="D247" i="19"/>
  <c r="C247" i="19"/>
  <c r="B247" i="19"/>
  <c r="G246" i="19"/>
  <c r="F246" i="19"/>
  <c r="E246" i="19"/>
  <c r="D246" i="19"/>
  <c r="C246" i="19"/>
  <c r="B246" i="19"/>
  <c r="G245" i="19"/>
  <c r="F245" i="19"/>
  <c r="E245" i="19"/>
  <c r="D245" i="19"/>
  <c r="C245" i="19"/>
  <c r="B245" i="19"/>
  <c r="G244" i="19"/>
  <c r="F244" i="19"/>
  <c r="E244" i="19"/>
  <c r="D244" i="19"/>
  <c r="C244" i="19"/>
  <c r="B244" i="19"/>
  <c r="G243" i="19"/>
  <c r="F243" i="19"/>
  <c r="E243" i="19"/>
  <c r="D243" i="19"/>
  <c r="C243" i="19"/>
  <c r="B243" i="19"/>
  <c r="G242" i="19"/>
  <c r="F242" i="19"/>
  <c r="E242" i="19"/>
  <c r="D242" i="19"/>
  <c r="C242" i="19"/>
  <c r="B242" i="19"/>
  <c r="G241" i="19"/>
  <c r="F241" i="19"/>
  <c r="E241" i="19"/>
  <c r="D241" i="19"/>
  <c r="C241" i="19"/>
  <c r="B241" i="19"/>
  <c r="G240" i="19"/>
  <c r="F240" i="19"/>
  <c r="E240" i="19"/>
  <c r="D240" i="19"/>
  <c r="C240" i="19"/>
  <c r="B240" i="19"/>
  <c r="G239" i="19"/>
  <c r="F239" i="19"/>
  <c r="E239" i="19"/>
  <c r="D239" i="19"/>
  <c r="C239" i="19"/>
  <c r="B239" i="19"/>
  <c r="G238" i="19"/>
  <c r="F238" i="19"/>
  <c r="E238" i="19"/>
  <c r="D238" i="19"/>
  <c r="C238" i="19"/>
  <c r="B238" i="19"/>
  <c r="G237" i="19"/>
  <c r="F237" i="19"/>
  <c r="E237" i="19"/>
  <c r="D237" i="19"/>
  <c r="C237" i="19"/>
  <c r="B237" i="19"/>
  <c r="G236" i="19"/>
  <c r="F236" i="19"/>
  <c r="E236" i="19"/>
  <c r="D236" i="19"/>
  <c r="C236" i="19"/>
  <c r="B236" i="19"/>
  <c r="G235" i="19"/>
  <c r="F235" i="19"/>
  <c r="E235" i="19"/>
  <c r="D235" i="19"/>
  <c r="C235" i="19"/>
  <c r="B235" i="19"/>
  <c r="G234" i="19"/>
  <c r="F234" i="19"/>
  <c r="E234" i="19"/>
  <c r="D234" i="19"/>
  <c r="C234" i="19"/>
  <c r="B234" i="19"/>
  <c r="G233" i="19"/>
  <c r="F233" i="19"/>
  <c r="E233" i="19"/>
  <c r="D233" i="19"/>
  <c r="C233" i="19"/>
  <c r="B233" i="19"/>
  <c r="G232" i="19"/>
  <c r="F232" i="19"/>
  <c r="E232" i="19"/>
  <c r="D232" i="19"/>
  <c r="C232" i="19"/>
  <c r="B232" i="19"/>
  <c r="G231" i="19"/>
  <c r="F231" i="19"/>
  <c r="E231" i="19"/>
  <c r="D231" i="19"/>
  <c r="C231" i="19"/>
  <c r="B231" i="19"/>
  <c r="G230" i="19"/>
  <c r="F230" i="19"/>
  <c r="E230" i="19"/>
  <c r="D230" i="19"/>
  <c r="C230" i="19"/>
  <c r="B230" i="19"/>
  <c r="G229" i="19"/>
  <c r="F229" i="19"/>
  <c r="E229" i="19"/>
  <c r="D229" i="19"/>
  <c r="C229" i="19"/>
  <c r="B229" i="19"/>
  <c r="G228" i="19"/>
  <c r="F228" i="19"/>
  <c r="E228" i="19"/>
  <c r="D228" i="19"/>
  <c r="C228" i="19"/>
  <c r="B228" i="19"/>
  <c r="G227" i="19"/>
  <c r="F227" i="19"/>
  <c r="E227" i="19"/>
  <c r="D227" i="19"/>
  <c r="C227" i="19"/>
  <c r="B227" i="19"/>
  <c r="G226" i="19"/>
  <c r="F226" i="19"/>
  <c r="E226" i="19"/>
  <c r="D226" i="19"/>
  <c r="C226" i="19"/>
  <c r="B226" i="19"/>
  <c r="G225" i="19"/>
  <c r="F225" i="19"/>
  <c r="E225" i="19"/>
  <c r="D225" i="19"/>
  <c r="C225" i="19"/>
  <c r="B225" i="19"/>
  <c r="G224" i="19"/>
  <c r="F224" i="19"/>
  <c r="E224" i="19"/>
  <c r="D224" i="19"/>
  <c r="C224" i="19"/>
  <c r="B224" i="19"/>
  <c r="G223" i="19"/>
  <c r="F223" i="19"/>
  <c r="E223" i="19"/>
  <c r="D223" i="19"/>
  <c r="C223" i="19"/>
  <c r="B223" i="19"/>
  <c r="G222" i="19"/>
  <c r="F222" i="19"/>
  <c r="E222" i="19"/>
  <c r="D222" i="19"/>
  <c r="C222" i="19"/>
  <c r="B222" i="19"/>
  <c r="G221" i="19"/>
  <c r="F221" i="19"/>
  <c r="E221" i="19"/>
  <c r="D221" i="19"/>
  <c r="C221" i="19"/>
  <c r="B221" i="19"/>
  <c r="G220" i="19"/>
  <c r="F220" i="19"/>
  <c r="E220" i="19"/>
  <c r="D220" i="19"/>
  <c r="C220" i="19"/>
  <c r="B220" i="19"/>
  <c r="G219" i="19"/>
  <c r="F219" i="19"/>
  <c r="E219" i="19"/>
  <c r="D219" i="19"/>
  <c r="C219" i="19"/>
  <c r="B219" i="19"/>
  <c r="G218" i="19"/>
  <c r="F218" i="19"/>
  <c r="E218" i="19"/>
  <c r="D218" i="19"/>
  <c r="C218" i="19"/>
  <c r="B218" i="19"/>
  <c r="G217" i="19"/>
  <c r="F217" i="19"/>
  <c r="E217" i="19"/>
  <c r="D217" i="19"/>
  <c r="C217" i="19"/>
  <c r="B217" i="19"/>
  <c r="G216" i="19"/>
  <c r="F216" i="19"/>
  <c r="E216" i="19"/>
  <c r="D216" i="19"/>
  <c r="C216" i="19"/>
  <c r="B216" i="19"/>
  <c r="G215" i="19"/>
  <c r="F215" i="19"/>
  <c r="E215" i="19"/>
  <c r="D215" i="19"/>
  <c r="C215" i="19"/>
  <c r="B215" i="19"/>
  <c r="G214" i="19"/>
  <c r="F214" i="19"/>
  <c r="E214" i="19"/>
  <c r="D214" i="19"/>
  <c r="C214" i="19"/>
  <c r="B214" i="19"/>
  <c r="G213" i="19"/>
  <c r="F213" i="19"/>
  <c r="E213" i="19"/>
  <c r="D213" i="19"/>
  <c r="C213" i="19"/>
  <c r="B213" i="19"/>
  <c r="G212" i="19"/>
  <c r="F212" i="19"/>
  <c r="E212" i="19"/>
  <c r="D212" i="19"/>
  <c r="C212" i="19"/>
  <c r="B212" i="19"/>
  <c r="G211" i="19"/>
  <c r="F211" i="19"/>
  <c r="E211" i="19"/>
  <c r="D211" i="19"/>
  <c r="C211" i="19"/>
  <c r="B211" i="19"/>
  <c r="G210" i="19"/>
  <c r="F210" i="19"/>
  <c r="E210" i="19"/>
  <c r="D210" i="19"/>
  <c r="C210" i="19"/>
  <c r="B210" i="19"/>
  <c r="G209" i="19"/>
  <c r="F209" i="19"/>
  <c r="E209" i="19"/>
  <c r="D209" i="19"/>
  <c r="C209" i="19"/>
  <c r="B209" i="19"/>
  <c r="G208" i="19"/>
  <c r="F208" i="19"/>
  <c r="E208" i="19"/>
  <c r="D208" i="19"/>
  <c r="C208" i="19"/>
  <c r="B208" i="19"/>
  <c r="G207" i="19"/>
  <c r="F207" i="19"/>
  <c r="E207" i="19"/>
  <c r="D207" i="19"/>
  <c r="C207" i="19"/>
  <c r="B207" i="19"/>
  <c r="G206" i="19"/>
  <c r="F206" i="19"/>
  <c r="E206" i="19"/>
  <c r="D206" i="19"/>
  <c r="C206" i="19"/>
  <c r="B206" i="19"/>
  <c r="G205" i="19"/>
  <c r="F205" i="19"/>
  <c r="E205" i="19"/>
  <c r="D205" i="19"/>
  <c r="C205" i="19"/>
  <c r="B205" i="19"/>
  <c r="G204" i="19"/>
  <c r="F204" i="19"/>
  <c r="E204" i="19"/>
  <c r="D204" i="19"/>
  <c r="C204" i="19"/>
  <c r="B204" i="19"/>
  <c r="G203" i="19"/>
  <c r="F203" i="19"/>
  <c r="E203" i="19"/>
  <c r="D203" i="19"/>
  <c r="C203" i="19"/>
  <c r="B203" i="19"/>
  <c r="G202" i="19"/>
  <c r="F202" i="19"/>
  <c r="E202" i="19"/>
  <c r="D202" i="19"/>
  <c r="C202" i="19"/>
  <c r="B202" i="19"/>
  <c r="G201" i="19"/>
  <c r="F201" i="19"/>
  <c r="E201" i="19"/>
  <c r="D201" i="19"/>
  <c r="C201" i="19"/>
  <c r="B201" i="19"/>
  <c r="G200" i="19"/>
  <c r="F200" i="19"/>
  <c r="E200" i="19"/>
  <c r="D200" i="19"/>
  <c r="C200" i="19"/>
  <c r="B200" i="19"/>
  <c r="G199" i="19"/>
  <c r="F199" i="19"/>
  <c r="E199" i="19"/>
  <c r="D199" i="19"/>
  <c r="C199" i="19"/>
  <c r="B199" i="19"/>
  <c r="G198" i="19"/>
  <c r="F198" i="19"/>
  <c r="E198" i="19"/>
  <c r="D198" i="19"/>
  <c r="C198" i="19"/>
  <c r="B198" i="19"/>
  <c r="G197" i="19"/>
  <c r="F197" i="19"/>
  <c r="E197" i="19"/>
  <c r="D197" i="19"/>
  <c r="C197" i="19"/>
  <c r="B197" i="19"/>
  <c r="G196" i="19"/>
  <c r="F196" i="19"/>
  <c r="E196" i="19"/>
  <c r="D196" i="19"/>
  <c r="C196" i="19"/>
  <c r="B196" i="19"/>
  <c r="G195" i="19"/>
  <c r="F195" i="19"/>
  <c r="E195" i="19"/>
  <c r="D195" i="19"/>
  <c r="C195" i="19"/>
  <c r="B195" i="19"/>
  <c r="G194" i="19"/>
  <c r="F194" i="19"/>
  <c r="E194" i="19"/>
  <c r="D194" i="19"/>
  <c r="C194" i="19"/>
  <c r="B194" i="19"/>
  <c r="G193" i="19"/>
  <c r="F193" i="19"/>
  <c r="E193" i="19"/>
  <c r="D193" i="19"/>
  <c r="C193" i="19"/>
  <c r="B193" i="19"/>
  <c r="G192" i="19"/>
  <c r="F192" i="19"/>
  <c r="E192" i="19"/>
  <c r="D192" i="19"/>
  <c r="C192" i="19"/>
  <c r="B192" i="19"/>
  <c r="G191" i="19"/>
  <c r="F191" i="19"/>
  <c r="E191" i="19"/>
  <c r="D191" i="19"/>
  <c r="C191" i="19"/>
  <c r="B191" i="19"/>
  <c r="G190" i="19"/>
  <c r="F190" i="19"/>
  <c r="E190" i="19"/>
  <c r="D190" i="19"/>
  <c r="C190" i="19"/>
  <c r="B190" i="19"/>
  <c r="G189" i="19"/>
  <c r="F189" i="19"/>
  <c r="E189" i="19"/>
  <c r="D189" i="19"/>
  <c r="C189" i="19"/>
  <c r="B189" i="19"/>
  <c r="G188" i="19"/>
  <c r="F188" i="19"/>
  <c r="E188" i="19"/>
  <c r="D188" i="19"/>
  <c r="C188" i="19"/>
  <c r="B188" i="19"/>
  <c r="G187" i="19"/>
  <c r="F187" i="19"/>
  <c r="E187" i="19"/>
  <c r="D187" i="19"/>
  <c r="C187" i="19"/>
  <c r="B187" i="19"/>
  <c r="G186" i="19"/>
  <c r="F186" i="19"/>
  <c r="E186" i="19"/>
  <c r="D186" i="19"/>
  <c r="C186" i="19"/>
  <c r="B186" i="19"/>
  <c r="G185" i="19"/>
  <c r="F185" i="19"/>
  <c r="E185" i="19"/>
  <c r="D185" i="19"/>
  <c r="C185" i="19"/>
  <c r="B185" i="19"/>
  <c r="G184" i="19"/>
  <c r="F184" i="19"/>
  <c r="E184" i="19"/>
  <c r="D184" i="19"/>
  <c r="C184" i="19"/>
  <c r="B184" i="19"/>
  <c r="G183" i="19"/>
  <c r="F183" i="19"/>
  <c r="E183" i="19"/>
  <c r="D183" i="19"/>
  <c r="C183" i="19"/>
  <c r="B183" i="19"/>
  <c r="G182" i="19"/>
  <c r="F182" i="19"/>
  <c r="E182" i="19"/>
  <c r="D182" i="19"/>
  <c r="C182" i="19"/>
  <c r="B182" i="19"/>
  <c r="G181" i="19"/>
  <c r="F181" i="19"/>
  <c r="E181" i="19"/>
  <c r="D181" i="19"/>
  <c r="C181" i="19"/>
  <c r="B181" i="19"/>
  <c r="G180" i="19"/>
  <c r="F180" i="19"/>
  <c r="E180" i="19"/>
  <c r="D180" i="19"/>
  <c r="C180" i="19"/>
  <c r="B180" i="19"/>
  <c r="G179" i="19"/>
  <c r="F179" i="19"/>
  <c r="E179" i="19"/>
  <c r="D179" i="19"/>
  <c r="C179" i="19"/>
  <c r="B179" i="19"/>
  <c r="G178" i="19"/>
  <c r="F178" i="19"/>
  <c r="E178" i="19"/>
  <c r="D178" i="19"/>
  <c r="C178" i="19"/>
  <c r="B178" i="19"/>
  <c r="G177" i="19"/>
  <c r="F177" i="19"/>
  <c r="E177" i="19"/>
  <c r="D177" i="19"/>
  <c r="C177" i="19"/>
  <c r="B177" i="19"/>
  <c r="G176" i="19"/>
  <c r="F176" i="19"/>
  <c r="E176" i="19"/>
  <c r="D176" i="19"/>
  <c r="C176" i="19"/>
  <c r="B176" i="19"/>
  <c r="G175" i="19"/>
  <c r="F175" i="19"/>
  <c r="E175" i="19"/>
  <c r="D175" i="19"/>
  <c r="C175" i="19"/>
  <c r="B175" i="19"/>
  <c r="G174" i="19"/>
  <c r="F174" i="19"/>
  <c r="E174" i="19"/>
  <c r="D174" i="19"/>
  <c r="C174" i="19"/>
  <c r="B174" i="19"/>
  <c r="G173" i="19"/>
  <c r="F173" i="19"/>
  <c r="E173" i="19"/>
  <c r="D173" i="19"/>
  <c r="C173" i="19"/>
  <c r="B173" i="19"/>
  <c r="G172" i="19"/>
  <c r="F172" i="19"/>
  <c r="E172" i="19"/>
  <c r="D172" i="19"/>
  <c r="C172" i="19"/>
  <c r="B172" i="19"/>
  <c r="G171" i="19"/>
  <c r="F171" i="19"/>
  <c r="E171" i="19"/>
  <c r="D171" i="19"/>
  <c r="C171" i="19"/>
  <c r="B171" i="19"/>
  <c r="G170" i="19"/>
  <c r="F170" i="19"/>
  <c r="E170" i="19"/>
  <c r="D170" i="19"/>
  <c r="C170" i="19"/>
  <c r="B170" i="19"/>
  <c r="G169" i="19"/>
  <c r="F169" i="19"/>
  <c r="E169" i="19"/>
  <c r="D169" i="19"/>
  <c r="C169" i="19"/>
  <c r="B169" i="19"/>
  <c r="G168" i="19"/>
  <c r="F168" i="19"/>
  <c r="E168" i="19"/>
  <c r="D168" i="19"/>
  <c r="C168" i="19"/>
  <c r="B168" i="19"/>
  <c r="G167" i="19"/>
  <c r="F167" i="19"/>
  <c r="E167" i="19"/>
  <c r="D167" i="19"/>
  <c r="C167" i="19"/>
  <c r="B167" i="19"/>
  <c r="G166" i="19"/>
  <c r="F166" i="19"/>
  <c r="E166" i="19"/>
  <c r="D166" i="19"/>
  <c r="C166" i="19"/>
  <c r="B166" i="19"/>
  <c r="G165" i="19"/>
  <c r="F165" i="19"/>
  <c r="E165" i="19"/>
  <c r="D165" i="19"/>
  <c r="C165" i="19"/>
  <c r="B165" i="19"/>
  <c r="G164" i="19"/>
  <c r="F164" i="19"/>
  <c r="E164" i="19"/>
  <c r="D164" i="19"/>
  <c r="C164" i="19"/>
  <c r="B164" i="19"/>
  <c r="G163" i="19"/>
  <c r="F163" i="19"/>
  <c r="E163" i="19"/>
  <c r="D163" i="19"/>
  <c r="C163" i="19"/>
  <c r="B163" i="19"/>
  <c r="G162" i="19"/>
  <c r="F162" i="19"/>
  <c r="E162" i="19"/>
  <c r="D162" i="19"/>
  <c r="C162" i="19"/>
  <c r="B162" i="19"/>
  <c r="G161" i="19"/>
  <c r="F161" i="19"/>
  <c r="E161" i="19"/>
  <c r="D161" i="19"/>
  <c r="C161" i="19"/>
  <c r="B161" i="19"/>
  <c r="G160" i="19"/>
  <c r="F160" i="19"/>
  <c r="E160" i="19"/>
  <c r="D160" i="19"/>
  <c r="C160" i="19"/>
  <c r="B160" i="19"/>
  <c r="G159" i="19"/>
  <c r="F159" i="19"/>
  <c r="E159" i="19"/>
  <c r="D159" i="19"/>
  <c r="C159" i="19"/>
  <c r="B159" i="19"/>
  <c r="G158" i="19"/>
  <c r="F158" i="19"/>
  <c r="E158" i="19"/>
  <c r="D158" i="19"/>
  <c r="C158" i="19"/>
  <c r="B158" i="19"/>
  <c r="G157" i="19"/>
  <c r="F157" i="19"/>
  <c r="E157" i="19"/>
  <c r="D157" i="19"/>
  <c r="C157" i="19"/>
  <c r="B157" i="19"/>
  <c r="G156" i="19"/>
  <c r="F156" i="19"/>
  <c r="E156" i="19"/>
  <c r="D156" i="19"/>
  <c r="C156" i="19"/>
  <c r="B156" i="19"/>
  <c r="G155" i="19"/>
  <c r="F155" i="19"/>
  <c r="E155" i="19"/>
  <c r="D155" i="19"/>
  <c r="C155" i="19"/>
  <c r="B155" i="19"/>
  <c r="G154" i="19"/>
  <c r="F154" i="19"/>
  <c r="E154" i="19"/>
  <c r="D154" i="19"/>
  <c r="C154" i="19"/>
  <c r="B154" i="19"/>
  <c r="G153" i="19"/>
  <c r="F153" i="19"/>
  <c r="E153" i="19"/>
  <c r="D153" i="19"/>
  <c r="C153" i="19"/>
  <c r="B153" i="19"/>
  <c r="G152" i="19"/>
  <c r="F152" i="19"/>
  <c r="E152" i="19"/>
  <c r="D152" i="19"/>
  <c r="C152" i="19"/>
  <c r="B152" i="19"/>
  <c r="G151" i="19"/>
  <c r="F151" i="19"/>
  <c r="E151" i="19"/>
  <c r="D151" i="19"/>
  <c r="C151" i="19"/>
  <c r="B151" i="19"/>
  <c r="G150" i="19"/>
  <c r="F150" i="19"/>
  <c r="E150" i="19"/>
  <c r="D150" i="19"/>
  <c r="C150" i="19"/>
  <c r="B150" i="19"/>
  <c r="G149" i="19"/>
  <c r="F149" i="19"/>
  <c r="E149" i="19"/>
  <c r="D149" i="19"/>
  <c r="C149" i="19"/>
  <c r="B149" i="19"/>
  <c r="G148" i="19"/>
  <c r="F148" i="19"/>
  <c r="E148" i="19"/>
  <c r="D148" i="19"/>
  <c r="C148" i="19"/>
  <c r="B148" i="19"/>
  <c r="G147" i="19"/>
  <c r="F147" i="19"/>
  <c r="E147" i="19"/>
  <c r="D147" i="19"/>
  <c r="C147" i="19"/>
  <c r="B147" i="19"/>
  <c r="G146" i="19"/>
  <c r="F146" i="19"/>
  <c r="E146" i="19"/>
  <c r="D146" i="19"/>
  <c r="C146" i="19"/>
  <c r="B146" i="19"/>
  <c r="G145" i="19"/>
  <c r="F145" i="19"/>
  <c r="E145" i="19"/>
  <c r="D145" i="19"/>
  <c r="C145" i="19"/>
  <c r="B145" i="19"/>
  <c r="G144" i="19"/>
  <c r="F144" i="19"/>
  <c r="E144" i="19"/>
  <c r="D144" i="19"/>
  <c r="C144" i="19"/>
  <c r="B144" i="19"/>
  <c r="G143" i="19"/>
  <c r="F143" i="19"/>
  <c r="E143" i="19"/>
  <c r="D143" i="19"/>
  <c r="C143" i="19"/>
  <c r="B143" i="19"/>
  <c r="G142" i="19"/>
  <c r="F142" i="19"/>
  <c r="E142" i="19"/>
  <c r="D142" i="19"/>
  <c r="C142" i="19"/>
  <c r="B142" i="19"/>
  <c r="G141" i="19"/>
  <c r="F141" i="19"/>
  <c r="E141" i="19"/>
  <c r="D141" i="19"/>
  <c r="C141" i="19"/>
  <c r="B141" i="19"/>
  <c r="G140" i="19"/>
  <c r="F140" i="19"/>
  <c r="E140" i="19"/>
  <c r="D140" i="19"/>
  <c r="C140" i="19"/>
  <c r="B140" i="19"/>
  <c r="G139" i="19"/>
  <c r="F139" i="19"/>
  <c r="E139" i="19"/>
  <c r="D139" i="19"/>
  <c r="C139" i="19"/>
  <c r="B139" i="19"/>
  <c r="G138" i="19"/>
  <c r="F138" i="19"/>
  <c r="E138" i="19"/>
  <c r="D138" i="19"/>
  <c r="C138" i="19"/>
  <c r="B138" i="19"/>
  <c r="G137" i="19"/>
  <c r="F137" i="19"/>
  <c r="E137" i="19"/>
  <c r="D137" i="19"/>
  <c r="C137" i="19"/>
  <c r="B137" i="19"/>
  <c r="G136" i="19"/>
  <c r="F136" i="19"/>
  <c r="E136" i="19"/>
  <c r="D136" i="19"/>
  <c r="C136" i="19"/>
  <c r="B136" i="19"/>
  <c r="G135" i="19"/>
  <c r="F135" i="19"/>
  <c r="E135" i="19"/>
  <c r="D135" i="19"/>
  <c r="C135" i="19"/>
  <c r="B135" i="19"/>
  <c r="G134" i="19"/>
  <c r="F134" i="19"/>
  <c r="E134" i="19"/>
  <c r="D134" i="19"/>
  <c r="C134" i="19"/>
  <c r="B134" i="19"/>
  <c r="G133" i="19"/>
  <c r="F133" i="19"/>
  <c r="E133" i="19"/>
  <c r="D133" i="19"/>
  <c r="C133" i="19"/>
  <c r="B133" i="19"/>
  <c r="G132" i="19"/>
  <c r="F132" i="19"/>
  <c r="E132" i="19"/>
  <c r="D132" i="19"/>
  <c r="C132" i="19"/>
  <c r="B132" i="19"/>
  <c r="G131" i="19"/>
  <c r="F131" i="19"/>
  <c r="E131" i="19"/>
  <c r="D131" i="19"/>
  <c r="C131" i="19"/>
  <c r="B131" i="19"/>
  <c r="G130" i="19"/>
  <c r="F130" i="19"/>
  <c r="E130" i="19"/>
  <c r="D130" i="19"/>
  <c r="C130" i="19"/>
  <c r="B130" i="19"/>
  <c r="G129" i="19"/>
  <c r="F129" i="19"/>
  <c r="E129" i="19"/>
  <c r="D129" i="19"/>
  <c r="C129" i="19"/>
  <c r="B129" i="19"/>
  <c r="G128" i="19"/>
  <c r="F128" i="19"/>
  <c r="E128" i="19"/>
  <c r="D128" i="19"/>
  <c r="C128" i="19"/>
  <c r="B128" i="19"/>
  <c r="G127" i="19"/>
  <c r="F127" i="19"/>
  <c r="E127" i="19"/>
  <c r="D127" i="19"/>
  <c r="C127" i="19"/>
  <c r="B127" i="19"/>
  <c r="G126" i="19"/>
  <c r="F126" i="19"/>
  <c r="E126" i="19"/>
  <c r="D126" i="19"/>
  <c r="C126" i="19"/>
  <c r="B126" i="19"/>
  <c r="G125" i="19"/>
  <c r="F125" i="19"/>
  <c r="E125" i="19"/>
  <c r="D125" i="19"/>
  <c r="C125" i="19"/>
  <c r="B125" i="19"/>
  <c r="G124" i="19"/>
  <c r="F124" i="19"/>
  <c r="E124" i="19"/>
  <c r="D124" i="19"/>
  <c r="C124" i="19"/>
  <c r="B124" i="19"/>
  <c r="G123" i="19"/>
  <c r="F123" i="19"/>
  <c r="E123" i="19"/>
  <c r="D123" i="19"/>
  <c r="C123" i="19"/>
  <c r="B123" i="19"/>
  <c r="G122" i="19"/>
  <c r="F122" i="19"/>
  <c r="E122" i="19"/>
  <c r="D122" i="19"/>
  <c r="C122" i="19"/>
  <c r="B122" i="19"/>
  <c r="G121" i="19"/>
  <c r="F121" i="19"/>
  <c r="E121" i="19"/>
  <c r="D121" i="19"/>
  <c r="C121" i="19"/>
  <c r="B121" i="19"/>
  <c r="G120" i="19"/>
  <c r="F120" i="19"/>
  <c r="E120" i="19"/>
  <c r="D120" i="19"/>
  <c r="C120" i="19"/>
  <c r="B120" i="19"/>
  <c r="G119" i="19"/>
  <c r="F119" i="19"/>
  <c r="E119" i="19"/>
  <c r="D119" i="19"/>
  <c r="C119" i="19"/>
  <c r="B119" i="19"/>
  <c r="G118" i="19"/>
  <c r="F118" i="19"/>
  <c r="E118" i="19"/>
  <c r="D118" i="19"/>
  <c r="C118" i="19"/>
  <c r="B118" i="19"/>
  <c r="G117" i="19"/>
  <c r="F117" i="19"/>
  <c r="E117" i="19"/>
  <c r="D117" i="19"/>
  <c r="C117" i="19"/>
  <c r="B117" i="19"/>
  <c r="G116" i="19"/>
  <c r="F116" i="19"/>
  <c r="E116" i="19"/>
  <c r="D116" i="19"/>
  <c r="C116" i="19"/>
  <c r="B116" i="19"/>
  <c r="G115" i="19"/>
  <c r="F115" i="19"/>
  <c r="E115" i="19"/>
  <c r="D115" i="19"/>
  <c r="C115" i="19"/>
  <c r="B115" i="19"/>
  <c r="G114" i="19"/>
  <c r="F114" i="19"/>
  <c r="E114" i="19"/>
  <c r="D114" i="19"/>
  <c r="C114" i="19"/>
  <c r="B114" i="19"/>
  <c r="G113" i="19"/>
  <c r="F113" i="19"/>
  <c r="E113" i="19"/>
  <c r="D113" i="19"/>
  <c r="C113" i="19"/>
  <c r="B113" i="19"/>
  <c r="G112" i="19"/>
  <c r="F112" i="19"/>
  <c r="E112" i="19"/>
  <c r="D112" i="19"/>
  <c r="C112" i="19"/>
  <c r="B112" i="19"/>
  <c r="G111" i="19"/>
  <c r="F111" i="19"/>
  <c r="E111" i="19"/>
  <c r="D111" i="19"/>
  <c r="C111" i="19"/>
  <c r="B111" i="19"/>
  <c r="G110" i="19"/>
  <c r="F110" i="19"/>
  <c r="E110" i="19"/>
  <c r="D110" i="19"/>
  <c r="C110" i="19"/>
  <c r="B110" i="19"/>
  <c r="G109" i="19"/>
  <c r="F109" i="19"/>
  <c r="E109" i="19"/>
  <c r="D109" i="19"/>
  <c r="C109" i="19"/>
  <c r="B109" i="19"/>
  <c r="G108" i="19"/>
  <c r="F108" i="19"/>
  <c r="E108" i="19"/>
  <c r="D108" i="19"/>
  <c r="C108" i="19"/>
  <c r="B108" i="19"/>
  <c r="G107" i="19"/>
  <c r="F107" i="19"/>
  <c r="E107" i="19"/>
  <c r="D107" i="19"/>
  <c r="C107" i="19"/>
  <c r="B107" i="19"/>
  <c r="G106" i="19"/>
  <c r="F106" i="19"/>
  <c r="E106" i="19"/>
  <c r="D106" i="19"/>
  <c r="C106" i="19"/>
  <c r="B106" i="19"/>
  <c r="G105" i="19"/>
  <c r="F105" i="19"/>
  <c r="E105" i="19"/>
  <c r="D105" i="19"/>
  <c r="C105" i="19"/>
  <c r="B105" i="19"/>
  <c r="G104" i="19"/>
  <c r="F104" i="19"/>
  <c r="E104" i="19"/>
  <c r="D104" i="19"/>
  <c r="C104" i="19"/>
  <c r="B104" i="19"/>
  <c r="G103" i="19"/>
  <c r="F103" i="19"/>
  <c r="E103" i="19"/>
  <c r="D103" i="19"/>
  <c r="C103" i="19"/>
  <c r="B103" i="19"/>
  <c r="G102" i="19"/>
  <c r="F102" i="19"/>
  <c r="E102" i="19"/>
  <c r="D102" i="19"/>
  <c r="C102" i="19"/>
  <c r="B102" i="19"/>
  <c r="G101" i="19"/>
  <c r="F101" i="19"/>
  <c r="E101" i="19"/>
  <c r="D101" i="19"/>
  <c r="C101" i="19"/>
  <c r="B101" i="19"/>
  <c r="G100" i="19"/>
  <c r="F100" i="19"/>
  <c r="E100" i="19"/>
  <c r="D100" i="19"/>
  <c r="C100" i="19"/>
  <c r="B100" i="19"/>
  <c r="G99" i="19"/>
  <c r="F99" i="19"/>
  <c r="E99" i="19"/>
  <c r="D99" i="19"/>
  <c r="C99" i="19"/>
  <c r="B99" i="19"/>
  <c r="G98" i="19"/>
  <c r="F98" i="19"/>
  <c r="E98" i="19"/>
  <c r="D98" i="19"/>
  <c r="C98" i="19"/>
  <c r="B98" i="19"/>
  <c r="G97" i="19"/>
  <c r="F97" i="19"/>
  <c r="E97" i="19"/>
  <c r="D97" i="19"/>
  <c r="C97" i="19"/>
  <c r="B97" i="19"/>
  <c r="G96" i="19"/>
  <c r="F96" i="19"/>
  <c r="E96" i="19"/>
  <c r="D96" i="19"/>
  <c r="C96" i="19"/>
  <c r="B96" i="19"/>
  <c r="G95" i="19"/>
  <c r="F95" i="19"/>
  <c r="E95" i="19"/>
  <c r="D95" i="19"/>
  <c r="C95" i="19"/>
  <c r="B95" i="19"/>
  <c r="G94" i="19"/>
  <c r="F94" i="19"/>
  <c r="E94" i="19"/>
  <c r="D94" i="19"/>
  <c r="C94" i="19"/>
  <c r="B94" i="19"/>
  <c r="G93" i="19"/>
  <c r="F93" i="19"/>
  <c r="E93" i="19"/>
  <c r="D93" i="19"/>
  <c r="C93" i="19"/>
  <c r="B93" i="19"/>
  <c r="G92" i="19"/>
  <c r="F92" i="19"/>
  <c r="E92" i="19"/>
  <c r="D92" i="19"/>
  <c r="C92" i="19"/>
  <c r="B92" i="19"/>
  <c r="G91" i="19"/>
  <c r="F91" i="19"/>
  <c r="E91" i="19"/>
  <c r="D91" i="19"/>
  <c r="C91" i="19"/>
  <c r="B91" i="19"/>
  <c r="G90" i="19"/>
  <c r="F90" i="19"/>
  <c r="E90" i="19"/>
  <c r="D90" i="19"/>
  <c r="C90" i="19"/>
  <c r="B90" i="19"/>
  <c r="G89" i="19"/>
  <c r="F89" i="19"/>
  <c r="E89" i="19"/>
  <c r="D89" i="19"/>
  <c r="C89" i="19"/>
  <c r="B89" i="19"/>
  <c r="G88" i="19"/>
  <c r="F88" i="19"/>
  <c r="E88" i="19"/>
  <c r="D88" i="19"/>
  <c r="C88" i="19"/>
  <c r="B88" i="19"/>
  <c r="G87" i="19"/>
  <c r="F87" i="19"/>
  <c r="E87" i="19"/>
  <c r="D87" i="19"/>
  <c r="C87" i="19"/>
  <c r="B87" i="19"/>
  <c r="G86" i="19"/>
  <c r="F86" i="19"/>
  <c r="E86" i="19"/>
  <c r="D86" i="19"/>
  <c r="C86" i="19"/>
  <c r="B86" i="19"/>
  <c r="G85" i="19"/>
  <c r="F85" i="19"/>
  <c r="E85" i="19"/>
  <c r="D85" i="19"/>
  <c r="C85" i="19"/>
  <c r="B85" i="19"/>
  <c r="G84" i="19"/>
  <c r="F84" i="19"/>
  <c r="E84" i="19"/>
  <c r="D84" i="19"/>
  <c r="C84" i="19"/>
  <c r="B84" i="19"/>
  <c r="G83" i="19"/>
  <c r="F83" i="19"/>
  <c r="E83" i="19"/>
  <c r="D83" i="19"/>
  <c r="C83" i="19"/>
  <c r="B83" i="19"/>
  <c r="G82" i="19"/>
  <c r="F82" i="19"/>
  <c r="E82" i="19"/>
  <c r="D82" i="19"/>
  <c r="C82" i="19"/>
  <c r="B82" i="19"/>
  <c r="G81" i="19"/>
  <c r="F81" i="19"/>
  <c r="E81" i="19"/>
  <c r="D81" i="19"/>
  <c r="C81" i="19"/>
  <c r="B81" i="19"/>
  <c r="G80" i="19"/>
  <c r="F80" i="19"/>
  <c r="E80" i="19"/>
  <c r="D80" i="19"/>
  <c r="C80" i="19"/>
  <c r="B80" i="19"/>
  <c r="G79" i="19"/>
  <c r="F79" i="19"/>
  <c r="E79" i="19"/>
  <c r="D79" i="19"/>
  <c r="C79" i="19"/>
  <c r="B79" i="19"/>
  <c r="G78" i="19"/>
  <c r="F78" i="19"/>
  <c r="E78" i="19"/>
  <c r="D78" i="19"/>
  <c r="C78" i="19"/>
  <c r="B78" i="19"/>
  <c r="G77" i="19"/>
  <c r="F77" i="19"/>
  <c r="E77" i="19"/>
  <c r="D77" i="19"/>
  <c r="C77" i="19"/>
  <c r="B77" i="19"/>
  <c r="G76" i="19"/>
  <c r="F76" i="19"/>
  <c r="E76" i="19"/>
  <c r="D76" i="19"/>
  <c r="C76" i="19"/>
  <c r="B76" i="19"/>
  <c r="G75" i="19"/>
  <c r="F75" i="19"/>
  <c r="E75" i="19"/>
  <c r="D75" i="19"/>
  <c r="C75" i="19"/>
  <c r="B75" i="19"/>
  <c r="G74" i="19"/>
  <c r="F74" i="19"/>
  <c r="E74" i="19"/>
  <c r="D74" i="19"/>
  <c r="C74" i="19"/>
  <c r="B74" i="19"/>
  <c r="G73" i="19"/>
  <c r="F73" i="19"/>
  <c r="E73" i="19"/>
  <c r="D73" i="19"/>
  <c r="C73" i="19"/>
  <c r="B73" i="19"/>
  <c r="G72" i="19"/>
  <c r="F72" i="19"/>
  <c r="E72" i="19"/>
  <c r="D72" i="19"/>
  <c r="C72" i="19"/>
  <c r="B72" i="19"/>
  <c r="G71" i="19"/>
  <c r="F71" i="19"/>
  <c r="E71" i="19"/>
  <c r="D71" i="19"/>
  <c r="C71" i="19"/>
  <c r="B71" i="19"/>
  <c r="G70" i="19"/>
  <c r="F70" i="19"/>
  <c r="E70" i="19"/>
  <c r="D70" i="19"/>
  <c r="C70" i="19"/>
  <c r="B70" i="19"/>
  <c r="G69" i="19"/>
  <c r="F69" i="19"/>
  <c r="E69" i="19"/>
  <c r="D69" i="19"/>
  <c r="C69" i="19"/>
  <c r="B69" i="19"/>
  <c r="G68" i="19"/>
  <c r="F68" i="19"/>
  <c r="E68" i="19"/>
  <c r="D68" i="19"/>
  <c r="C68" i="19"/>
  <c r="B68" i="19"/>
  <c r="G67" i="19"/>
  <c r="F67" i="19"/>
  <c r="E67" i="19"/>
  <c r="D67" i="19"/>
  <c r="C67" i="19"/>
  <c r="B67" i="19"/>
  <c r="G66" i="19"/>
  <c r="F66" i="19"/>
  <c r="E66" i="19"/>
  <c r="D66" i="19"/>
  <c r="C66" i="19"/>
  <c r="B66" i="19"/>
  <c r="G65" i="19"/>
  <c r="F65" i="19"/>
  <c r="E65" i="19"/>
  <c r="D65" i="19"/>
  <c r="C65" i="19"/>
  <c r="B65" i="19"/>
  <c r="G64" i="19"/>
  <c r="F64" i="19"/>
  <c r="E64" i="19"/>
  <c r="D64" i="19"/>
  <c r="C64" i="19"/>
  <c r="B64" i="19"/>
  <c r="G63" i="19"/>
  <c r="F63" i="19"/>
  <c r="E63" i="19"/>
  <c r="D63" i="19"/>
  <c r="C63" i="19"/>
  <c r="B63" i="19"/>
  <c r="G62" i="19"/>
  <c r="F62" i="19"/>
  <c r="E62" i="19"/>
  <c r="D62" i="19"/>
  <c r="C62" i="19"/>
  <c r="B62" i="19"/>
  <c r="G61" i="19"/>
  <c r="F61" i="19"/>
  <c r="E61" i="19"/>
  <c r="D61" i="19"/>
  <c r="C61" i="19"/>
  <c r="B61" i="19"/>
  <c r="G60" i="19"/>
  <c r="F60" i="19"/>
  <c r="E60" i="19"/>
  <c r="D60" i="19"/>
  <c r="C60" i="19"/>
  <c r="B60" i="19"/>
  <c r="G59" i="19"/>
  <c r="F59" i="19"/>
  <c r="E59" i="19"/>
  <c r="D59" i="19"/>
  <c r="C59" i="19"/>
  <c r="B59" i="19"/>
  <c r="G58" i="19"/>
  <c r="F58" i="19"/>
  <c r="E58" i="19"/>
  <c r="D58" i="19"/>
  <c r="C58" i="19"/>
  <c r="B58" i="19"/>
  <c r="G57" i="19"/>
  <c r="F57" i="19"/>
  <c r="E57" i="19"/>
  <c r="D57" i="19"/>
  <c r="C57" i="19"/>
  <c r="B57" i="19"/>
  <c r="G56" i="19"/>
  <c r="F56" i="19"/>
  <c r="E56" i="19"/>
  <c r="D56" i="19"/>
  <c r="C56" i="19"/>
  <c r="B56" i="19"/>
  <c r="G55" i="19"/>
  <c r="F55" i="19"/>
  <c r="E55" i="19"/>
  <c r="D55" i="19"/>
  <c r="C55" i="19"/>
  <c r="B55" i="19"/>
  <c r="G54" i="19"/>
  <c r="F54" i="19"/>
  <c r="E54" i="19"/>
  <c r="D54" i="19"/>
  <c r="C54" i="19"/>
  <c r="B54" i="19"/>
  <c r="G53" i="19"/>
  <c r="F53" i="19"/>
  <c r="E53" i="19"/>
  <c r="D53" i="19"/>
  <c r="C53" i="19"/>
  <c r="B53" i="19"/>
  <c r="G52" i="19"/>
  <c r="F52" i="19"/>
  <c r="E52" i="19"/>
  <c r="D52" i="19"/>
  <c r="C52" i="19"/>
  <c r="B52" i="19"/>
  <c r="G51" i="19"/>
  <c r="F51" i="19"/>
  <c r="E51" i="19"/>
  <c r="D51" i="19"/>
  <c r="C51" i="19"/>
  <c r="B51" i="19"/>
  <c r="G50" i="19"/>
  <c r="F50" i="19"/>
  <c r="E50" i="19"/>
  <c r="D50" i="19"/>
  <c r="C50" i="19"/>
  <c r="B50" i="19"/>
  <c r="G49" i="19"/>
  <c r="F49" i="19"/>
  <c r="E49" i="19"/>
  <c r="D49" i="19"/>
  <c r="C49" i="19"/>
  <c r="B49" i="19"/>
  <c r="G48" i="19"/>
  <c r="F48" i="19"/>
  <c r="E48" i="19"/>
  <c r="D48" i="19"/>
  <c r="C48" i="19"/>
  <c r="B48" i="19"/>
  <c r="G47" i="19"/>
  <c r="F47" i="19"/>
  <c r="E47" i="19"/>
  <c r="D47" i="19"/>
  <c r="C47" i="19"/>
  <c r="B47" i="19"/>
  <c r="G46" i="19"/>
  <c r="F46" i="19"/>
  <c r="E46" i="19"/>
  <c r="D46" i="19"/>
  <c r="C46" i="19"/>
  <c r="B46" i="19"/>
  <c r="G45" i="19"/>
  <c r="F45" i="19"/>
  <c r="E45" i="19"/>
  <c r="D45" i="19"/>
  <c r="C45" i="19"/>
  <c r="B45" i="19"/>
  <c r="G44" i="19"/>
  <c r="F44" i="19"/>
  <c r="E44" i="19"/>
  <c r="D44" i="19"/>
  <c r="C44" i="19"/>
  <c r="B44" i="19"/>
  <c r="G43" i="19"/>
  <c r="F43" i="19"/>
  <c r="E43" i="19"/>
  <c r="D43" i="19"/>
  <c r="C43" i="19"/>
  <c r="B43" i="19"/>
  <c r="G42" i="19"/>
  <c r="F42" i="19"/>
  <c r="E42" i="19"/>
  <c r="D42" i="19"/>
  <c r="C42" i="19"/>
  <c r="B42" i="19"/>
  <c r="G41" i="19"/>
  <c r="F41" i="19"/>
  <c r="E41" i="19"/>
  <c r="D41" i="19"/>
  <c r="C41" i="19"/>
  <c r="B41" i="19"/>
  <c r="G40" i="19"/>
  <c r="F40" i="19"/>
  <c r="E40" i="19"/>
  <c r="D40" i="19"/>
  <c r="C40" i="19"/>
  <c r="B40" i="19"/>
  <c r="G39" i="19"/>
  <c r="F39" i="19"/>
  <c r="E39" i="19"/>
  <c r="D39" i="19"/>
  <c r="C39" i="19"/>
  <c r="B39" i="19"/>
  <c r="G38" i="19"/>
  <c r="F38" i="19"/>
  <c r="E38" i="19"/>
  <c r="D38" i="19"/>
  <c r="C38" i="19"/>
  <c r="B38" i="19"/>
  <c r="G37" i="19"/>
  <c r="F37" i="19"/>
  <c r="E37" i="19"/>
  <c r="D37" i="19"/>
  <c r="C37" i="19"/>
  <c r="B37" i="19"/>
  <c r="G36" i="19"/>
  <c r="F36" i="19"/>
  <c r="E36" i="19"/>
  <c r="D36" i="19"/>
  <c r="C36" i="19"/>
  <c r="B36" i="19"/>
  <c r="G35" i="19"/>
  <c r="F35" i="19"/>
  <c r="E35" i="19"/>
  <c r="D35" i="19"/>
  <c r="C35" i="19"/>
  <c r="B35" i="19"/>
  <c r="G34" i="19"/>
  <c r="F34" i="19"/>
  <c r="E34" i="19"/>
  <c r="D34" i="19"/>
  <c r="C34" i="19"/>
  <c r="B34" i="19"/>
  <c r="G33" i="19"/>
  <c r="F33" i="19"/>
  <c r="E33" i="19"/>
  <c r="D33" i="19"/>
  <c r="C33" i="19"/>
  <c r="B33" i="19"/>
  <c r="G32" i="19"/>
  <c r="F32" i="19"/>
  <c r="E32" i="19"/>
  <c r="D32" i="19"/>
  <c r="C32" i="19"/>
  <c r="B32" i="19"/>
  <c r="G31" i="19"/>
  <c r="F31" i="19"/>
  <c r="E31" i="19"/>
  <c r="D31" i="19"/>
  <c r="C31" i="19"/>
  <c r="B31" i="19"/>
  <c r="G30" i="19"/>
  <c r="F30" i="19"/>
  <c r="E30" i="19"/>
  <c r="D30" i="19"/>
  <c r="C30" i="19"/>
  <c r="B30" i="19"/>
  <c r="G29" i="19"/>
  <c r="F29" i="19"/>
  <c r="E29" i="19"/>
  <c r="D29" i="19"/>
  <c r="C29" i="19"/>
  <c r="B29" i="19"/>
  <c r="G28" i="19"/>
  <c r="F28" i="19"/>
  <c r="S24" i="2" s="1"/>
  <c r="E28" i="19"/>
  <c r="D28" i="19"/>
  <c r="C28" i="19"/>
  <c r="B28" i="19"/>
  <c r="G27" i="19"/>
  <c r="F27" i="19"/>
  <c r="E27" i="19"/>
  <c r="D27" i="19"/>
  <c r="C27" i="19"/>
  <c r="B27" i="19"/>
  <c r="B18" i="19"/>
  <c r="D14" i="19"/>
  <c r="C14" i="19"/>
  <c r="B14" i="19"/>
  <c r="E10" i="19"/>
  <c r="D10" i="19"/>
  <c r="B10" i="19"/>
  <c r="B7" i="19"/>
  <c r="G278" i="18"/>
  <c r="F278" i="18"/>
  <c r="E278" i="18"/>
  <c r="D278" i="18"/>
  <c r="C278" i="18"/>
  <c r="B278" i="18"/>
  <c r="G277" i="18"/>
  <c r="F277" i="18"/>
  <c r="E277" i="18"/>
  <c r="D277" i="18"/>
  <c r="C277" i="18"/>
  <c r="B277" i="18"/>
  <c r="G276" i="18"/>
  <c r="F276" i="18"/>
  <c r="E276" i="18"/>
  <c r="D276" i="18"/>
  <c r="C276" i="18"/>
  <c r="B276" i="18"/>
  <c r="G275" i="18"/>
  <c r="F275" i="18"/>
  <c r="E275" i="18"/>
  <c r="D275" i="18"/>
  <c r="C275" i="18"/>
  <c r="B275" i="18"/>
  <c r="G274" i="18"/>
  <c r="F274" i="18"/>
  <c r="E274" i="18"/>
  <c r="D274" i="18"/>
  <c r="C274" i="18"/>
  <c r="B274" i="18"/>
  <c r="G273" i="18"/>
  <c r="F273" i="18"/>
  <c r="E273" i="18"/>
  <c r="D273" i="18"/>
  <c r="C273" i="18"/>
  <c r="B273" i="18"/>
  <c r="G272" i="18"/>
  <c r="F272" i="18"/>
  <c r="E272" i="18"/>
  <c r="D272" i="18"/>
  <c r="C272" i="18"/>
  <c r="B272" i="18"/>
  <c r="G271" i="18"/>
  <c r="F271" i="18"/>
  <c r="E271" i="18"/>
  <c r="D271" i="18"/>
  <c r="C271" i="18"/>
  <c r="B271" i="18"/>
  <c r="G270" i="18"/>
  <c r="F270" i="18"/>
  <c r="E270" i="18"/>
  <c r="D270" i="18"/>
  <c r="C270" i="18"/>
  <c r="B270" i="18"/>
  <c r="G269" i="18"/>
  <c r="F269" i="18"/>
  <c r="E269" i="18"/>
  <c r="D269" i="18"/>
  <c r="C269" i="18"/>
  <c r="B269" i="18"/>
  <c r="G268" i="18"/>
  <c r="F268" i="18"/>
  <c r="E268" i="18"/>
  <c r="D268" i="18"/>
  <c r="C268" i="18"/>
  <c r="B268" i="18"/>
  <c r="G267" i="18"/>
  <c r="F267" i="18"/>
  <c r="E267" i="18"/>
  <c r="D267" i="18"/>
  <c r="C267" i="18"/>
  <c r="B267" i="18"/>
  <c r="G266" i="18"/>
  <c r="F266" i="18"/>
  <c r="E266" i="18"/>
  <c r="D266" i="18"/>
  <c r="C266" i="18"/>
  <c r="B266" i="18"/>
  <c r="G265" i="18"/>
  <c r="F265" i="18"/>
  <c r="E265" i="18"/>
  <c r="D265" i="18"/>
  <c r="C265" i="18"/>
  <c r="B265" i="18"/>
  <c r="G264" i="18"/>
  <c r="F264" i="18"/>
  <c r="E264" i="18"/>
  <c r="D264" i="18"/>
  <c r="C264" i="18"/>
  <c r="B264" i="18"/>
  <c r="G263" i="18"/>
  <c r="F263" i="18"/>
  <c r="E263" i="18"/>
  <c r="D263" i="18"/>
  <c r="C263" i="18"/>
  <c r="B263" i="18"/>
  <c r="G262" i="18"/>
  <c r="F262" i="18"/>
  <c r="E262" i="18"/>
  <c r="D262" i="18"/>
  <c r="C262" i="18"/>
  <c r="B262" i="18"/>
  <c r="G261" i="18"/>
  <c r="F261" i="18"/>
  <c r="E261" i="18"/>
  <c r="D261" i="18"/>
  <c r="C261" i="18"/>
  <c r="B261" i="18"/>
  <c r="G260" i="18"/>
  <c r="F260" i="18"/>
  <c r="E260" i="18"/>
  <c r="D260" i="18"/>
  <c r="C260" i="18"/>
  <c r="B260" i="18"/>
  <c r="G259" i="18"/>
  <c r="F259" i="18"/>
  <c r="E259" i="18"/>
  <c r="D259" i="18"/>
  <c r="C259" i="18"/>
  <c r="B259" i="18"/>
  <c r="G258" i="18"/>
  <c r="F258" i="18"/>
  <c r="E258" i="18"/>
  <c r="D258" i="18"/>
  <c r="C258" i="18"/>
  <c r="B258" i="18"/>
  <c r="G257" i="18"/>
  <c r="F257" i="18"/>
  <c r="E257" i="18"/>
  <c r="D257" i="18"/>
  <c r="C257" i="18"/>
  <c r="B257" i="18"/>
  <c r="G256" i="18"/>
  <c r="F256" i="18"/>
  <c r="P37" i="2" s="1"/>
  <c r="E256" i="18"/>
  <c r="D256" i="18"/>
  <c r="C256" i="18"/>
  <c r="B256" i="18"/>
  <c r="G255" i="18"/>
  <c r="F255" i="18"/>
  <c r="E255" i="18"/>
  <c r="D255" i="18"/>
  <c r="C255" i="18"/>
  <c r="B255" i="18"/>
  <c r="G254" i="18"/>
  <c r="F254" i="18"/>
  <c r="E254" i="18"/>
  <c r="D254" i="18"/>
  <c r="C254" i="18"/>
  <c r="B254" i="18"/>
  <c r="G253" i="18"/>
  <c r="F253" i="18"/>
  <c r="E253" i="18"/>
  <c r="D253" i="18"/>
  <c r="C253" i="18"/>
  <c r="B253" i="18"/>
  <c r="G252" i="18"/>
  <c r="F252" i="18"/>
  <c r="E252" i="18"/>
  <c r="D252" i="18"/>
  <c r="C252" i="18"/>
  <c r="B252" i="18"/>
  <c r="G251" i="18"/>
  <c r="F251" i="18"/>
  <c r="E251" i="18"/>
  <c r="D251" i="18"/>
  <c r="C251" i="18"/>
  <c r="B251" i="18"/>
  <c r="G250" i="18"/>
  <c r="F250" i="18"/>
  <c r="E250" i="18"/>
  <c r="D250" i="18"/>
  <c r="C250" i="18"/>
  <c r="B250" i="18"/>
  <c r="G249" i="18"/>
  <c r="F249" i="18"/>
  <c r="E249" i="18"/>
  <c r="D249" i="18"/>
  <c r="C249" i="18"/>
  <c r="B249" i="18"/>
  <c r="G248" i="18"/>
  <c r="F248" i="18"/>
  <c r="E248" i="18"/>
  <c r="D248" i="18"/>
  <c r="C248" i="18"/>
  <c r="B248" i="18"/>
  <c r="G247" i="18"/>
  <c r="F247" i="18"/>
  <c r="E247" i="18"/>
  <c r="D247" i="18"/>
  <c r="C247" i="18"/>
  <c r="B247" i="18"/>
  <c r="G246" i="18"/>
  <c r="F246" i="18"/>
  <c r="E246" i="18"/>
  <c r="D246" i="18"/>
  <c r="C246" i="18"/>
  <c r="B246" i="18"/>
  <c r="G245" i="18"/>
  <c r="F245" i="18"/>
  <c r="E245" i="18"/>
  <c r="D245" i="18"/>
  <c r="C245" i="18"/>
  <c r="B245" i="18"/>
  <c r="G244" i="18"/>
  <c r="F244" i="18"/>
  <c r="E244" i="18"/>
  <c r="D244" i="18"/>
  <c r="C244" i="18"/>
  <c r="B244" i="18"/>
  <c r="G243" i="18"/>
  <c r="F243" i="18"/>
  <c r="E243" i="18"/>
  <c r="D243" i="18"/>
  <c r="C243" i="18"/>
  <c r="B243" i="18"/>
  <c r="G242" i="18"/>
  <c r="F242" i="18"/>
  <c r="E242" i="18"/>
  <c r="D242" i="18"/>
  <c r="C242" i="18"/>
  <c r="B242" i="18"/>
  <c r="G241" i="18"/>
  <c r="F241" i="18"/>
  <c r="E241" i="18"/>
  <c r="D241" i="18"/>
  <c r="C241" i="18"/>
  <c r="B241" i="18"/>
  <c r="G240" i="18"/>
  <c r="F240" i="18"/>
  <c r="E240" i="18"/>
  <c r="D240" i="18"/>
  <c r="C240" i="18"/>
  <c r="B240" i="18"/>
  <c r="G239" i="18"/>
  <c r="F239" i="18"/>
  <c r="E239" i="18"/>
  <c r="D239" i="18"/>
  <c r="C239" i="18"/>
  <c r="B239" i="18"/>
  <c r="G238" i="18"/>
  <c r="F238" i="18"/>
  <c r="E238" i="18"/>
  <c r="D238" i="18"/>
  <c r="C238" i="18"/>
  <c r="B238" i="18"/>
  <c r="G237" i="18"/>
  <c r="F237" i="18"/>
  <c r="E237" i="18"/>
  <c r="D237" i="18"/>
  <c r="C237" i="18"/>
  <c r="B237" i="18"/>
  <c r="G236" i="18"/>
  <c r="F236" i="18"/>
  <c r="E236" i="18"/>
  <c r="D236" i="18"/>
  <c r="C236" i="18"/>
  <c r="B236" i="18"/>
  <c r="G235" i="18"/>
  <c r="F235" i="18"/>
  <c r="E235" i="18"/>
  <c r="D235" i="18"/>
  <c r="C235" i="18"/>
  <c r="B235" i="18"/>
  <c r="G234" i="18"/>
  <c r="F234" i="18"/>
  <c r="E234" i="18"/>
  <c r="D234" i="18"/>
  <c r="C234" i="18"/>
  <c r="B234" i="18"/>
  <c r="G233" i="18"/>
  <c r="F233" i="18"/>
  <c r="E233" i="18"/>
  <c r="D233" i="18"/>
  <c r="C233" i="18"/>
  <c r="B233" i="18"/>
  <c r="G232" i="18"/>
  <c r="F232" i="18"/>
  <c r="E232" i="18"/>
  <c r="D232" i="18"/>
  <c r="C232" i="18"/>
  <c r="B232" i="18"/>
  <c r="G231" i="18"/>
  <c r="F231" i="18"/>
  <c r="E231" i="18"/>
  <c r="D231" i="18"/>
  <c r="C231" i="18"/>
  <c r="B231" i="18"/>
  <c r="G230" i="18"/>
  <c r="F230" i="18"/>
  <c r="E230" i="18"/>
  <c r="D230" i="18"/>
  <c r="C230" i="18"/>
  <c r="B230" i="18"/>
  <c r="G229" i="18"/>
  <c r="F229" i="18"/>
  <c r="E229" i="18"/>
  <c r="D229" i="18"/>
  <c r="C229" i="18"/>
  <c r="B229" i="18"/>
  <c r="G228" i="18"/>
  <c r="F228" i="18"/>
  <c r="E228" i="18"/>
  <c r="D228" i="18"/>
  <c r="C228" i="18"/>
  <c r="B228" i="18"/>
  <c r="G227" i="18"/>
  <c r="F227" i="18"/>
  <c r="E227" i="18"/>
  <c r="D227" i="18"/>
  <c r="C227" i="18"/>
  <c r="B227" i="18"/>
  <c r="G226" i="18"/>
  <c r="F226" i="18"/>
  <c r="E226" i="18"/>
  <c r="D226" i="18"/>
  <c r="C226" i="18"/>
  <c r="B226" i="18"/>
  <c r="G225" i="18"/>
  <c r="F225" i="18"/>
  <c r="E225" i="18"/>
  <c r="D225" i="18"/>
  <c r="C225" i="18"/>
  <c r="B225" i="18"/>
  <c r="G224" i="18"/>
  <c r="F224" i="18"/>
  <c r="E224" i="18"/>
  <c r="D224" i="18"/>
  <c r="C224" i="18"/>
  <c r="B224" i="18"/>
  <c r="G223" i="18"/>
  <c r="F223" i="18"/>
  <c r="E223" i="18"/>
  <c r="D223" i="18"/>
  <c r="C223" i="18"/>
  <c r="B223" i="18"/>
  <c r="G222" i="18"/>
  <c r="F222" i="18"/>
  <c r="E222" i="18"/>
  <c r="D222" i="18"/>
  <c r="C222" i="18"/>
  <c r="B222" i="18"/>
  <c r="G221" i="18"/>
  <c r="F221" i="18"/>
  <c r="E221" i="18"/>
  <c r="D221" i="18"/>
  <c r="C221" i="18"/>
  <c r="B221" i="18"/>
  <c r="G220" i="18"/>
  <c r="F220" i="18"/>
  <c r="E220" i="18"/>
  <c r="D220" i="18"/>
  <c r="C220" i="18"/>
  <c r="B220" i="18"/>
  <c r="G219" i="18"/>
  <c r="F219" i="18"/>
  <c r="E219" i="18"/>
  <c r="D219" i="18"/>
  <c r="C219" i="18"/>
  <c r="B219" i="18"/>
  <c r="G218" i="18"/>
  <c r="F218" i="18"/>
  <c r="E218" i="18"/>
  <c r="D218" i="18"/>
  <c r="C218" i="18"/>
  <c r="B218" i="18"/>
  <c r="G217" i="18"/>
  <c r="F217" i="18"/>
  <c r="E217" i="18"/>
  <c r="D217" i="18"/>
  <c r="C217" i="18"/>
  <c r="B217" i="18"/>
  <c r="G216" i="18"/>
  <c r="F216" i="18"/>
  <c r="E216" i="18"/>
  <c r="D216" i="18"/>
  <c r="C216" i="18"/>
  <c r="B216" i="18"/>
  <c r="G215" i="18"/>
  <c r="F215" i="18"/>
  <c r="E215" i="18"/>
  <c r="D215" i="18"/>
  <c r="C215" i="18"/>
  <c r="B215" i="18"/>
  <c r="G214" i="18"/>
  <c r="F214" i="18"/>
  <c r="Q23" i="2" s="1"/>
  <c r="E214" i="18"/>
  <c r="D214" i="18"/>
  <c r="C214" i="18"/>
  <c r="B214" i="18"/>
  <c r="G213" i="18"/>
  <c r="F213" i="18"/>
  <c r="E213" i="18"/>
  <c r="D213" i="18"/>
  <c r="C213" i="18"/>
  <c r="B213" i="18"/>
  <c r="G212" i="18"/>
  <c r="F212" i="18"/>
  <c r="E212" i="18"/>
  <c r="D212" i="18"/>
  <c r="C212" i="18"/>
  <c r="B212" i="18"/>
  <c r="G211" i="18"/>
  <c r="F211" i="18"/>
  <c r="E211" i="18"/>
  <c r="D211" i="18"/>
  <c r="C211" i="18"/>
  <c r="B211" i="18"/>
  <c r="G210" i="18"/>
  <c r="F210" i="18"/>
  <c r="E210" i="18"/>
  <c r="D210" i="18"/>
  <c r="C210" i="18"/>
  <c r="B210" i="18"/>
  <c r="G209" i="18"/>
  <c r="F209" i="18"/>
  <c r="E209" i="18"/>
  <c r="D209" i="18"/>
  <c r="C209" i="18"/>
  <c r="B209" i="18"/>
  <c r="G208" i="18"/>
  <c r="F208" i="18"/>
  <c r="E208" i="18"/>
  <c r="D208" i="18"/>
  <c r="C208" i="18"/>
  <c r="B208" i="18"/>
  <c r="G207" i="18"/>
  <c r="F207" i="18"/>
  <c r="E207" i="18"/>
  <c r="D207" i="18"/>
  <c r="C207" i="18"/>
  <c r="B207" i="18"/>
  <c r="G206" i="18"/>
  <c r="F206" i="18"/>
  <c r="E206" i="18"/>
  <c r="D206" i="18"/>
  <c r="C206" i="18"/>
  <c r="B206" i="18"/>
  <c r="G205" i="18"/>
  <c r="F205" i="18"/>
  <c r="E205" i="18"/>
  <c r="D205" i="18"/>
  <c r="C205" i="18"/>
  <c r="B205" i="18"/>
  <c r="G204" i="18"/>
  <c r="F204" i="18"/>
  <c r="E204" i="18"/>
  <c r="D204" i="18"/>
  <c r="C204" i="18"/>
  <c r="B204" i="18"/>
  <c r="G203" i="18"/>
  <c r="F203" i="18"/>
  <c r="E203" i="18"/>
  <c r="D203" i="18"/>
  <c r="C203" i="18"/>
  <c r="B203" i="18"/>
  <c r="G202" i="18"/>
  <c r="F202" i="18"/>
  <c r="E202" i="18"/>
  <c r="D202" i="18"/>
  <c r="C202" i="18"/>
  <c r="B202" i="18"/>
  <c r="G201" i="18"/>
  <c r="F201" i="18"/>
  <c r="E201" i="18"/>
  <c r="D201" i="18"/>
  <c r="C201" i="18"/>
  <c r="B201" i="18"/>
  <c r="G200" i="18"/>
  <c r="F200" i="18"/>
  <c r="E200" i="18"/>
  <c r="D200" i="18"/>
  <c r="C200" i="18"/>
  <c r="B200" i="18"/>
  <c r="G199" i="18"/>
  <c r="F199" i="18"/>
  <c r="E199" i="18"/>
  <c r="D199" i="18"/>
  <c r="C199" i="18"/>
  <c r="B199" i="18"/>
  <c r="G198" i="18"/>
  <c r="F198" i="18"/>
  <c r="E198" i="18"/>
  <c r="D198" i="18"/>
  <c r="C198" i="18"/>
  <c r="B198" i="18"/>
  <c r="G197" i="18"/>
  <c r="F197" i="18"/>
  <c r="E197" i="18"/>
  <c r="D197" i="18"/>
  <c r="C197" i="18"/>
  <c r="B197" i="18"/>
  <c r="G196" i="18"/>
  <c r="F196" i="18"/>
  <c r="E196" i="18"/>
  <c r="D196" i="18"/>
  <c r="C196" i="18"/>
  <c r="B196" i="18"/>
  <c r="G195" i="18"/>
  <c r="F195" i="18"/>
  <c r="E195" i="18"/>
  <c r="D195" i="18"/>
  <c r="C195" i="18"/>
  <c r="B195" i="18"/>
  <c r="G194" i="18"/>
  <c r="F194" i="18"/>
  <c r="E194" i="18"/>
  <c r="D194" i="18"/>
  <c r="C194" i="18"/>
  <c r="B194" i="18"/>
  <c r="G193" i="18"/>
  <c r="F193" i="18"/>
  <c r="E193" i="18"/>
  <c r="D193" i="18"/>
  <c r="C193" i="18"/>
  <c r="B193" i="18"/>
  <c r="G192" i="18"/>
  <c r="F192" i="18"/>
  <c r="E192" i="18"/>
  <c r="D192" i="18"/>
  <c r="C192" i="18"/>
  <c r="B192" i="18"/>
  <c r="G191" i="18"/>
  <c r="F191" i="18"/>
  <c r="E191" i="18"/>
  <c r="D191" i="18"/>
  <c r="C191" i="18"/>
  <c r="B191" i="18"/>
  <c r="G190" i="18"/>
  <c r="F190" i="18"/>
  <c r="E190" i="18"/>
  <c r="D190" i="18"/>
  <c r="C190" i="18"/>
  <c r="B190" i="18"/>
  <c r="G189" i="18"/>
  <c r="F189" i="18"/>
  <c r="E189" i="18"/>
  <c r="D189" i="18"/>
  <c r="C189" i="18"/>
  <c r="B189" i="18"/>
  <c r="G188" i="18"/>
  <c r="F188" i="18"/>
  <c r="E188" i="18"/>
  <c r="D188" i="18"/>
  <c r="C188" i="18"/>
  <c r="B188" i="18"/>
  <c r="G187" i="18"/>
  <c r="F187" i="18"/>
  <c r="E187" i="18"/>
  <c r="D187" i="18"/>
  <c r="C187" i="18"/>
  <c r="B187" i="18"/>
  <c r="G186" i="18"/>
  <c r="F186" i="18"/>
  <c r="E186" i="18"/>
  <c r="D186" i="18"/>
  <c r="C186" i="18"/>
  <c r="B186" i="18"/>
  <c r="G185" i="18"/>
  <c r="F185" i="18"/>
  <c r="E185" i="18"/>
  <c r="D185" i="18"/>
  <c r="C185" i="18"/>
  <c r="B185" i="18"/>
  <c r="G184" i="18"/>
  <c r="F184" i="18"/>
  <c r="E184" i="18"/>
  <c r="D184" i="18"/>
  <c r="C184" i="18"/>
  <c r="B184" i="18"/>
  <c r="G183" i="18"/>
  <c r="F183" i="18"/>
  <c r="E183" i="18"/>
  <c r="D183" i="18"/>
  <c r="C183" i="18"/>
  <c r="B183" i="18"/>
  <c r="G182" i="18"/>
  <c r="F182" i="18"/>
  <c r="E182" i="18"/>
  <c r="D182" i="18"/>
  <c r="C182" i="18"/>
  <c r="B182" i="18"/>
  <c r="G181" i="18"/>
  <c r="F181" i="18"/>
  <c r="E181" i="18"/>
  <c r="D181" i="18"/>
  <c r="C181" i="18"/>
  <c r="B181" i="18"/>
  <c r="G180" i="18"/>
  <c r="F180" i="18"/>
  <c r="E180" i="18"/>
  <c r="D180" i="18"/>
  <c r="C180" i="18"/>
  <c r="B180" i="18"/>
  <c r="G179" i="18"/>
  <c r="F179" i="18"/>
  <c r="E179" i="18"/>
  <c r="D179" i="18"/>
  <c r="C179" i="18"/>
  <c r="B179" i="18"/>
  <c r="G178" i="18"/>
  <c r="F178" i="18"/>
  <c r="E178" i="18"/>
  <c r="D178" i="18"/>
  <c r="C178" i="18"/>
  <c r="B178" i="18"/>
  <c r="G177" i="18"/>
  <c r="F177" i="18"/>
  <c r="E177" i="18"/>
  <c r="D177" i="18"/>
  <c r="C177" i="18"/>
  <c r="B177" i="18"/>
  <c r="G176" i="18"/>
  <c r="F176" i="18"/>
  <c r="E176" i="18"/>
  <c r="D176" i="18"/>
  <c r="C176" i="18"/>
  <c r="B176" i="18"/>
  <c r="G175" i="18"/>
  <c r="F175" i="18"/>
  <c r="E175" i="18"/>
  <c r="D175" i="18"/>
  <c r="C175" i="18"/>
  <c r="B175" i="18"/>
  <c r="G174" i="18"/>
  <c r="F174" i="18"/>
  <c r="E174" i="18"/>
  <c r="D174" i="18"/>
  <c r="C174" i="18"/>
  <c r="B174" i="18"/>
  <c r="G173" i="18"/>
  <c r="F173" i="18"/>
  <c r="E173" i="18"/>
  <c r="D173" i="18"/>
  <c r="C173" i="18"/>
  <c r="B173" i="18"/>
  <c r="G172" i="18"/>
  <c r="F172" i="18"/>
  <c r="E172" i="18"/>
  <c r="D172" i="18"/>
  <c r="C172" i="18"/>
  <c r="B172" i="18"/>
  <c r="G171" i="18"/>
  <c r="F171" i="18"/>
  <c r="E171" i="18"/>
  <c r="D171" i="18"/>
  <c r="C171" i="18"/>
  <c r="B171" i="18"/>
  <c r="G170" i="18"/>
  <c r="F170" i="18"/>
  <c r="E170" i="18"/>
  <c r="D170" i="18"/>
  <c r="C170" i="18"/>
  <c r="B170" i="18"/>
  <c r="G169" i="18"/>
  <c r="F169" i="18"/>
  <c r="E169" i="18"/>
  <c r="D169" i="18"/>
  <c r="C169" i="18"/>
  <c r="B169" i="18"/>
  <c r="G168" i="18"/>
  <c r="F168" i="18"/>
  <c r="E168" i="18"/>
  <c r="D168" i="18"/>
  <c r="C168" i="18"/>
  <c r="B168" i="18"/>
  <c r="G167" i="18"/>
  <c r="F167" i="18"/>
  <c r="E167" i="18"/>
  <c r="D167" i="18"/>
  <c r="C167" i="18"/>
  <c r="B167" i="18"/>
  <c r="G166" i="18"/>
  <c r="F166" i="18"/>
  <c r="E166" i="18"/>
  <c r="D166" i="18"/>
  <c r="C166" i="18"/>
  <c r="B166" i="18"/>
  <c r="G165" i="18"/>
  <c r="F165" i="18"/>
  <c r="E165" i="18"/>
  <c r="D165" i="18"/>
  <c r="C165" i="18"/>
  <c r="B165" i="18"/>
  <c r="G164" i="18"/>
  <c r="F164" i="18"/>
  <c r="E164" i="18"/>
  <c r="D164" i="18"/>
  <c r="C164" i="18"/>
  <c r="B164" i="18"/>
  <c r="G163" i="18"/>
  <c r="F163" i="18"/>
  <c r="E163" i="18"/>
  <c r="D163" i="18"/>
  <c r="C163" i="18"/>
  <c r="B163" i="18"/>
  <c r="G162" i="18"/>
  <c r="F162" i="18"/>
  <c r="E162" i="18"/>
  <c r="D162" i="18"/>
  <c r="C162" i="18"/>
  <c r="B162" i="18"/>
  <c r="G161" i="18"/>
  <c r="F161" i="18"/>
  <c r="E161" i="18"/>
  <c r="D161" i="18"/>
  <c r="C161" i="18"/>
  <c r="B161" i="18"/>
  <c r="G160" i="18"/>
  <c r="F160" i="18"/>
  <c r="E160" i="18"/>
  <c r="D160" i="18"/>
  <c r="C160" i="18"/>
  <c r="B160" i="18"/>
  <c r="G159" i="18"/>
  <c r="F159" i="18"/>
  <c r="E159" i="18"/>
  <c r="D159" i="18"/>
  <c r="C159" i="18"/>
  <c r="B159" i="18"/>
  <c r="G158" i="18"/>
  <c r="F158" i="18"/>
  <c r="E158" i="18"/>
  <c r="D158" i="18"/>
  <c r="C158" i="18"/>
  <c r="B158" i="18"/>
  <c r="G157" i="18"/>
  <c r="F157" i="18"/>
  <c r="E157" i="18"/>
  <c r="D157" i="18"/>
  <c r="C157" i="18"/>
  <c r="B157" i="18"/>
  <c r="G156" i="18"/>
  <c r="F156" i="18"/>
  <c r="E156" i="18"/>
  <c r="D156" i="18"/>
  <c r="C156" i="18"/>
  <c r="B156" i="18"/>
  <c r="G155" i="18"/>
  <c r="F155" i="18"/>
  <c r="E155" i="18"/>
  <c r="D155" i="18"/>
  <c r="C155" i="18"/>
  <c r="B155" i="18"/>
  <c r="G154" i="18"/>
  <c r="F154" i="18"/>
  <c r="E154" i="18"/>
  <c r="D154" i="18"/>
  <c r="C154" i="18"/>
  <c r="B154" i="18"/>
  <c r="G153" i="18"/>
  <c r="F153" i="18"/>
  <c r="E153" i="18"/>
  <c r="D153" i="18"/>
  <c r="C153" i="18"/>
  <c r="B153" i="18"/>
  <c r="G152" i="18"/>
  <c r="F152" i="18"/>
  <c r="E152" i="18"/>
  <c r="D152" i="18"/>
  <c r="C152" i="18"/>
  <c r="B152" i="18"/>
  <c r="G151" i="18"/>
  <c r="F151" i="18"/>
  <c r="E151" i="18"/>
  <c r="D151" i="18"/>
  <c r="C151" i="18"/>
  <c r="B151" i="18"/>
  <c r="G150" i="18"/>
  <c r="F150" i="18"/>
  <c r="E150" i="18"/>
  <c r="D150" i="18"/>
  <c r="C150" i="18"/>
  <c r="B150" i="18"/>
  <c r="G149" i="18"/>
  <c r="F149" i="18"/>
  <c r="E149" i="18"/>
  <c r="D149" i="18"/>
  <c r="C149" i="18"/>
  <c r="B149" i="18"/>
  <c r="G148" i="18"/>
  <c r="F148" i="18"/>
  <c r="E148" i="18"/>
  <c r="D148" i="18"/>
  <c r="C148" i="18"/>
  <c r="B148" i="18"/>
  <c r="G147" i="18"/>
  <c r="F147" i="18"/>
  <c r="E147" i="18"/>
  <c r="D147" i="18"/>
  <c r="C147" i="18"/>
  <c r="B147" i="18"/>
  <c r="G146" i="18"/>
  <c r="F146" i="18"/>
  <c r="E146" i="18"/>
  <c r="D146" i="18"/>
  <c r="C146" i="18"/>
  <c r="B146" i="18"/>
  <c r="G145" i="18"/>
  <c r="F145" i="18"/>
  <c r="E145" i="18"/>
  <c r="D145" i="18"/>
  <c r="C145" i="18"/>
  <c r="B145" i="18"/>
  <c r="G144" i="18"/>
  <c r="F144" i="18"/>
  <c r="E144" i="18"/>
  <c r="D144" i="18"/>
  <c r="C144" i="18"/>
  <c r="B144" i="18"/>
  <c r="G143" i="18"/>
  <c r="F143" i="18"/>
  <c r="E143" i="18"/>
  <c r="D143" i="18"/>
  <c r="C143" i="18"/>
  <c r="B143" i="18"/>
  <c r="G142" i="18"/>
  <c r="F142" i="18"/>
  <c r="E142" i="18"/>
  <c r="D142" i="18"/>
  <c r="C142" i="18"/>
  <c r="B142" i="18"/>
  <c r="G141" i="18"/>
  <c r="F141" i="18"/>
  <c r="E141" i="18"/>
  <c r="D141" i="18"/>
  <c r="C141" i="18"/>
  <c r="B141" i="18"/>
  <c r="G140" i="18"/>
  <c r="F140" i="18"/>
  <c r="E140" i="18"/>
  <c r="D140" i="18"/>
  <c r="C140" i="18"/>
  <c r="B140" i="18"/>
  <c r="G139" i="18"/>
  <c r="F139" i="18"/>
  <c r="E139" i="18"/>
  <c r="D139" i="18"/>
  <c r="C139" i="18"/>
  <c r="B139" i="18"/>
  <c r="G138" i="18"/>
  <c r="F138" i="18"/>
  <c r="E138" i="18"/>
  <c r="D138" i="18"/>
  <c r="C138" i="18"/>
  <c r="B138" i="18"/>
  <c r="G137" i="18"/>
  <c r="F137" i="18"/>
  <c r="E137" i="18"/>
  <c r="D137" i="18"/>
  <c r="C137" i="18"/>
  <c r="B137" i="18"/>
  <c r="G136" i="18"/>
  <c r="F136" i="18"/>
  <c r="E136" i="18"/>
  <c r="D136" i="18"/>
  <c r="C136" i="18"/>
  <c r="B136" i="18"/>
  <c r="G135" i="18"/>
  <c r="F135" i="18"/>
  <c r="E135" i="18"/>
  <c r="D135" i="18"/>
  <c r="C135" i="18"/>
  <c r="B135" i="18"/>
  <c r="G134" i="18"/>
  <c r="F134" i="18"/>
  <c r="E134" i="18"/>
  <c r="D134" i="18"/>
  <c r="C134" i="18"/>
  <c r="B134" i="18"/>
  <c r="G133" i="18"/>
  <c r="F133" i="18"/>
  <c r="E133" i="18"/>
  <c r="D133" i="18"/>
  <c r="C133" i="18"/>
  <c r="B133" i="18"/>
  <c r="G132" i="18"/>
  <c r="F132" i="18"/>
  <c r="E132" i="18"/>
  <c r="D132" i="18"/>
  <c r="C132" i="18"/>
  <c r="B132" i="18"/>
  <c r="G131" i="18"/>
  <c r="F131" i="18"/>
  <c r="E131" i="18"/>
  <c r="D131" i="18"/>
  <c r="C131" i="18"/>
  <c r="B131" i="18"/>
  <c r="G130" i="18"/>
  <c r="F130" i="18"/>
  <c r="E130" i="18"/>
  <c r="D130" i="18"/>
  <c r="C130" i="18"/>
  <c r="B130" i="18"/>
  <c r="G129" i="18"/>
  <c r="F129" i="18"/>
  <c r="E129" i="18"/>
  <c r="D129" i="18"/>
  <c r="C129" i="18"/>
  <c r="B129" i="18"/>
  <c r="G128" i="18"/>
  <c r="F128" i="18"/>
  <c r="E128" i="18"/>
  <c r="D128" i="18"/>
  <c r="C128" i="18"/>
  <c r="B128" i="18"/>
  <c r="G127" i="18"/>
  <c r="F127" i="18"/>
  <c r="E127" i="18"/>
  <c r="D127" i="18"/>
  <c r="C127" i="18"/>
  <c r="B127" i="18"/>
  <c r="G126" i="18"/>
  <c r="F126" i="18"/>
  <c r="E126" i="18"/>
  <c r="D126" i="18"/>
  <c r="C126" i="18"/>
  <c r="B126" i="18"/>
  <c r="G125" i="18"/>
  <c r="F125" i="18"/>
  <c r="E125" i="18"/>
  <c r="D125" i="18"/>
  <c r="C125" i="18"/>
  <c r="B125" i="18"/>
  <c r="G124" i="18"/>
  <c r="F124" i="18"/>
  <c r="E124" i="18"/>
  <c r="D124" i="18"/>
  <c r="C124" i="18"/>
  <c r="B124" i="18"/>
  <c r="G123" i="18"/>
  <c r="F123" i="18"/>
  <c r="E123" i="18"/>
  <c r="D123" i="18"/>
  <c r="C123" i="18"/>
  <c r="B123" i="18"/>
  <c r="G122" i="18"/>
  <c r="F122" i="18"/>
  <c r="E122" i="18"/>
  <c r="D122" i="18"/>
  <c r="C122" i="18"/>
  <c r="B122" i="18"/>
  <c r="G121" i="18"/>
  <c r="F121" i="18"/>
  <c r="E121" i="18"/>
  <c r="D121" i="18"/>
  <c r="C121" i="18"/>
  <c r="B121" i="18"/>
  <c r="G120" i="18"/>
  <c r="F120" i="18"/>
  <c r="E120" i="18"/>
  <c r="D120" i="18"/>
  <c r="C120" i="18"/>
  <c r="B120" i="18"/>
  <c r="G119" i="18"/>
  <c r="F119" i="18"/>
  <c r="E119" i="18"/>
  <c r="D119" i="18"/>
  <c r="C119" i="18"/>
  <c r="B119" i="18"/>
  <c r="G118" i="18"/>
  <c r="F118" i="18"/>
  <c r="E118" i="18"/>
  <c r="D118" i="18"/>
  <c r="C118" i="18"/>
  <c r="B118" i="18"/>
  <c r="G117" i="18"/>
  <c r="F117" i="18"/>
  <c r="E117" i="18"/>
  <c r="D117" i="18"/>
  <c r="C117" i="18"/>
  <c r="B117" i="18"/>
  <c r="G116" i="18"/>
  <c r="F116" i="18"/>
  <c r="E116" i="18"/>
  <c r="D116" i="18"/>
  <c r="C116" i="18"/>
  <c r="B116" i="18"/>
  <c r="G115" i="18"/>
  <c r="F115" i="18"/>
  <c r="E115" i="18"/>
  <c r="D115" i="18"/>
  <c r="C115" i="18"/>
  <c r="B115" i="18"/>
  <c r="G114" i="18"/>
  <c r="F114" i="18"/>
  <c r="E114" i="18"/>
  <c r="D114" i="18"/>
  <c r="C114" i="18"/>
  <c r="B114" i="18"/>
  <c r="G113" i="18"/>
  <c r="F113" i="18"/>
  <c r="E113" i="18"/>
  <c r="D113" i="18"/>
  <c r="C113" i="18"/>
  <c r="B113" i="18"/>
  <c r="G112" i="18"/>
  <c r="F112" i="18"/>
  <c r="E112" i="18"/>
  <c r="D112" i="18"/>
  <c r="C112" i="18"/>
  <c r="B112" i="18"/>
  <c r="G111" i="18"/>
  <c r="F111" i="18"/>
  <c r="E111" i="18"/>
  <c r="D111" i="18"/>
  <c r="C111" i="18"/>
  <c r="B111" i="18"/>
  <c r="G110" i="18"/>
  <c r="F110" i="18"/>
  <c r="E110" i="18"/>
  <c r="D110" i="18"/>
  <c r="C110" i="18"/>
  <c r="B110" i="18"/>
  <c r="G109" i="18"/>
  <c r="F109" i="18"/>
  <c r="E109" i="18"/>
  <c r="D109" i="18"/>
  <c r="C109" i="18"/>
  <c r="B109" i="18"/>
  <c r="G108" i="18"/>
  <c r="F108" i="18"/>
  <c r="E108" i="18"/>
  <c r="D108" i="18"/>
  <c r="C108" i="18"/>
  <c r="B108" i="18"/>
  <c r="G107" i="18"/>
  <c r="F107" i="18"/>
  <c r="E107" i="18"/>
  <c r="D107" i="18"/>
  <c r="C107" i="18"/>
  <c r="B107" i="18"/>
  <c r="G106" i="18"/>
  <c r="F106" i="18"/>
  <c r="E106" i="18"/>
  <c r="D106" i="18"/>
  <c r="C106" i="18"/>
  <c r="B106" i="18"/>
  <c r="G105" i="18"/>
  <c r="F105" i="18"/>
  <c r="E105" i="18"/>
  <c r="D105" i="18"/>
  <c r="C105" i="18"/>
  <c r="B105" i="18"/>
  <c r="G104" i="18"/>
  <c r="F104" i="18"/>
  <c r="E104" i="18"/>
  <c r="D104" i="18"/>
  <c r="C104" i="18"/>
  <c r="B104" i="18"/>
  <c r="G103" i="18"/>
  <c r="F103" i="18"/>
  <c r="E103" i="18"/>
  <c r="D103" i="18"/>
  <c r="C103" i="18"/>
  <c r="B103" i="18"/>
  <c r="G102" i="18"/>
  <c r="F102" i="18"/>
  <c r="E102" i="18"/>
  <c r="D102" i="18"/>
  <c r="C102" i="18"/>
  <c r="B102" i="18"/>
  <c r="G101" i="18"/>
  <c r="F101" i="18"/>
  <c r="E101" i="18"/>
  <c r="D101" i="18"/>
  <c r="C101" i="18"/>
  <c r="B101" i="18"/>
  <c r="G100" i="18"/>
  <c r="F100" i="18"/>
  <c r="E100" i="18"/>
  <c r="D100" i="18"/>
  <c r="C100" i="18"/>
  <c r="B100" i="18"/>
  <c r="G99" i="18"/>
  <c r="F99" i="18"/>
  <c r="E99" i="18"/>
  <c r="D99" i="18"/>
  <c r="C99" i="18"/>
  <c r="B99" i="18"/>
  <c r="G98" i="18"/>
  <c r="F98" i="18"/>
  <c r="E98" i="18"/>
  <c r="D98" i="18"/>
  <c r="C98" i="18"/>
  <c r="B98" i="18"/>
  <c r="G97" i="18"/>
  <c r="F97" i="18"/>
  <c r="E97" i="18"/>
  <c r="D97" i="18"/>
  <c r="C97" i="18"/>
  <c r="B97" i="18"/>
  <c r="G96" i="18"/>
  <c r="F96" i="18"/>
  <c r="E96" i="18"/>
  <c r="D96" i="18"/>
  <c r="C96" i="18"/>
  <c r="B96" i="18"/>
  <c r="G95" i="18"/>
  <c r="F95" i="18"/>
  <c r="E95" i="18"/>
  <c r="D95" i="18"/>
  <c r="C95" i="18"/>
  <c r="B95" i="18"/>
  <c r="G94" i="18"/>
  <c r="F94" i="18"/>
  <c r="E94" i="18"/>
  <c r="D94" i="18"/>
  <c r="C94" i="18"/>
  <c r="B94" i="18"/>
  <c r="G93" i="18"/>
  <c r="F93" i="18"/>
  <c r="E93" i="18"/>
  <c r="D93" i="18"/>
  <c r="C93" i="18"/>
  <c r="B93" i="18"/>
  <c r="G92" i="18"/>
  <c r="F92" i="18"/>
  <c r="E92" i="18"/>
  <c r="D92" i="18"/>
  <c r="C92" i="18"/>
  <c r="B92" i="18"/>
  <c r="G91" i="18"/>
  <c r="F91" i="18"/>
  <c r="E91" i="18"/>
  <c r="D91" i="18"/>
  <c r="C91" i="18"/>
  <c r="B91" i="18"/>
  <c r="G90" i="18"/>
  <c r="F90" i="18"/>
  <c r="E90" i="18"/>
  <c r="D90" i="18"/>
  <c r="C90" i="18"/>
  <c r="B90" i="18"/>
  <c r="G89" i="18"/>
  <c r="F89" i="18"/>
  <c r="E89" i="18"/>
  <c r="D89" i="18"/>
  <c r="C89" i="18"/>
  <c r="B89" i="18"/>
  <c r="G88" i="18"/>
  <c r="F88" i="18"/>
  <c r="E88" i="18"/>
  <c r="D88" i="18"/>
  <c r="C88" i="18"/>
  <c r="B88" i="18"/>
  <c r="G87" i="18"/>
  <c r="F87" i="18"/>
  <c r="E87" i="18"/>
  <c r="D87" i="18"/>
  <c r="C87" i="18"/>
  <c r="B87" i="18"/>
  <c r="G86" i="18"/>
  <c r="F86" i="18"/>
  <c r="E86" i="18"/>
  <c r="D86" i="18"/>
  <c r="C86" i="18"/>
  <c r="B86" i="18"/>
  <c r="G85" i="18"/>
  <c r="F85" i="18"/>
  <c r="E85" i="18"/>
  <c r="D85" i="18"/>
  <c r="C85" i="18"/>
  <c r="B85" i="18"/>
  <c r="G84" i="18"/>
  <c r="F84" i="18"/>
  <c r="E84" i="18"/>
  <c r="D84" i="18"/>
  <c r="C84" i="18"/>
  <c r="B84" i="18"/>
  <c r="G83" i="18"/>
  <c r="F83" i="18"/>
  <c r="E83" i="18"/>
  <c r="D83" i="18"/>
  <c r="C83" i="18"/>
  <c r="B83" i="18"/>
  <c r="G82" i="18"/>
  <c r="F82" i="18"/>
  <c r="E82" i="18"/>
  <c r="D82" i="18"/>
  <c r="C82" i="18"/>
  <c r="B82" i="18"/>
  <c r="G81" i="18"/>
  <c r="F81" i="18"/>
  <c r="E81" i="18"/>
  <c r="D81" i="18"/>
  <c r="C81" i="18"/>
  <c r="B81" i="18"/>
  <c r="G80" i="18"/>
  <c r="F80" i="18"/>
  <c r="E80" i="18"/>
  <c r="D80" i="18"/>
  <c r="C80" i="18"/>
  <c r="B80" i="18"/>
  <c r="G79" i="18"/>
  <c r="F79" i="18"/>
  <c r="E79" i="18"/>
  <c r="D79" i="18"/>
  <c r="C79" i="18"/>
  <c r="B79" i="18"/>
  <c r="G78" i="18"/>
  <c r="F78" i="18"/>
  <c r="E78" i="18"/>
  <c r="D78" i="18"/>
  <c r="C78" i="18"/>
  <c r="B78" i="18"/>
  <c r="G77" i="18"/>
  <c r="F77" i="18"/>
  <c r="E77" i="18"/>
  <c r="D77" i="18"/>
  <c r="C77" i="18"/>
  <c r="B77" i="18"/>
  <c r="G76" i="18"/>
  <c r="F76" i="18"/>
  <c r="E76" i="18"/>
  <c r="D76" i="18"/>
  <c r="C76" i="18"/>
  <c r="B76" i="18"/>
  <c r="G75" i="18"/>
  <c r="F75" i="18"/>
  <c r="E75" i="18"/>
  <c r="D75" i="18"/>
  <c r="C75" i="18"/>
  <c r="B75" i="18"/>
  <c r="G74" i="18"/>
  <c r="F74" i="18"/>
  <c r="E74" i="18"/>
  <c r="D74" i="18"/>
  <c r="C74" i="18"/>
  <c r="B74" i="18"/>
  <c r="G73" i="18"/>
  <c r="F73" i="18"/>
  <c r="E73" i="18"/>
  <c r="D73" i="18"/>
  <c r="C73" i="18"/>
  <c r="B73" i="18"/>
  <c r="G72" i="18"/>
  <c r="F72" i="18"/>
  <c r="E72" i="18"/>
  <c r="D72" i="18"/>
  <c r="C72" i="18"/>
  <c r="B72" i="18"/>
  <c r="G71" i="18"/>
  <c r="F71" i="18"/>
  <c r="E71" i="18"/>
  <c r="D71" i="18"/>
  <c r="C71" i="18"/>
  <c r="B71" i="18"/>
  <c r="G70" i="18"/>
  <c r="F70" i="18"/>
  <c r="E70" i="18"/>
  <c r="D70" i="18"/>
  <c r="C70" i="18"/>
  <c r="B70" i="18"/>
  <c r="G69" i="18"/>
  <c r="F69" i="18"/>
  <c r="E69" i="18"/>
  <c r="D69" i="18"/>
  <c r="C69" i="18"/>
  <c r="B69" i="18"/>
  <c r="G68" i="18"/>
  <c r="F68" i="18"/>
  <c r="E68" i="18"/>
  <c r="D68" i="18"/>
  <c r="C68" i="18"/>
  <c r="B68" i="18"/>
  <c r="G67" i="18"/>
  <c r="F67" i="18"/>
  <c r="E67" i="18"/>
  <c r="D67" i="18"/>
  <c r="C67" i="18"/>
  <c r="B67" i="18"/>
  <c r="G66" i="18"/>
  <c r="F66" i="18"/>
  <c r="E66" i="18"/>
  <c r="D66" i="18"/>
  <c r="C66" i="18"/>
  <c r="B66" i="18"/>
  <c r="G65" i="18"/>
  <c r="F65" i="18"/>
  <c r="E65" i="18"/>
  <c r="D65" i="18"/>
  <c r="C65" i="18"/>
  <c r="B65" i="18"/>
  <c r="G64" i="18"/>
  <c r="F64" i="18"/>
  <c r="E64" i="18"/>
  <c r="D64" i="18"/>
  <c r="C64" i="18"/>
  <c r="B64" i="18"/>
  <c r="G63" i="18"/>
  <c r="F63" i="18"/>
  <c r="E63" i="18"/>
  <c r="D63" i="18"/>
  <c r="C63" i="18"/>
  <c r="B63" i="18"/>
  <c r="G62" i="18"/>
  <c r="F62" i="18"/>
  <c r="E62" i="18"/>
  <c r="D62" i="18"/>
  <c r="C62" i="18"/>
  <c r="B62" i="18"/>
  <c r="G61" i="18"/>
  <c r="F61" i="18"/>
  <c r="E61" i="18"/>
  <c r="D61" i="18"/>
  <c r="C61" i="18"/>
  <c r="B61" i="18"/>
  <c r="G60" i="18"/>
  <c r="F60" i="18"/>
  <c r="E60" i="18"/>
  <c r="D60" i="18"/>
  <c r="C60" i="18"/>
  <c r="B60" i="18"/>
  <c r="G59" i="18"/>
  <c r="F59" i="18"/>
  <c r="E59" i="18"/>
  <c r="D59" i="18"/>
  <c r="C59" i="18"/>
  <c r="B59" i="18"/>
  <c r="G58" i="18"/>
  <c r="F58" i="18"/>
  <c r="E58" i="18"/>
  <c r="D58" i="18"/>
  <c r="C58" i="18"/>
  <c r="B58" i="18"/>
  <c r="G57" i="18"/>
  <c r="F57" i="18"/>
  <c r="E57" i="18"/>
  <c r="D57" i="18"/>
  <c r="C57" i="18"/>
  <c r="B57" i="18"/>
  <c r="G56" i="18"/>
  <c r="F56" i="18"/>
  <c r="E56" i="18"/>
  <c r="D56" i="18"/>
  <c r="C56" i="18"/>
  <c r="B56" i="18"/>
  <c r="G55" i="18"/>
  <c r="F55" i="18"/>
  <c r="E55" i="18"/>
  <c r="D55" i="18"/>
  <c r="C55" i="18"/>
  <c r="B55" i="18"/>
  <c r="G54" i="18"/>
  <c r="F54" i="18"/>
  <c r="E54" i="18"/>
  <c r="D54" i="18"/>
  <c r="C54" i="18"/>
  <c r="B54" i="18"/>
  <c r="G53" i="18"/>
  <c r="F53" i="18"/>
  <c r="E53" i="18"/>
  <c r="D53" i="18"/>
  <c r="C53" i="18"/>
  <c r="B53" i="18"/>
  <c r="G52" i="18"/>
  <c r="F52" i="18"/>
  <c r="E52" i="18"/>
  <c r="D52" i="18"/>
  <c r="C52" i="18"/>
  <c r="B52" i="18"/>
  <c r="G51" i="18"/>
  <c r="F51" i="18"/>
  <c r="E51" i="18"/>
  <c r="D51" i="18"/>
  <c r="C51" i="18"/>
  <c r="B51" i="18"/>
  <c r="G50" i="18"/>
  <c r="F50" i="18"/>
  <c r="E50" i="18"/>
  <c r="D50" i="18"/>
  <c r="C50" i="18"/>
  <c r="B50" i="18"/>
  <c r="G49" i="18"/>
  <c r="F49" i="18"/>
  <c r="E49" i="18"/>
  <c r="D49" i="18"/>
  <c r="C49" i="18"/>
  <c r="B49" i="18"/>
  <c r="G48" i="18"/>
  <c r="F48" i="18"/>
  <c r="E48" i="18"/>
  <c r="D48" i="18"/>
  <c r="C48" i="18"/>
  <c r="B48" i="18"/>
  <c r="G47" i="18"/>
  <c r="F47" i="18"/>
  <c r="E47" i="18"/>
  <c r="D47" i="18"/>
  <c r="C47" i="18"/>
  <c r="B47" i="18"/>
  <c r="G46" i="18"/>
  <c r="F46" i="18"/>
  <c r="E46" i="18"/>
  <c r="D46" i="18"/>
  <c r="C46" i="18"/>
  <c r="B46" i="18"/>
  <c r="G45" i="18"/>
  <c r="F45" i="18"/>
  <c r="E45" i="18"/>
  <c r="D45" i="18"/>
  <c r="C45" i="18"/>
  <c r="B45" i="18"/>
  <c r="G44" i="18"/>
  <c r="F44" i="18"/>
  <c r="E44" i="18"/>
  <c r="D44" i="18"/>
  <c r="C44" i="18"/>
  <c r="B44" i="18"/>
  <c r="G43" i="18"/>
  <c r="F43" i="18"/>
  <c r="E43" i="18"/>
  <c r="D43" i="18"/>
  <c r="C43" i="18"/>
  <c r="B43" i="18"/>
  <c r="G42" i="18"/>
  <c r="F42" i="18"/>
  <c r="E42" i="18"/>
  <c r="D42" i="18"/>
  <c r="C42" i="18"/>
  <c r="B42" i="18"/>
  <c r="G41" i="18"/>
  <c r="F41" i="18"/>
  <c r="E41" i="18"/>
  <c r="D41" i="18"/>
  <c r="C41" i="18"/>
  <c r="B41" i="18"/>
  <c r="G40" i="18"/>
  <c r="F40" i="18"/>
  <c r="E40" i="18"/>
  <c r="D40" i="18"/>
  <c r="C40" i="18"/>
  <c r="B40" i="18"/>
  <c r="G39" i="18"/>
  <c r="F39" i="18"/>
  <c r="E39" i="18"/>
  <c r="D39" i="18"/>
  <c r="C39" i="18"/>
  <c r="B39" i="18"/>
  <c r="G38" i="18"/>
  <c r="F38" i="18"/>
  <c r="E38" i="18"/>
  <c r="D38" i="18"/>
  <c r="C38" i="18"/>
  <c r="B38" i="18"/>
  <c r="G37" i="18"/>
  <c r="F37" i="18"/>
  <c r="E37" i="18"/>
  <c r="D37" i="18"/>
  <c r="C37" i="18"/>
  <c r="B37" i="18"/>
  <c r="G36" i="18"/>
  <c r="F36" i="18"/>
  <c r="E36" i="18"/>
  <c r="D36" i="18"/>
  <c r="C36" i="18"/>
  <c r="B36" i="18"/>
  <c r="G35" i="18"/>
  <c r="F35" i="18"/>
  <c r="E35" i="18"/>
  <c r="D35" i="18"/>
  <c r="C35" i="18"/>
  <c r="B35" i="18"/>
  <c r="G34" i="18"/>
  <c r="F34" i="18"/>
  <c r="E34" i="18"/>
  <c r="D34" i="18"/>
  <c r="C34" i="18"/>
  <c r="B34" i="18"/>
  <c r="G33" i="18"/>
  <c r="F33" i="18"/>
  <c r="E33" i="18"/>
  <c r="D33" i="18"/>
  <c r="C33" i="18"/>
  <c r="B33" i="18"/>
  <c r="G32" i="18"/>
  <c r="F32" i="18"/>
  <c r="E32" i="18"/>
  <c r="D32" i="18"/>
  <c r="C32" i="18"/>
  <c r="B32" i="18"/>
  <c r="G31" i="18"/>
  <c r="F31" i="18"/>
  <c r="E31" i="18"/>
  <c r="D31" i="18"/>
  <c r="C31" i="18"/>
  <c r="B31" i="18"/>
  <c r="G30" i="18"/>
  <c r="F30" i="18"/>
  <c r="E30" i="18"/>
  <c r="D30" i="18"/>
  <c r="C30" i="18"/>
  <c r="B30" i="18"/>
  <c r="G29" i="18"/>
  <c r="F29" i="18"/>
  <c r="E29" i="18"/>
  <c r="D29" i="18"/>
  <c r="C29" i="18"/>
  <c r="B29" i="18"/>
  <c r="G28" i="18"/>
  <c r="F28" i="18"/>
  <c r="S37" i="2" s="1"/>
  <c r="E28" i="18"/>
  <c r="D28" i="18"/>
  <c r="C28" i="18"/>
  <c r="B28" i="18"/>
  <c r="G27" i="18"/>
  <c r="F27" i="18"/>
  <c r="E27" i="18"/>
  <c r="D27" i="18"/>
  <c r="C27" i="18"/>
  <c r="B27" i="18"/>
  <c r="B18" i="18"/>
  <c r="D14" i="18"/>
  <c r="C14" i="18"/>
  <c r="B14" i="18"/>
  <c r="E10" i="18"/>
  <c r="D10" i="18"/>
  <c r="B10" i="18"/>
  <c r="B7" i="18"/>
  <c r="G278" i="17"/>
  <c r="F278" i="17"/>
  <c r="E278" i="17"/>
  <c r="D278" i="17"/>
  <c r="C278" i="17"/>
  <c r="B278" i="17"/>
  <c r="G277" i="17"/>
  <c r="F277" i="17"/>
  <c r="E277" i="17"/>
  <c r="D277" i="17"/>
  <c r="C277" i="17"/>
  <c r="B277" i="17"/>
  <c r="G276" i="17"/>
  <c r="F276" i="17"/>
  <c r="E276" i="17"/>
  <c r="D276" i="17"/>
  <c r="C276" i="17"/>
  <c r="B276" i="17"/>
  <c r="G275" i="17"/>
  <c r="F275" i="17"/>
  <c r="E275" i="17"/>
  <c r="D275" i="17"/>
  <c r="C275" i="17"/>
  <c r="B275" i="17"/>
  <c r="G274" i="17"/>
  <c r="F274" i="17"/>
  <c r="E274" i="17"/>
  <c r="D274" i="17"/>
  <c r="C274" i="17"/>
  <c r="B274" i="17"/>
  <c r="G273" i="17"/>
  <c r="F273" i="17"/>
  <c r="E273" i="17"/>
  <c r="D273" i="17"/>
  <c r="C273" i="17"/>
  <c r="B273" i="17"/>
  <c r="G272" i="17"/>
  <c r="F272" i="17"/>
  <c r="E272" i="17"/>
  <c r="D272" i="17"/>
  <c r="C272" i="17"/>
  <c r="B272" i="17"/>
  <c r="G271" i="17"/>
  <c r="F271" i="17"/>
  <c r="E271" i="17"/>
  <c r="D271" i="17"/>
  <c r="C271" i="17"/>
  <c r="B271" i="17"/>
  <c r="G270" i="17"/>
  <c r="F270" i="17"/>
  <c r="E270" i="17"/>
  <c r="D270" i="17"/>
  <c r="C270" i="17"/>
  <c r="B270" i="17"/>
  <c r="G269" i="17"/>
  <c r="F269" i="17"/>
  <c r="E269" i="17"/>
  <c r="D269" i="17"/>
  <c r="C269" i="17"/>
  <c r="B269" i="17"/>
  <c r="G268" i="17"/>
  <c r="F268" i="17"/>
  <c r="E268" i="17"/>
  <c r="D268" i="17"/>
  <c r="C268" i="17"/>
  <c r="B268" i="17"/>
  <c r="G267" i="17"/>
  <c r="F267" i="17"/>
  <c r="E267" i="17"/>
  <c r="D267" i="17"/>
  <c r="C267" i="17"/>
  <c r="B267" i="17"/>
  <c r="G266" i="17"/>
  <c r="F266" i="17"/>
  <c r="E266" i="17"/>
  <c r="D266" i="17"/>
  <c r="C266" i="17"/>
  <c r="B266" i="17"/>
  <c r="G265" i="17"/>
  <c r="F265" i="17"/>
  <c r="E265" i="17"/>
  <c r="D265" i="17"/>
  <c r="C265" i="17"/>
  <c r="B265" i="17"/>
  <c r="G264" i="17"/>
  <c r="F264" i="17"/>
  <c r="E264" i="17"/>
  <c r="D264" i="17"/>
  <c r="C264" i="17"/>
  <c r="B264" i="17"/>
  <c r="G263" i="17"/>
  <c r="F263" i="17"/>
  <c r="E263" i="17"/>
  <c r="D263" i="17"/>
  <c r="C263" i="17"/>
  <c r="B263" i="17"/>
  <c r="G262" i="17"/>
  <c r="F262" i="17"/>
  <c r="E262" i="17"/>
  <c r="D262" i="17"/>
  <c r="C262" i="17"/>
  <c r="B262" i="17"/>
  <c r="G261" i="17"/>
  <c r="F261" i="17"/>
  <c r="E261" i="17"/>
  <c r="D261" i="17"/>
  <c r="C261" i="17"/>
  <c r="B261" i="17"/>
  <c r="G260" i="17"/>
  <c r="F260" i="17"/>
  <c r="E260" i="17"/>
  <c r="D260" i="17"/>
  <c r="C260" i="17"/>
  <c r="B260" i="17"/>
  <c r="G259" i="17"/>
  <c r="F259" i="17"/>
  <c r="E259" i="17"/>
  <c r="D259" i="17"/>
  <c r="C259" i="17"/>
  <c r="B259" i="17"/>
  <c r="G258" i="17"/>
  <c r="F258" i="17"/>
  <c r="E258" i="17"/>
  <c r="D258" i="17"/>
  <c r="C258" i="17"/>
  <c r="B258" i="17"/>
  <c r="G257" i="17"/>
  <c r="F257" i="17"/>
  <c r="E257" i="17"/>
  <c r="D257" i="17"/>
  <c r="C257" i="17"/>
  <c r="B257" i="17"/>
  <c r="G256" i="17"/>
  <c r="F256" i="17"/>
  <c r="P31" i="2" s="1"/>
  <c r="E256" i="17"/>
  <c r="D256" i="17"/>
  <c r="C256" i="17"/>
  <c r="B256" i="17"/>
  <c r="G255" i="17"/>
  <c r="F255" i="17"/>
  <c r="E255" i="17"/>
  <c r="D255" i="17"/>
  <c r="C255" i="17"/>
  <c r="B255" i="17"/>
  <c r="G254" i="17"/>
  <c r="F254" i="17"/>
  <c r="E254" i="17"/>
  <c r="D254" i="17"/>
  <c r="C254" i="17"/>
  <c r="B254" i="17"/>
  <c r="G253" i="17"/>
  <c r="F253" i="17"/>
  <c r="E253" i="17"/>
  <c r="D253" i="17"/>
  <c r="C253" i="17"/>
  <c r="B253" i="17"/>
  <c r="G252" i="17"/>
  <c r="F252" i="17"/>
  <c r="E252" i="17"/>
  <c r="D252" i="17"/>
  <c r="C252" i="17"/>
  <c r="B252" i="17"/>
  <c r="G251" i="17"/>
  <c r="F251" i="17"/>
  <c r="E251" i="17"/>
  <c r="D251" i="17"/>
  <c r="C251" i="17"/>
  <c r="B251" i="17"/>
  <c r="G250" i="17"/>
  <c r="F250" i="17"/>
  <c r="E250" i="17"/>
  <c r="D250" i="17"/>
  <c r="C250" i="17"/>
  <c r="B250" i="17"/>
  <c r="G249" i="17"/>
  <c r="F249" i="17"/>
  <c r="E249" i="17"/>
  <c r="D249" i="17"/>
  <c r="C249" i="17"/>
  <c r="B249" i="17"/>
  <c r="G248" i="17"/>
  <c r="F248" i="17"/>
  <c r="E248" i="17"/>
  <c r="D248" i="17"/>
  <c r="C248" i="17"/>
  <c r="B248" i="17"/>
  <c r="G247" i="17"/>
  <c r="F247" i="17"/>
  <c r="E247" i="17"/>
  <c r="D247" i="17"/>
  <c r="C247" i="17"/>
  <c r="B247" i="17"/>
  <c r="G246" i="17"/>
  <c r="F246" i="17"/>
  <c r="E246" i="17"/>
  <c r="D246" i="17"/>
  <c r="C246" i="17"/>
  <c r="B246" i="17"/>
  <c r="G245" i="17"/>
  <c r="F245" i="17"/>
  <c r="E245" i="17"/>
  <c r="D245" i="17"/>
  <c r="C245" i="17"/>
  <c r="B245" i="17"/>
  <c r="G244" i="17"/>
  <c r="F244" i="17"/>
  <c r="E244" i="17"/>
  <c r="D244" i="17"/>
  <c r="C244" i="17"/>
  <c r="B244" i="17"/>
  <c r="G243" i="17"/>
  <c r="F243" i="17"/>
  <c r="E243" i="17"/>
  <c r="D243" i="17"/>
  <c r="C243" i="17"/>
  <c r="B243" i="17"/>
  <c r="G242" i="17"/>
  <c r="F242" i="17"/>
  <c r="E242" i="17"/>
  <c r="D242" i="17"/>
  <c r="C242" i="17"/>
  <c r="B242" i="17"/>
  <c r="G241" i="17"/>
  <c r="F241" i="17"/>
  <c r="E241" i="17"/>
  <c r="D241" i="17"/>
  <c r="C241" i="17"/>
  <c r="B241" i="17"/>
  <c r="G240" i="17"/>
  <c r="F240" i="17"/>
  <c r="E240" i="17"/>
  <c r="D240" i="17"/>
  <c r="C240" i="17"/>
  <c r="B240" i="17"/>
  <c r="G239" i="17"/>
  <c r="F239" i="17"/>
  <c r="E239" i="17"/>
  <c r="D239" i="17"/>
  <c r="C239" i="17"/>
  <c r="B239" i="17"/>
  <c r="G238" i="17"/>
  <c r="F238" i="17"/>
  <c r="E238" i="17"/>
  <c r="D238" i="17"/>
  <c r="C238" i="17"/>
  <c r="B238" i="17"/>
  <c r="G237" i="17"/>
  <c r="F237" i="17"/>
  <c r="E237" i="17"/>
  <c r="D237" i="17"/>
  <c r="C237" i="17"/>
  <c r="B237" i="17"/>
  <c r="G236" i="17"/>
  <c r="F236" i="17"/>
  <c r="E236" i="17"/>
  <c r="D236" i="17"/>
  <c r="C236" i="17"/>
  <c r="B236" i="17"/>
  <c r="G235" i="17"/>
  <c r="F235" i="17"/>
  <c r="E235" i="17"/>
  <c r="D235" i="17"/>
  <c r="C235" i="17"/>
  <c r="B235" i="17"/>
  <c r="G234" i="17"/>
  <c r="F234" i="17"/>
  <c r="E234" i="17"/>
  <c r="D234" i="17"/>
  <c r="C234" i="17"/>
  <c r="B234" i="17"/>
  <c r="G233" i="17"/>
  <c r="F233" i="17"/>
  <c r="E233" i="17"/>
  <c r="D233" i="17"/>
  <c r="C233" i="17"/>
  <c r="B233" i="17"/>
  <c r="G232" i="17"/>
  <c r="F232" i="17"/>
  <c r="E232" i="17"/>
  <c r="D232" i="17"/>
  <c r="C232" i="17"/>
  <c r="B232" i="17"/>
  <c r="G231" i="17"/>
  <c r="F231" i="17"/>
  <c r="E231" i="17"/>
  <c r="D231" i="17"/>
  <c r="C231" i="17"/>
  <c r="B231" i="17"/>
  <c r="G230" i="17"/>
  <c r="F230" i="17"/>
  <c r="E230" i="17"/>
  <c r="D230" i="17"/>
  <c r="C230" i="17"/>
  <c r="B230" i="17"/>
  <c r="G229" i="17"/>
  <c r="F229" i="17"/>
  <c r="E229" i="17"/>
  <c r="D229" i="17"/>
  <c r="C229" i="17"/>
  <c r="B229" i="17"/>
  <c r="G228" i="17"/>
  <c r="F228" i="17"/>
  <c r="E228" i="17"/>
  <c r="D228" i="17"/>
  <c r="C228" i="17"/>
  <c r="B228" i="17"/>
  <c r="G227" i="17"/>
  <c r="F227" i="17"/>
  <c r="E227" i="17"/>
  <c r="D227" i="17"/>
  <c r="C227" i="17"/>
  <c r="B227" i="17"/>
  <c r="G226" i="17"/>
  <c r="F226" i="17"/>
  <c r="E226" i="17"/>
  <c r="D226" i="17"/>
  <c r="C226" i="17"/>
  <c r="B226" i="17"/>
  <c r="G225" i="17"/>
  <c r="F225" i="17"/>
  <c r="E225" i="17"/>
  <c r="D225" i="17"/>
  <c r="C225" i="17"/>
  <c r="B225" i="17"/>
  <c r="G224" i="17"/>
  <c r="F224" i="17"/>
  <c r="E224" i="17"/>
  <c r="D224" i="17"/>
  <c r="C224" i="17"/>
  <c r="B224" i="17"/>
  <c r="G223" i="17"/>
  <c r="F223" i="17"/>
  <c r="E223" i="17"/>
  <c r="D223" i="17"/>
  <c r="C223" i="17"/>
  <c r="B223" i="17"/>
  <c r="G222" i="17"/>
  <c r="F222" i="17"/>
  <c r="E222" i="17"/>
  <c r="D222" i="17"/>
  <c r="C222" i="17"/>
  <c r="B222" i="17"/>
  <c r="G221" i="17"/>
  <c r="F221" i="17"/>
  <c r="E221" i="17"/>
  <c r="D221" i="17"/>
  <c r="C221" i="17"/>
  <c r="B221" i="17"/>
  <c r="G220" i="17"/>
  <c r="F220" i="17"/>
  <c r="E220" i="17"/>
  <c r="D220" i="17"/>
  <c r="C220" i="17"/>
  <c r="B220" i="17"/>
  <c r="G219" i="17"/>
  <c r="F219" i="17"/>
  <c r="E219" i="17"/>
  <c r="D219" i="17"/>
  <c r="C219" i="17"/>
  <c r="B219" i="17"/>
  <c r="G218" i="17"/>
  <c r="F218" i="17"/>
  <c r="E218" i="17"/>
  <c r="D218" i="17"/>
  <c r="C218" i="17"/>
  <c r="B218" i="17"/>
  <c r="G217" i="17"/>
  <c r="F217" i="17"/>
  <c r="E217" i="17"/>
  <c r="D217" i="17"/>
  <c r="C217" i="17"/>
  <c r="B217" i="17"/>
  <c r="G216" i="17"/>
  <c r="F216" i="17"/>
  <c r="E216" i="17"/>
  <c r="D216" i="17"/>
  <c r="C216" i="17"/>
  <c r="B216" i="17"/>
  <c r="G215" i="17"/>
  <c r="F215" i="17"/>
  <c r="E215" i="17"/>
  <c r="D215" i="17"/>
  <c r="C215" i="17"/>
  <c r="B215" i="17"/>
  <c r="G214" i="17"/>
  <c r="F214" i="17"/>
  <c r="Q42" i="2" s="1"/>
  <c r="E214" i="17"/>
  <c r="D214" i="17"/>
  <c r="C214" i="17"/>
  <c r="B214" i="17"/>
  <c r="G213" i="17"/>
  <c r="F213" i="17"/>
  <c r="E213" i="17"/>
  <c r="D213" i="17"/>
  <c r="C213" i="17"/>
  <c r="B213" i="17"/>
  <c r="G212" i="17"/>
  <c r="F212" i="17"/>
  <c r="E212" i="17"/>
  <c r="D212" i="17"/>
  <c r="C212" i="17"/>
  <c r="B212" i="17"/>
  <c r="G211" i="17"/>
  <c r="F211" i="17"/>
  <c r="E211" i="17"/>
  <c r="D211" i="17"/>
  <c r="C211" i="17"/>
  <c r="B211" i="17"/>
  <c r="G210" i="17"/>
  <c r="F210" i="17"/>
  <c r="E210" i="17"/>
  <c r="D210" i="17"/>
  <c r="C210" i="17"/>
  <c r="B210" i="17"/>
  <c r="G209" i="17"/>
  <c r="F209" i="17"/>
  <c r="E209" i="17"/>
  <c r="D209" i="17"/>
  <c r="C209" i="17"/>
  <c r="B209" i="17"/>
  <c r="G208" i="17"/>
  <c r="F208" i="17"/>
  <c r="E208" i="17"/>
  <c r="D208" i="17"/>
  <c r="C208" i="17"/>
  <c r="B208" i="17"/>
  <c r="G207" i="17"/>
  <c r="F207" i="17"/>
  <c r="E207" i="17"/>
  <c r="D207" i="17"/>
  <c r="C207" i="17"/>
  <c r="B207" i="17"/>
  <c r="G206" i="17"/>
  <c r="F206" i="17"/>
  <c r="E206" i="17"/>
  <c r="D206" i="17"/>
  <c r="C206" i="17"/>
  <c r="B206" i="17"/>
  <c r="G205" i="17"/>
  <c r="F205" i="17"/>
  <c r="E205" i="17"/>
  <c r="D205" i="17"/>
  <c r="C205" i="17"/>
  <c r="B205" i="17"/>
  <c r="G204" i="17"/>
  <c r="F204" i="17"/>
  <c r="E204" i="17"/>
  <c r="D204" i="17"/>
  <c r="C204" i="17"/>
  <c r="B204" i="17"/>
  <c r="G203" i="17"/>
  <c r="F203" i="17"/>
  <c r="E203" i="17"/>
  <c r="D203" i="17"/>
  <c r="C203" i="17"/>
  <c r="B203" i="17"/>
  <c r="G202" i="17"/>
  <c r="F202" i="17"/>
  <c r="E202" i="17"/>
  <c r="D202" i="17"/>
  <c r="C202" i="17"/>
  <c r="B202" i="17"/>
  <c r="G201" i="17"/>
  <c r="F201" i="17"/>
  <c r="E201" i="17"/>
  <c r="D201" i="17"/>
  <c r="C201" i="17"/>
  <c r="B201" i="17"/>
  <c r="G200" i="17"/>
  <c r="F200" i="17"/>
  <c r="E200" i="17"/>
  <c r="D200" i="17"/>
  <c r="C200" i="17"/>
  <c r="B200" i="17"/>
  <c r="G199" i="17"/>
  <c r="F199" i="17"/>
  <c r="E199" i="17"/>
  <c r="D199" i="17"/>
  <c r="C199" i="17"/>
  <c r="B199" i="17"/>
  <c r="G198" i="17"/>
  <c r="F198" i="17"/>
  <c r="E198" i="17"/>
  <c r="D198" i="17"/>
  <c r="C198" i="17"/>
  <c r="B198" i="17"/>
  <c r="G197" i="17"/>
  <c r="F197" i="17"/>
  <c r="E197" i="17"/>
  <c r="D197" i="17"/>
  <c r="C197" i="17"/>
  <c r="B197" i="17"/>
  <c r="G196" i="17"/>
  <c r="F196" i="17"/>
  <c r="E196" i="17"/>
  <c r="D196" i="17"/>
  <c r="C196" i="17"/>
  <c r="B196" i="17"/>
  <c r="G195" i="17"/>
  <c r="F195" i="17"/>
  <c r="E195" i="17"/>
  <c r="D195" i="17"/>
  <c r="C195" i="17"/>
  <c r="B195" i="17"/>
  <c r="G194" i="17"/>
  <c r="F194" i="17"/>
  <c r="E194" i="17"/>
  <c r="D194" i="17"/>
  <c r="C194" i="17"/>
  <c r="B194" i="17"/>
  <c r="G193" i="17"/>
  <c r="F193" i="17"/>
  <c r="E193" i="17"/>
  <c r="D193" i="17"/>
  <c r="C193" i="17"/>
  <c r="B193" i="17"/>
  <c r="G192" i="17"/>
  <c r="F192" i="17"/>
  <c r="E192" i="17"/>
  <c r="D192" i="17"/>
  <c r="C192" i="17"/>
  <c r="B192" i="17"/>
  <c r="G191" i="17"/>
  <c r="F191" i="17"/>
  <c r="E191" i="17"/>
  <c r="D191" i="17"/>
  <c r="C191" i="17"/>
  <c r="B191" i="17"/>
  <c r="G190" i="17"/>
  <c r="F190" i="17"/>
  <c r="E190" i="17"/>
  <c r="D190" i="17"/>
  <c r="C190" i="17"/>
  <c r="B190" i="17"/>
  <c r="G189" i="17"/>
  <c r="F189" i="17"/>
  <c r="E189" i="17"/>
  <c r="D189" i="17"/>
  <c r="C189" i="17"/>
  <c r="B189" i="17"/>
  <c r="G188" i="17"/>
  <c r="F188" i="17"/>
  <c r="E188" i="17"/>
  <c r="D188" i="17"/>
  <c r="C188" i="17"/>
  <c r="B188" i="17"/>
  <c r="G187" i="17"/>
  <c r="F187" i="17"/>
  <c r="E187" i="17"/>
  <c r="D187" i="17"/>
  <c r="C187" i="17"/>
  <c r="B187" i="17"/>
  <c r="G186" i="17"/>
  <c r="F186" i="17"/>
  <c r="E186" i="17"/>
  <c r="D186" i="17"/>
  <c r="C186" i="17"/>
  <c r="B186" i="17"/>
  <c r="G185" i="17"/>
  <c r="F185" i="17"/>
  <c r="E185" i="17"/>
  <c r="D185" i="17"/>
  <c r="C185" i="17"/>
  <c r="B185" i="17"/>
  <c r="G184" i="17"/>
  <c r="F184" i="17"/>
  <c r="E184" i="17"/>
  <c r="D184" i="17"/>
  <c r="C184" i="17"/>
  <c r="B184" i="17"/>
  <c r="G183" i="17"/>
  <c r="F183" i="17"/>
  <c r="E183" i="17"/>
  <c r="D183" i="17"/>
  <c r="C183" i="17"/>
  <c r="B183" i="17"/>
  <c r="G182" i="17"/>
  <c r="F182" i="17"/>
  <c r="E182" i="17"/>
  <c r="D182" i="17"/>
  <c r="C182" i="17"/>
  <c r="B182" i="17"/>
  <c r="G181" i="17"/>
  <c r="F181" i="17"/>
  <c r="E181" i="17"/>
  <c r="D181" i="17"/>
  <c r="C181" i="17"/>
  <c r="B181" i="17"/>
  <c r="G180" i="17"/>
  <c r="F180" i="17"/>
  <c r="E180" i="17"/>
  <c r="D180" i="17"/>
  <c r="C180" i="17"/>
  <c r="B180" i="17"/>
  <c r="G179" i="17"/>
  <c r="F179" i="17"/>
  <c r="E179" i="17"/>
  <c r="D179" i="17"/>
  <c r="C179" i="17"/>
  <c r="B179" i="17"/>
  <c r="G178" i="17"/>
  <c r="F178" i="17"/>
  <c r="E178" i="17"/>
  <c r="D178" i="17"/>
  <c r="C178" i="17"/>
  <c r="B178" i="17"/>
  <c r="G177" i="17"/>
  <c r="F177" i="17"/>
  <c r="E177" i="17"/>
  <c r="D177" i="17"/>
  <c r="C177" i="17"/>
  <c r="B177" i="17"/>
  <c r="G176" i="17"/>
  <c r="F176" i="17"/>
  <c r="E176" i="17"/>
  <c r="D176" i="17"/>
  <c r="C176" i="17"/>
  <c r="B176" i="17"/>
  <c r="G175" i="17"/>
  <c r="F175" i="17"/>
  <c r="E175" i="17"/>
  <c r="D175" i="17"/>
  <c r="C175" i="17"/>
  <c r="B175" i="17"/>
  <c r="G174" i="17"/>
  <c r="F174" i="17"/>
  <c r="E174" i="17"/>
  <c r="D174" i="17"/>
  <c r="C174" i="17"/>
  <c r="B174" i="17"/>
  <c r="G173" i="17"/>
  <c r="F173" i="17"/>
  <c r="E173" i="17"/>
  <c r="D173" i="17"/>
  <c r="C173" i="17"/>
  <c r="B173" i="17"/>
  <c r="G172" i="17"/>
  <c r="F172" i="17"/>
  <c r="E172" i="17"/>
  <c r="D172" i="17"/>
  <c r="C172" i="17"/>
  <c r="B172" i="17"/>
  <c r="G171" i="17"/>
  <c r="F171" i="17"/>
  <c r="E171" i="17"/>
  <c r="D171" i="17"/>
  <c r="C171" i="17"/>
  <c r="B171" i="17"/>
  <c r="G170" i="17"/>
  <c r="F170" i="17"/>
  <c r="E170" i="17"/>
  <c r="D170" i="17"/>
  <c r="C170" i="17"/>
  <c r="B170" i="17"/>
  <c r="G169" i="17"/>
  <c r="F169" i="17"/>
  <c r="E169" i="17"/>
  <c r="D169" i="17"/>
  <c r="C169" i="17"/>
  <c r="B169" i="17"/>
  <c r="G168" i="17"/>
  <c r="F168" i="17"/>
  <c r="E168" i="17"/>
  <c r="D168" i="17"/>
  <c r="C168" i="17"/>
  <c r="B168" i="17"/>
  <c r="G167" i="17"/>
  <c r="F167" i="17"/>
  <c r="E167" i="17"/>
  <c r="D167" i="17"/>
  <c r="C167" i="17"/>
  <c r="B167" i="17"/>
  <c r="G166" i="17"/>
  <c r="F166" i="17"/>
  <c r="E166" i="17"/>
  <c r="D166" i="17"/>
  <c r="C166" i="17"/>
  <c r="B166" i="17"/>
  <c r="G165" i="17"/>
  <c r="F165" i="17"/>
  <c r="E165" i="17"/>
  <c r="D165" i="17"/>
  <c r="C165" i="17"/>
  <c r="B165" i="17"/>
  <c r="G164" i="17"/>
  <c r="F164" i="17"/>
  <c r="E164" i="17"/>
  <c r="D164" i="17"/>
  <c r="C164" i="17"/>
  <c r="B164" i="17"/>
  <c r="G163" i="17"/>
  <c r="F163" i="17"/>
  <c r="E163" i="17"/>
  <c r="D163" i="17"/>
  <c r="C163" i="17"/>
  <c r="B163" i="17"/>
  <c r="G162" i="17"/>
  <c r="F162" i="17"/>
  <c r="E162" i="17"/>
  <c r="D162" i="17"/>
  <c r="C162" i="17"/>
  <c r="B162" i="17"/>
  <c r="G161" i="17"/>
  <c r="F161" i="17"/>
  <c r="E161" i="17"/>
  <c r="D161" i="17"/>
  <c r="C161" i="17"/>
  <c r="B161" i="17"/>
  <c r="G160" i="17"/>
  <c r="F160" i="17"/>
  <c r="E160" i="17"/>
  <c r="D160" i="17"/>
  <c r="C160" i="17"/>
  <c r="B160" i="17"/>
  <c r="G159" i="17"/>
  <c r="F159" i="17"/>
  <c r="E159" i="17"/>
  <c r="D159" i="17"/>
  <c r="C159" i="17"/>
  <c r="B159" i="17"/>
  <c r="G158" i="17"/>
  <c r="F158" i="17"/>
  <c r="E158" i="17"/>
  <c r="D158" i="17"/>
  <c r="C158" i="17"/>
  <c r="B158" i="17"/>
  <c r="G157" i="17"/>
  <c r="F157" i="17"/>
  <c r="E157" i="17"/>
  <c r="D157" i="17"/>
  <c r="C157" i="17"/>
  <c r="B157" i="17"/>
  <c r="G156" i="17"/>
  <c r="F156" i="17"/>
  <c r="E156" i="17"/>
  <c r="D156" i="17"/>
  <c r="C156" i="17"/>
  <c r="B156" i="17"/>
  <c r="G155" i="17"/>
  <c r="F155" i="17"/>
  <c r="E155" i="17"/>
  <c r="D155" i="17"/>
  <c r="C155" i="17"/>
  <c r="B155" i="17"/>
  <c r="G154" i="17"/>
  <c r="F154" i="17"/>
  <c r="E154" i="17"/>
  <c r="D154" i="17"/>
  <c r="C154" i="17"/>
  <c r="B154" i="17"/>
  <c r="G153" i="17"/>
  <c r="F153" i="17"/>
  <c r="E153" i="17"/>
  <c r="D153" i="17"/>
  <c r="C153" i="17"/>
  <c r="B153" i="17"/>
  <c r="G152" i="17"/>
  <c r="F152" i="17"/>
  <c r="E152" i="17"/>
  <c r="D152" i="17"/>
  <c r="C152" i="17"/>
  <c r="B152" i="17"/>
  <c r="G151" i="17"/>
  <c r="F151" i="17"/>
  <c r="E151" i="17"/>
  <c r="D151" i="17"/>
  <c r="C151" i="17"/>
  <c r="B151" i="17"/>
  <c r="G150" i="17"/>
  <c r="F150" i="17"/>
  <c r="E150" i="17"/>
  <c r="D150" i="17"/>
  <c r="C150" i="17"/>
  <c r="B150" i="17"/>
  <c r="G149" i="17"/>
  <c r="F149" i="17"/>
  <c r="E149" i="17"/>
  <c r="D149" i="17"/>
  <c r="C149" i="17"/>
  <c r="B149" i="17"/>
  <c r="G148" i="17"/>
  <c r="F148" i="17"/>
  <c r="E148" i="17"/>
  <c r="D148" i="17"/>
  <c r="C148" i="17"/>
  <c r="B148" i="17"/>
  <c r="G147" i="17"/>
  <c r="F147" i="17"/>
  <c r="E147" i="17"/>
  <c r="D147" i="17"/>
  <c r="C147" i="17"/>
  <c r="B147" i="17"/>
  <c r="G146" i="17"/>
  <c r="F146" i="17"/>
  <c r="E146" i="17"/>
  <c r="D146" i="17"/>
  <c r="C146" i="17"/>
  <c r="B146" i="17"/>
  <c r="G145" i="17"/>
  <c r="F145" i="17"/>
  <c r="E145" i="17"/>
  <c r="D145" i="17"/>
  <c r="C145" i="17"/>
  <c r="B145" i="17"/>
  <c r="G144" i="17"/>
  <c r="F144" i="17"/>
  <c r="E144" i="17"/>
  <c r="D144" i="17"/>
  <c r="C144" i="17"/>
  <c r="B144" i="17"/>
  <c r="G143" i="17"/>
  <c r="F143" i="17"/>
  <c r="E143" i="17"/>
  <c r="D143" i="17"/>
  <c r="C143" i="17"/>
  <c r="B143" i="17"/>
  <c r="G142" i="17"/>
  <c r="F142" i="17"/>
  <c r="E142" i="17"/>
  <c r="D142" i="17"/>
  <c r="C142" i="17"/>
  <c r="B142" i="17"/>
  <c r="G141" i="17"/>
  <c r="F141" i="17"/>
  <c r="E141" i="17"/>
  <c r="D141" i="17"/>
  <c r="C141" i="17"/>
  <c r="B141" i="17"/>
  <c r="G140" i="17"/>
  <c r="F140" i="17"/>
  <c r="E140" i="17"/>
  <c r="D140" i="17"/>
  <c r="C140" i="17"/>
  <c r="B140" i="17"/>
  <c r="G139" i="17"/>
  <c r="F139" i="17"/>
  <c r="E139" i="17"/>
  <c r="D139" i="17"/>
  <c r="C139" i="17"/>
  <c r="B139" i="17"/>
  <c r="G138" i="17"/>
  <c r="F138" i="17"/>
  <c r="E138" i="17"/>
  <c r="D138" i="17"/>
  <c r="C138" i="17"/>
  <c r="B138" i="17"/>
  <c r="G137" i="17"/>
  <c r="F137" i="17"/>
  <c r="E137" i="17"/>
  <c r="D137" i="17"/>
  <c r="C137" i="17"/>
  <c r="B137" i="17"/>
  <c r="G136" i="17"/>
  <c r="F136" i="17"/>
  <c r="E136" i="17"/>
  <c r="D136" i="17"/>
  <c r="C136" i="17"/>
  <c r="B136" i="17"/>
  <c r="G135" i="17"/>
  <c r="F135" i="17"/>
  <c r="E135" i="17"/>
  <c r="D135" i="17"/>
  <c r="C135" i="17"/>
  <c r="B135" i="17"/>
  <c r="G134" i="17"/>
  <c r="F134" i="17"/>
  <c r="E134" i="17"/>
  <c r="D134" i="17"/>
  <c r="C134" i="17"/>
  <c r="B134" i="17"/>
  <c r="G133" i="17"/>
  <c r="F133" i="17"/>
  <c r="E133" i="17"/>
  <c r="D133" i="17"/>
  <c r="C133" i="17"/>
  <c r="B133" i="17"/>
  <c r="G132" i="17"/>
  <c r="F132" i="17"/>
  <c r="E132" i="17"/>
  <c r="D132" i="17"/>
  <c r="C132" i="17"/>
  <c r="B132" i="17"/>
  <c r="G131" i="17"/>
  <c r="F131" i="17"/>
  <c r="E131" i="17"/>
  <c r="D131" i="17"/>
  <c r="C131" i="17"/>
  <c r="B131" i="17"/>
  <c r="G130" i="17"/>
  <c r="F130" i="17"/>
  <c r="E130" i="17"/>
  <c r="D130" i="17"/>
  <c r="C130" i="17"/>
  <c r="B130" i="17"/>
  <c r="G129" i="17"/>
  <c r="F129" i="17"/>
  <c r="E129" i="17"/>
  <c r="D129" i="17"/>
  <c r="C129" i="17"/>
  <c r="B129" i="17"/>
  <c r="G128" i="17"/>
  <c r="F128" i="17"/>
  <c r="E128" i="17"/>
  <c r="D128" i="17"/>
  <c r="C128" i="17"/>
  <c r="B128" i="17"/>
  <c r="G127" i="17"/>
  <c r="F127" i="17"/>
  <c r="E127" i="17"/>
  <c r="D127" i="17"/>
  <c r="C127" i="17"/>
  <c r="B127" i="17"/>
  <c r="G126" i="17"/>
  <c r="F126" i="17"/>
  <c r="E126" i="17"/>
  <c r="D126" i="17"/>
  <c r="C126" i="17"/>
  <c r="B126" i="17"/>
  <c r="G125" i="17"/>
  <c r="F125" i="17"/>
  <c r="E125" i="17"/>
  <c r="D125" i="17"/>
  <c r="C125" i="17"/>
  <c r="B125" i="17"/>
  <c r="G124" i="17"/>
  <c r="F124" i="17"/>
  <c r="E124" i="17"/>
  <c r="D124" i="17"/>
  <c r="C124" i="17"/>
  <c r="B124" i="17"/>
  <c r="G123" i="17"/>
  <c r="F123" i="17"/>
  <c r="E123" i="17"/>
  <c r="D123" i="17"/>
  <c r="C123" i="17"/>
  <c r="B123" i="17"/>
  <c r="G122" i="17"/>
  <c r="F122" i="17"/>
  <c r="E122" i="17"/>
  <c r="D122" i="17"/>
  <c r="C122" i="17"/>
  <c r="B122" i="17"/>
  <c r="G121" i="17"/>
  <c r="F121" i="17"/>
  <c r="E121" i="17"/>
  <c r="D121" i="17"/>
  <c r="C121" i="17"/>
  <c r="B121" i="17"/>
  <c r="G120" i="17"/>
  <c r="F120" i="17"/>
  <c r="E120" i="17"/>
  <c r="D120" i="17"/>
  <c r="C120" i="17"/>
  <c r="B120" i="17"/>
  <c r="G119" i="17"/>
  <c r="F119" i="17"/>
  <c r="E119" i="17"/>
  <c r="D119" i="17"/>
  <c r="C119" i="17"/>
  <c r="B119" i="17"/>
  <c r="G118" i="17"/>
  <c r="F118" i="17"/>
  <c r="E118" i="17"/>
  <c r="D118" i="17"/>
  <c r="C118" i="17"/>
  <c r="B118" i="17"/>
  <c r="G117" i="17"/>
  <c r="F117" i="17"/>
  <c r="E117" i="17"/>
  <c r="D117" i="17"/>
  <c r="C117" i="17"/>
  <c r="B117" i="17"/>
  <c r="G116" i="17"/>
  <c r="F116" i="17"/>
  <c r="E116" i="17"/>
  <c r="D116" i="17"/>
  <c r="C116" i="17"/>
  <c r="B116" i="17"/>
  <c r="G115" i="17"/>
  <c r="F115" i="17"/>
  <c r="E115" i="17"/>
  <c r="D115" i="17"/>
  <c r="C115" i="17"/>
  <c r="B115" i="17"/>
  <c r="G114" i="17"/>
  <c r="F114" i="17"/>
  <c r="E114" i="17"/>
  <c r="D114" i="17"/>
  <c r="C114" i="17"/>
  <c r="B114" i="17"/>
  <c r="G113" i="17"/>
  <c r="F113" i="17"/>
  <c r="E113" i="17"/>
  <c r="D113" i="17"/>
  <c r="C113" i="17"/>
  <c r="B113" i="17"/>
  <c r="G112" i="17"/>
  <c r="F112" i="17"/>
  <c r="E112" i="17"/>
  <c r="D112" i="17"/>
  <c r="C112" i="17"/>
  <c r="B112" i="17"/>
  <c r="G111" i="17"/>
  <c r="F111" i="17"/>
  <c r="E111" i="17"/>
  <c r="D111" i="17"/>
  <c r="C111" i="17"/>
  <c r="B111" i="17"/>
  <c r="G110" i="17"/>
  <c r="F110" i="17"/>
  <c r="E110" i="17"/>
  <c r="D110" i="17"/>
  <c r="C110" i="17"/>
  <c r="B110" i="17"/>
  <c r="G109" i="17"/>
  <c r="F109" i="17"/>
  <c r="E109" i="17"/>
  <c r="D109" i="17"/>
  <c r="C109" i="17"/>
  <c r="B109" i="17"/>
  <c r="G108" i="17"/>
  <c r="F108" i="17"/>
  <c r="E108" i="17"/>
  <c r="D108" i="17"/>
  <c r="C108" i="17"/>
  <c r="B108" i="17"/>
  <c r="G107" i="17"/>
  <c r="F107" i="17"/>
  <c r="E107" i="17"/>
  <c r="D107" i="17"/>
  <c r="C107" i="17"/>
  <c r="B107" i="17"/>
  <c r="G106" i="17"/>
  <c r="F106" i="17"/>
  <c r="E106" i="17"/>
  <c r="D106" i="17"/>
  <c r="C106" i="17"/>
  <c r="B106" i="17"/>
  <c r="G105" i="17"/>
  <c r="F105" i="17"/>
  <c r="E105" i="17"/>
  <c r="D105" i="17"/>
  <c r="C105" i="17"/>
  <c r="B105" i="17"/>
  <c r="G104" i="17"/>
  <c r="F104" i="17"/>
  <c r="E104" i="17"/>
  <c r="D104" i="17"/>
  <c r="C104" i="17"/>
  <c r="B104" i="17"/>
  <c r="G103" i="17"/>
  <c r="F103" i="17"/>
  <c r="E103" i="17"/>
  <c r="D103" i="17"/>
  <c r="C103" i="17"/>
  <c r="B103" i="17"/>
  <c r="G102" i="17"/>
  <c r="F102" i="17"/>
  <c r="E102" i="17"/>
  <c r="D102" i="17"/>
  <c r="C102" i="17"/>
  <c r="B102" i="17"/>
  <c r="G101" i="17"/>
  <c r="F101" i="17"/>
  <c r="E101" i="17"/>
  <c r="D101" i="17"/>
  <c r="C101" i="17"/>
  <c r="B101" i="17"/>
  <c r="G100" i="17"/>
  <c r="F100" i="17"/>
  <c r="E100" i="17"/>
  <c r="D100" i="17"/>
  <c r="C100" i="17"/>
  <c r="B100" i="17"/>
  <c r="G99" i="17"/>
  <c r="F99" i="17"/>
  <c r="E99" i="17"/>
  <c r="D99" i="17"/>
  <c r="C99" i="17"/>
  <c r="B99" i="17"/>
  <c r="G98" i="17"/>
  <c r="F98" i="17"/>
  <c r="E98" i="17"/>
  <c r="D98" i="17"/>
  <c r="C98" i="17"/>
  <c r="B98" i="17"/>
  <c r="G97" i="17"/>
  <c r="F97" i="17"/>
  <c r="E97" i="17"/>
  <c r="D97" i="17"/>
  <c r="C97" i="17"/>
  <c r="B97" i="17"/>
  <c r="G96" i="17"/>
  <c r="F96" i="17"/>
  <c r="E96" i="17"/>
  <c r="D96" i="17"/>
  <c r="C96" i="17"/>
  <c r="B96" i="17"/>
  <c r="G95" i="17"/>
  <c r="F95" i="17"/>
  <c r="E95" i="17"/>
  <c r="D95" i="17"/>
  <c r="C95" i="17"/>
  <c r="B95" i="17"/>
  <c r="G94" i="17"/>
  <c r="F94" i="17"/>
  <c r="E94" i="17"/>
  <c r="D94" i="17"/>
  <c r="C94" i="17"/>
  <c r="B94" i="17"/>
  <c r="G93" i="17"/>
  <c r="F93" i="17"/>
  <c r="E93" i="17"/>
  <c r="D93" i="17"/>
  <c r="C93" i="17"/>
  <c r="B93" i="17"/>
  <c r="G92" i="17"/>
  <c r="F92" i="17"/>
  <c r="E92" i="17"/>
  <c r="D92" i="17"/>
  <c r="C92" i="17"/>
  <c r="B92" i="17"/>
  <c r="G91" i="17"/>
  <c r="F91" i="17"/>
  <c r="E91" i="17"/>
  <c r="D91" i="17"/>
  <c r="C91" i="17"/>
  <c r="B91" i="17"/>
  <c r="G90" i="17"/>
  <c r="F90" i="17"/>
  <c r="E90" i="17"/>
  <c r="D90" i="17"/>
  <c r="C90" i="17"/>
  <c r="B90" i="17"/>
  <c r="G89" i="17"/>
  <c r="F89" i="17"/>
  <c r="E89" i="17"/>
  <c r="D89" i="17"/>
  <c r="C89" i="17"/>
  <c r="B89" i="17"/>
  <c r="G88" i="17"/>
  <c r="F88" i="17"/>
  <c r="E88" i="17"/>
  <c r="D88" i="17"/>
  <c r="C88" i="17"/>
  <c r="B88" i="17"/>
  <c r="G87" i="17"/>
  <c r="F87" i="17"/>
  <c r="E87" i="17"/>
  <c r="D87" i="17"/>
  <c r="C87" i="17"/>
  <c r="B87" i="17"/>
  <c r="G86" i="17"/>
  <c r="F86" i="17"/>
  <c r="E86" i="17"/>
  <c r="D86" i="17"/>
  <c r="C86" i="17"/>
  <c r="B86" i="17"/>
  <c r="G85" i="17"/>
  <c r="F85" i="17"/>
  <c r="E85" i="17"/>
  <c r="D85" i="17"/>
  <c r="C85" i="17"/>
  <c r="B85" i="17"/>
  <c r="G84" i="17"/>
  <c r="F84" i="17"/>
  <c r="E84" i="17"/>
  <c r="D84" i="17"/>
  <c r="C84" i="17"/>
  <c r="B84" i="17"/>
  <c r="G83" i="17"/>
  <c r="F83" i="17"/>
  <c r="E83" i="17"/>
  <c r="D83" i="17"/>
  <c r="C83" i="17"/>
  <c r="B83" i="17"/>
  <c r="G82" i="17"/>
  <c r="F82" i="17"/>
  <c r="E82" i="17"/>
  <c r="D82" i="17"/>
  <c r="C82" i="17"/>
  <c r="B82" i="17"/>
  <c r="G81" i="17"/>
  <c r="F81" i="17"/>
  <c r="E81" i="17"/>
  <c r="D81" i="17"/>
  <c r="C81" i="17"/>
  <c r="B81" i="17"/>
  <c r="G80" i="17"/>
  <c r="F80" i="17"/>
  <c r="E80" i="17"/>
  <c r="D80" i="17"/>
  <c r="C80" i="17"/>
  <c r="B80" i="17"/>
  <c r="G79" i="17"/>
  <c r="F79" i="17"/>
  <c r="E79" i="17"/>
  <c r="D79" i="17"/>
  <c r="C79" i="17"/>
  <c r="B79" i="17"/>
  <c r="G78" i="17"/>
  <c r="F78" i="17"/>
  <c r="E78" i="17"/>
  <c r="D78" i="17"/>
  <c r="C78" i="17"/>
  <c r="B78" i="17"/>
  <c r="G77" i="17"/>
  <c r="F77" i="17"/>
  <c r="E77" i="17"/>
  <c r="D77" i="17"/>
  <c r="C77" i="17"/>
  <c r="B77" i="17"/>
  <c r="G76" i="17"/>
  <c r="F76" i="17"/>
  <c r="E76" i="17"/>
  <c r="D76" i="17"/>
  <c r="C76" i="17"/>
  <c r="B76" i="17"/>
  <c r="G75" i="17"/>
  <c r="F75" i="17"/>
  <c r="E75" i="17"/>
  <c r="D75" i="17"/>
  <c r="C75" i="17"/>
  <c r="B75" i="17"/>
  <c r="G74" i="17"/>
  <c r="F74" i="17"/>
  <c r="E74" i="17"/>
  <c r="D74" i="17"/>
  <c r="C74" i="17"/>
  <c r="B74" i="17"/>
  <c r="G73" i="17"/>
  <c r="F73" i="17"/>
  <c r="E73" i="17"/>
  <c r="D73" i="17"/>
  <c r="C73" i="17"/>
  <c r="B73" i="17"/>
  <c r="G72" i="17"/>
  <c r="F72" i="17"/>
  <c r="E72" i="17"/>
  <c r="D72" i="17"/>
  <c r="C72" i="17"/>
  <c r="B72" i="17"/>
  <c r="G71" i="17"/>
  <c r="F71" i="17"/>
  <c r="E71" i="17"/>
  <c r="D71" i="17"/>
  <c r="C71" i="17"/>
  <c r="B71" i="17"/>
  <c r="G70" i="17"/>
  <c r="F70" i="17"/>
  <c r="E70" i="17"/>
  <c r="D70" i="17"/>
  <c r="C70" i="17"/>
  <c r="B70" i="17"/>
  <c r="G69" i="17"/>
  <c r="F69" i="17"/>
  <c r="E69" i="17"/>
  <c r="D69" i="17"/>
  <c r="C69" i="17"/>
  <c r="B69" i="17"/>
  <c r="G68" i="17"/>
  <c r="F68" i="17"/>
  <c r="E68" i="17"/>
  <c r="D68" i="17"/>
  <c r="C68" i="17"/>
  <c r="B68" i="17"/>
  <c r="G67" i="17"/>
  <c r="F67" i="17"/>
  <c r="E67" i="17"/>
  <c r="D67" i="17"/>
  <c r="C67" i="17"/>
  <c r="B67" i="17"/>
  <c r="G66" i="17"/>
  <c r="F66" i="17"/>
  <c r="E66" i="17"/>
  <c r="D66" i="17"/>
  <c r="C66" i="17"/>
  <c r="B66" i="17"/>
  <c r="G65" i="17"/>
  <c r="F65" i="17"/>
  <c r="E65" i="17"/>
  <c r="D65" i="17"/>
  <c r="C65" i="17"/>
  <c r="B65" i="17"/>
  <c r="G64" i="17"/>
  <c r="F64" i="17"/>
  <c r="E64" i="17"/>
  <c r="D64" i="17"/>
  <c r="C64" i="17"/>
  <c r="B64" i="17"/>
  <c r="G63" i="17"/>
  <c r="F63" i="17"/>
  <c r="E63" i="17"/>
  <c r="D63" i="17"/>
  <c r="C63" i="17"/>
  <c r="B63" i="17"/>
  <c r="G62" i="17"/>
  <c r="F62" i="17"/>
  <c r="E62" i="17"/>
  <c r="D62" i="17"/>
  <c r="C62" i="17"/>
  <c r="B62" i="17"/>
  <c r="G61" i="17"/>
  <c r="F61" i="17"/>
  <c r="E61" i="17"/>
  <c r="D61" i="17"/>
  <c r="C61" i="17"/>
  <c r="B61" i="17"/>
  <c r="G60" i="17"/>
  <c r="F60" i="17"/>
  <c r="E60" i="17"/>
  <c r="D60" i="17"/>
  <c r="C60" i="17"/>
  <c r="B60" i="17"/>
  <c r="G59" i="17"/>
  <c r="F59" i="17"/>
  <c r="E59" i="17"/>
  <c r="D59" i="17"/>
  <c r="C59" i="17"/>
  <c r="B59" i="17"/>
  <c r="G58" i="17"/>
  <c r="F58" i="17"/>
  <c r="E58" i="17"/>
  <c r="D58" i="17"/>
  <c r="C58" i="17"/>
  <c r="B58" i="17"/>
  <c r="G57" i="17"/>
  <c r="F57" i="17"/>
  <c r="E57" i="17"/>
  <c r="D57" i="17"/>
  <c r="C57" i="17"/>
  <c r="B57" i="17"/>
  <c r="G56" i="17"/>
  <c r="F56" i="17"/>
  <c r="E56" i="17"/>
  <c r="D56" i="17"/>
  <c r="C56" i="17"/>
  <c r="B56" i="17"/>
  <c r="G55" i="17"/>
  <c r="F55" i="17"/>
  <c r="E55" i="17"/>
  <c r="D55" i="17"/>
  <c r="C55" i="17"/>
  <c r="B55" i="17"/>
  <c r="G54" i="17"/>
  <c r="F54" i="17"/>
  <c r="E54" i="17"/>
  <c r="D54" i="17"/>
  <c r="C54" i="17"/>
  <c r="B54" i="17"/>
  <c r="G53" i="17"/>
  <c r="F53" i="17"/>
  <c r="E53" i="17"/>
  <c r="D53" i="17"/>
  <c r="C53" i="17"/>
  <c r="B53" i="17"/>
  <c r="G52" i="17"/>
  <c r="F52" i="17"/>
  <c r="E52" i="17"/>
  <c r="D52" i="17"/>
  <c r="C52" i="17"/>
  <c r="B52" i="17"/>
  <c r="G51" i="17"/>
  <c r="F51" i="17"/>
  <c r="E51" i="17"/>
  <c r="D51" i="17"/>
  <c r="C51" i="17"/>
  <c r="B51" i="17"/>
  <c r="G50" i="17"/>
  <c r="F50" i="17"/>
  <c r="E50" i="17"/>
  <c r="D50" i="17"/>
  <c r="C50" i="17"/>
  <c r="B50" i="17"/>
  <c r="G49" i="17"/>
  <c r="F49" i="17"/>
  <c r="E49" i="17"/>
  <c r="D49" i="17"/>
  <c r="C49" i="17"/>
  <c r="B49" i="17"/>
  <c r="G48" i="17"/>
  <c r="F48" i="17"/>
  <c r="E48" i="17"/>
  <c r="D48" i="17"/>
  <c r="C48" i="17"/>
  <c r="B48" i="17"/>
  <c r="G47" i="17"/>
  <c r="F47" i="17"/>
  <c r="E47" i="17"/>
  <c r="D47" i="17"/>
  <c r="C47" i="17"/>
  <c r="B47" i="17"/>
  <c r="G46" i="17"/>
  <c r="F46" i="17"/>
  <c r="E46" i="17"/>
  <c r="D46" i="17"/>
  <c r="C46" i="17"/>
  <c r="B46" i="17"/>
  <c r="G45" i="17"/>
  <c r="F45" i="17"/>
  <c r="E45" i="17"/>
  <c r="D45" i="17"/>
  <c r="C45" i="17"/>
  <c r="B45" i="17"/>
  <c r="G44" i="17"/>
  <c r="F44" i="17"/>
  <c r="E44" i="17"/>
  <c r="D44" i="17"/>
  <c r="C44" i="17"/>
  <c r="B44" i="17"/>
  <c r="G43" i="17"/>
  <c r="F43" i="17"/>
  <c r="E43" i="17"/>
  <c r="D43" i="17"/>
  <c r="C43" i="17"/>
  <c r="B43" i="17"/>
  <c r="G42" i="17"/>
  <c r="F42" i="17"/>
  <c r="E42" i="17"/>
  <c r="D42" i="17"/>
  <c r="C42" i="17"/>
  <c r="B42" i="17"/>
  <c r="G41" i="17"/>
  <c r="F41" i="17"/>
  <c r="E41" i="17"/>
  <c r="D41" i="17"/>
  <c r="C41" i="17"/>
  <c r="B41" i="17"/>
  <c r="G40" i="17"/>
  <c r="F40" i="17"/>
  <c r="E40" i="17"/>
  <c r="D40" i="17"/>
  <c r="C40" i="17"/>
  <c r="B40" i="17"/>
  <c r="G39" i="17"/>
  <c r="F39" i="17"/>
  <c r="E39" i="17"/>
  <c r="D39" i="17"/>
  <c r="C39" i="17"/>
  <c r="B39" i="17"/>
  <c r="G38" i="17"/>
  <c r="F38" i="17"/>
  <c r="E38" i="17"/>
  <c r="D38" i="17"/>
  <c r="C38" i="17"/>
  <c r="B38" i="17"/>
  <c r="G37" i="17"/>
  <c r="F37" i="17"/>
  <c r="E37" i="17"/>
  <c r="D37" i="17"/>
  <c r="C37" i="17"/>
  <c r="B37" i="17"/>
  <c r="G36" i="17"/>
  <c r="F36" i="17"/>
  <c r="E36" i="17"/>
  <c r="D36" i="17"/>
  <c r="C36" i="17"/>
  <c r="B36" i="17"/>
  <c r="G35" i="17"/>
  <c r="F35" i="17"/>
  <c r="E35" i="17"/>
  <c r="D35" i="17"/>
  <c r="C35" i="17"/>
  <c r="B35" i="17"/>
  <c r="G34" i="17"/>
  <c r="F34" i="17"/>
  <c r="E34" i="17"/>
  <c r="D34" i="17"/>
  <c r="C34" i="17"/>
  <c r="B34" i="17"/>
  <c r="G33" i="17"/>
  <c r="F33" i="17"/>
  <c r="E33" i="17"/>
  <c r="D33" i="17"/>
  <c r="C33" i="17"/>
  <c r="B33" i="17"/>
  <c r="G32" i="17"/>
  <c r="F32" i="17"/>
  <c r="E32" i="17"/>
  <c r="D32" i="17"/>
  <c r="C32" i="17"/>
  <c r="B32" i="17"/>
  <c r="G31" i="17"/>
  <c r="F31" i="17"/>
  <c r="E31" i="17"/>
  <c r="D31" i="17"/>
  <c r="C31" i="17"/>
  <c r="B31" i="17"/>
  <c r="G30" i="17"/>
  <c r="F30" i="17"/>
  <c r="E30" i="17"/>
  <c r="D30" i="17"/>
  <c r="C30" i="17"/>
  <c r="B30" i="17"/>
  <c r="G29" i="17"/>
  <c r="F29" i="17"/>
  <c r="E29" i="17"/>
  <c r="D29" i="17"/>
  <c r="C29" i="17"/>
  <c r="B29" i="17"/>
  <c r="G28" i="17"/>
  <c r="F28" i="17"/>
  <c r="S42" i="2" s="1"/>
  <c r="E28" i="17"/>
  <c r="D28" i="17"/>
  <c r="C28" i="17"/>
  <c r="B28" i="17"/>
  <c r="G27" i="17"/>
  <c r="F27" i="17"/>
  <c r="E27" i="17"/>
  <c r="D27" i="17"/>
  <c r="C27" i="17"/>
  <c r="B27" i="17"/>
  <c r="B18" i="17"/>
  <c r="D14" i="17"/>
  <c r="C14" i="17"/>
  <c r="B14" i="17"/>
  <c r="E10" i="17"/>
  <c r="D10" i="17"/>
  <c r="B10" i="17"/>
  <c r="B7" i="17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B18" i="16"/>
  <c r="D14" i="16"/>
  <c r="C14" i="16"/>
  <c r="B14" i="16"/>
  <c r="E10" i="16"/>
  <c r="D10" i="16"/>
  <c r="B10" i="16"/>
  <c r="B7" i="16"/>
  <c r="G278" i="15"/>
  <c r="F278" i="15"/>
  <c r="E278" i="15"/>
  <c r="D278" i="15"/>
  <c r="C278" i="15"/>
  <c r="B278" i="15"/>
  <c r="G277" i="15"/>
  <c r="F277" i="15"/>
  <c r="E277" i="15"/>
  <c r="D277" i="15"/>
  <c r="C277" i="15"/>
  <c r="B277" i="15"/>
  <c r="G276" i="15"/>
  <c r="F276" i="15"/>
  <c r="E276" i="15"/>
  <c r="D276" i="15"/>
  <c r="C276" i="15"/>
  <c r="B276" i="15"/>
  <c r="G275" i="15"/>
  <c r="F275" i="15"/>
  <c r="E275" i="15"/>
  <c r="D275" i="15"/>
  <c r="C275" i="15"/>
  <c r="B275" i="15"/>
  <c r="G274" i="15"/>
  <c r="F274" i="15"/>
  <c r="E274" i="15"/>
  <c r="D274" i="15"/>
  <c r="C274" i="15"/>
  <c r="B274" i="15"/>
  <c r="G273" i="15"/>
  <c r="F273" i="15"/>
  <c r="E273" i="15"/>
  <c r="D273" i="15"/>
  <c r="C273" i="15"/>
  <c r="B273" i="15"/>
  <c r="G272" i="15"/>
  <c r="F272" i="15"/>
  <c r="E272" i="15"/>
  <c r="D272" i="15"/>
  <c r="C272" i="15"/>
  <c r="B272" i="15"/>
  <c r="G271" i="15"/>
  <c r="F271" i="15"/>
  <c r="E271" i="15"/>
  <c r="D271" i="15"/>
  <c r="C271" i="15"/>
  <c r="B271" i="15"/>
  <c r="G270" i="15"/>
  <c r="F270" i="15"/>
  <c r="E270" i="15"/>
  <c r="D270" i="15"/>
  <c r="C270" i="15"/>
  <c r="B270" i="15"/>
  <c r="G269" i="15"/>
  <c r="F269" i="15"/>
  <c r="E269" i="15"/>
  <c r="D269" i="15"/>
  <c r="C269" i="15"/>
  <c r="B269" i="15"/>
  <c r="G268" i="15"/>
  <c r="F268" i="15"/>
  <c r="E268" i="15"/>
  <c r="D268" i="15"/>
  <c r="C268" i="15"/>
  <c r="B268" i="15"/>
  <c r="G267" i="15"/>
  <c r="F267" i="15"/>
  <c r="E267" i="15"/>
  <c r="D267" i="15"/>
  <c r="C267" i="15"/>
  <c r="B267" i="15"/>
  <c r="G266" i="15"/>
  <c r="F266" i="15"/>
  <c r="E266" i="15"/>
  <c r="D266" i="15"/>
  <c r="C266" i="15"/>
  <c r="B266" i="15"/>
  <c r="G265" i="15"/>
  <c r="F265" i="15"/>
  <c r="E265" i="15"/>
  <c r="D265" i="15"/>
  <c r="C265" i="15"/>
  <c r="B265" i="15"/>
  <c r="G264" i="15"/>
  <c r="F264" i="15"/>
  <c r="E264" i="15"/>
  <c r="D264" i="15"/>
  <c r="C264" i="15"/>
  <c r="B264" i="15"/>
  <c r="G263" i="15"/>
  <c r="F263" i="15"/>
  <c r="E263" i="15"/>
  <c r="D263" i="15"/>
  <c r="C263" i="15"/>
  <c r="B263" i="15"/>
  <c r="G262" i="15"/>
  <c r="F262" i="15"/>
  <c r="E262" i="15"/>
  <c r="D262" i="15"/>
  <c r="C262" i="15"/>
  <c r="B262" i="15"/>
  <c r="G261" i="15"/>
  <c r="F261" i="15"/>
  <c r="E261" i="15"/>
  <c r="D261" i="15"/>
  <c r="C261" i="15"/>
  <c r="B261" i="15"/>
  <c r="G260" i="15"/>
  <c r="F260" i="15"/>
  <c r="E260" i="15"/>
  <c r="D260" i="15"/>
  <c r="C260" i="15"/>
  <c r="B260" i="15"/>
  <c r="G259" i="15"/>
  <c r="F259" i="15"/>
  <c r="E259" i="15"/>
  <c r="D259" i="15"/>
  <c r="C259" i="15"/>
  <c r="B259" i="15"/>
  <c r="G258" i="15"/>
  <c r="F258" i="15"/>
  <c r="E258" i="15"/>
  <c r="D258" i="15"/>
  <c r="C258" i="15"/>
  <c r="B258" i="15"/>
  <c r="G257" i="15"/>
  <c r="F257" i="15"/>
  <c r="E257" i="15"/>
  <c r="D257" i="15"/>
  <c r="C257" i="15"/>
  <c r="B257" i="15"/>
  <c r="G256" i="15"/>
  <c r="F256" i="15"/>
  <c r="P45" i="2" s="1"/>
  <c r="E256" i="15"/>
  <c r="D256" i="15"/>
  <c r="C256" i="15"/>
  <c r="B256" i="15"/>
  <c r="G255" i="15"/>
  <c r="F255" i="15"/>
  <c r="E255" i="15"/>
  <c r="D255" i="15"/>
  <c r="C255" i="15"/>
  <c r="B255" i="15"/>
  <c r="G254" i="15"/>
  <c r="F254" i="15"/>
  <c r="E254" i="15"/>
  <c r="D254" i="15"/>
  <c r="C254" i="15"/>
  <c r="B254" i="15"/>
  <c r="G253" i="15"/>
  <c r="F253" i="15"/>
  <c r="E253" i="15"/>
  <c r="D253" i="15"/>
  <c r="C253" i="15"/>
  <c r="B253" i="15"/>
  <c r="G252" i="15"/>
  <c r="F252" i="15"/>
  <c r="E252" i="15"/>
  <c r="D252" i="15"/>
  <c r="C252" i="15"/>
  <c r="B252" i="15"/>
  <c r="G251" i="15"/>
  <c r="F251" i="15"/>
  <c r="E251" i="15"/>
  <c r="D251" i="15"/>
  <c r="C251" i="15"/>
  <c r="B251" i="15"/>
  <c r="G250" i="15"/>
  <c r="F250" i="15"/>
  <c r="E250" i="15"/>
  <c r="D250" i="15"/>
  <c r="C250" i="15"/>
  <c r="B250" i="15"/>
  <c r="G249" i="15"/>
  <c r="F249" i="15"/>
  <c r="E249" i="15"/>
  <c r="D249" i="15"/>
  <c r="C249" i="15"/>
  <c r="B249" i="15"/>
  <c r="G248" i="15"/>
  <c r="F248" i="15"/>
  <c r="E248" i="15"/>
  <c r="D248" i="15"/>
  <c r="C248" i="15"/>
  <c r="B248" i="15"/>
  <c r="G247" i="15"/>
  <c r="F247" i="15"/>
  <c r="E247" i="15"/>
  <c r="D247" i="15"/>
  <c r="C247" i="15"/>
  <c r="B247" i="15"/>
  <c r="G246" i="15"/>
  <c r="F246" i="15"/>
  <c r="E246" i="15"/>
  <c r="D246" i="15"/>
  <c r="C246" i="15"/>
  <c r="B246" i="15"/>
  <c r="G245" i="15"/>
  <c r="F245" i="15"/>
  <c r="E245" i="15"/>
  <c r="D245" i="15"/>
  <c r="C245" i="15"/>
  <c r="B245" i="15"/>
  <c r="G244" i="15"/>
  <c r="F244" i="15"/>
  <c r="E244" i="15"/>
  <c r="D244" i="15"/>
  <c r="C244" i="15"/>
  <c r="B244" i="15"/>
  <c r="G243" i="15"/>
  <c r="F243" i="15"/>
  <c r="E243" i="15"/>
  <c r="D243" i="15"/>
  <c r="C243" i="15"/>
  <c r="B243" i="15"/>
  <c r="G242" i="15"/>
  <c r="F242" i="15"/>
  <c r="E242" i="15"/>
  <c r="D242" i="15"/>
  <c r="C242" i="15"/>
  <c r="B242" i="15"/>
  <c r="G241" i="15"/>
  <c r="F241" i="15"/>
  <c r="E241" i="15"/>
  <c r="D241" i="15"/>
  <c r="C241" i="15"/>
  <c r="B241" i="15"/>
  <c r="G240" i="15"/>
  <c r="F240" i="15"/>
  <c r="E240" i="15"/>
  <c r="D240" i="15"/>
  <c r="C240" i="15"/>
  <c r="B240" i="15"/>
  <c r="G239" i="15"/>
  <c r="F239" i="15"/>
  <c r="E239" i="15"/>
  <c r="D239" i="15"/>
  <c r="C239" i="15"/>
  <c r="B239" i="15"/>
  <c r="G238" i="15"/>
  <c r="F238" i="15"/>
  <c r="E238" i="15"/>
  <c r="D238" i="15"/>
  <c r="C238" i="15"/>
  <c r="B238" i="15"/>
  <c r="G237" i="15"/>
  <c r="F237" i="15"/>
  <c r="E237" i="15"/>
  <c r="D237" i="15"/>
  <c r="C237" i="15"/>
  <c r="B237" i="15"/>
  <c r="G236" i="15"/>
  <c r="F236" i="15"/>
  <c r="E236" i="15"/>
  <c r="D236" i="15"/>
  <c r="C236" i="15"/>
  <c r="B236" i="15"/>
  <c r="G235" i="15"/>
  <c r="F235" i="15"/>
  <c r="E235" i="15"/>
  <c r="D235" i="15"/>
  <c r="C235" i="15"/>
  <c r="B235" i="15"/>
  <c r="G234" i="15"/>
  <c r="F234" i="15"/>
  <c r="E234" i="15"/>
  <c r="D234" i="15"/>
  <c r="C234" i="15"/>
  <c r="B234" i="15"/>
  <c r="G233" i="15"/>
  <c r="F233" i="15"/>
  <c r="E233" i="15"/>
  <c r="D233" i="15"/>
  <c r="C233" i="15"/>
  <c r="B233" i="15"/>
  <c r="G232" i="15"/>
  <c r="F232" i="15"/>
  <c r="E232" i="15"/>
  <c r="D232" i="15"/>
  <c r="C232" i="15"/>
  <c r="B232" i="15"/>
  <c r="G231" i="15"/>
  <c r="F231" i="15"/>
  <c r="E231" i="15"/>
  <c r="D231" i="15"/>
  <c r="C231" i="15"/>
  <c r="B231" i="15"/>
  <c r="G230" i="15"/>
  <c r="F230" i="15"/>
  <c r="E230" i="15"/>
  <c r="D230" i="15"/>
  <c r="C230" i="15"/>
  <c r="B230" i="15"/>
  <c r="G229" i="15"/>
  <c r="F229" i="15"/>
  <c r="E229" i="15"/>
  <c r="D229" i="15"/>
  <c r="C229" i="15"/>
  <c r="B229" i="15"/>
  <c r="G228" i="15"/>
  <c r="F228" i="15"/>
  <c r="E228" i="15"/>
  <c r="D228" i="15"/>
  <c r="C228" i="15"/>
  <c r="B228" i="15"/>
  <c r="G227" i="15"/>
  <c r="F227" i="15"/>
  <c r="E227" i="15"/>
  <c r="D227" i="15"/>
  <c r="C227" i="15"/>
  <c r="B227" i="15"/>
  <c r="G226" i="15"/>
  <c r="F226" i="15"/>
  <c r="E226" i="15"/>
  <c r="D226" i="15"/>
  <c r="C226" i="15"/>
  <c r="B226" i="15"/>
  <c r="G225" i="15"/>
  <c r="F225" i="15"/>
  <c r="E225" i="15"/>
  <c r="D225" i="15"/>
  <c r="C225" i="15"/>
  <c r="B225" i="15"/>
  <c r="G224" i="15"/>
  <c r="F224" i="15"/>
  <c r="E224" i="15"/>
  <c r="D224" i="15"/>
  <c r="C224" i="15"/>
  <c r="B224" i="15"/>
  <c r="G223" i="15"/>
  <c r="F223" i="15"/>
  <c r="E223" i="15"/>
  <c r="D223" i="15"/>
  <c r="C223" i="15"/>
  <c r="B223" i="15"/>
  <c r="G222" i="15"/>
  <c r="F222" i="15"/>
  <c r="E222" i="15"/>
  <c r="D222" i="15"/>
  <c r="C222" i="15"/>
  <c r="B222" i="15"/>
  <c r="G221" i="15"/>
  <c r="F221" i="15"/>
  <c r="E221" i="15"/>
  <c r="D221" i="15"/>
  <c r="C221" i="15"/>
  <c r="B221" i="15"/>
  <c r="G220" i="15"/>
  <c r="F220" i="15"/>
  <c r="E220" i="15"/>
  <c r="D220" i="15"/>
  <c r="C220" i="15"/>
  <c r="B220" i="15"/>
  <c r="G219" i="15"/>
  <c r="F219" i="15"/>
  <c r="E219" i="15"/>
  <c r="D219" i="15"/>
  <c r="C219" i="15"/>
  <c r="B219" i="15"/>
  <c r="G218" i="15"/>
  <c r="F218" i="15"/>
  <c r="E218" i="15"/>
  <c r="D218" i="15"/>
  <c r="C218" i="15"/>
  <c r="B218" i="15"/>
  <c r="G217" i="15"/>
  <c r="F217" i="15"/>
  <c r="E217" i="15"/>
  <c r="D217" i="15"/>
  <c r="C217" i="15"/>
  <c r="B217" i="15"/>
  <c r="G216" i="15"/>
  <c r="F216" i="15"/>
  <c r="E216" i="15"/>
  <c r="D216" i="15"/>
  <c r="C216" i="15"/>
  <c r="B216" i="15"/>
  <c r="G215" i="15"/>
  <c r="F215" i="15"/>
  <c r="E215" i="15"/>
  <c r="D215" i="15"/>
  <c r="C215" i="15"/>
  <c r="B215" i="15"/>
  <c r="G214" i="15"/>
  <c r="F214" i="15"/>
  <c r="E214" i="15"/>
  <c r="D214" i="15"/>
  <c r="C214" i="15"/>
  <c r="B214" i="15"/>
  <c r="G213" i="15"/>
  <c r="F213" i="15"/>
  <c r="E213" i="15"/>
  <c r="D213" i="15"/>
  <c r="C213" i="15"/>
  <c r="B213" i="15"/>
  <c r="G212" i="15"/>
  <c r="F212" i="15"/>
  <c r="E212" i="15"/>
  <c r="D212" i="15"/>
  <c r="C212" i="15"/>
  <c r="B212" i="15"/>
  <c r="G211" i="15"/>
  <c r="F211" i="15"/>
  <c r="E211" i="15"/>
  <c r="D211" i="15"/>
  <c r="C211" i="15"/>
  <c r="B211" i="15"/>
  <c r="G210" i="15"/>
  <c r="F210" i="15"/>
  <c r="E210" i="15"/>
  <c r="D210" i="15"/>
  <c r="C210" i="15"/>
  <c r="B210" i="15"/>
  <c r="G209" i="15"/>
  <c r="F209" i="15"/>
  <c r="E209" i="15"/>
  <c r="D209" i="15"/>
  <c r="C209" i="15"/>
  <c r="B209" i="15"/>
  <c r="G208" i="15"/>
  <c r="F208" i="15"/>
  <c r="E208" i="15"/>
  <c r="D208" i="15"/>
  <c r="C208" i="15"/>
  <c r="B208" i="15"/>
  <c r="G207" i="15"/>
  <c r="F207" i="15"/>
  <c r="E207" i="15"/>
  <c r="D207" i="15"/>
  <c r="C207" i="15"/>
  <c r="B207" i="15"/>
  <c r="G206" i="15"/>
  <c r="F206" i="15"/>
  <c r="E206" i="15"/>
  <c r="D206" i="15"/>
  <c r="C206" i="15"/>
  <c r="B206" i="15"/>
  <c r="G205" i="15"/>
  <c r="F205" i="15"/>
  <c r="E205" i="15"/>
  <c r="D205" i="15"/>
  <c r="C205" i="15"/>
  <c r="B205" i="15"/>
  <c r="G204" i="15"/>
  <c r="F204" i="15"/>
  <c r="E204" i="15"/>
  <c r="D204" i="15"/>
  <c r="C204" i="15"/>
  <c r="B204" i="15"/>
  <c r="G203" i="15"/>
  <c r="F203" i="15"/>
  <c r="E203" i="15"/>
  <c r="D203" i="15"/>
  <c r="C203" i="15"/>
  <c r="B203" i="15"/>
  <c r="G202" i="15"/>
  <c r="F202" i="15"/>
  <c r="E202" i="15"/>
  <c r="D202" i="15"/>
  <c r="C202" i="15"/>
  <c r="B202" i="15"/>
  <c r="G201" i="15"/>
  <c r="F201" i="15"/>
  <c r="E201" i="15"/>
  <c r="D201" i="15"/>
  <c r="C201" i="15"/>
  <c r="B201" i="15"/>
  <c r="G200" i="15"/>
  <c r="F200" i="15"/>
  <c r="E200" i="15"/>
  <c r="D200" i="15"/>
  <c r="C200" i="15"/>
  <c r="B200" i="15"/>
  <c r="G199" i="15"/>
  <c r="F199" i="15"/>
  <c r="E199" i="15"/>
  <c r="D199" i="15"/>
  <c r="C199" i="15"/>
  <c r="B199" i="15"/>
  <c r="G198" i="15"/>
  <c r="F198" i="15"/>
  <c r="E198" i="15"/>
  <c r="D198" i="15"/>
  <c r="C198" i="15"/>
  <c r="B198" i="15"/>
  <c r="G197" i="15"/>
  <c r="F197" i="15"/>
  <c r="E197" i="15"/>
  <c r="D197" i="15"/>
  <c r="C197" i="15"/>
  <c r="B197" i="15"/>
  <c r="G196" i="15"/>
  <c r="F196" i="15"/>
  <c r="E196" i="15"/>
  <c r="D196" i="15"/>
  <c r="C196" i="15"/>
  <c r="B196" i="15"/>
  <c r="G195" i="15"/>
  <c r="F195" i="15"/>
  <c r="E195" i="15"/>
  <c r="D195" i="15"/>
  <c r="C195" i="15"/>
  <c r="B195" i="15"/>
  <c r="G194" i="15"/>
  <c r="F194" i="15"/>
  <c r="E194" i="15"/>
  <c r="D194" i="15"/>
  <c r="C194" i="15"/>
  <c r="B194" i="15"/>
  <c r="G193" i="15"/>
  <c r="F193" i="15"/>
  <c r="E193" i="15"/>
  <c r="D193" i="15"/>
  <c r="C193" i="15"/>
  <c r="B193" i="15"/>
  <c r="G192" i="15"/>
  <c r="F192" i="15"/>
  <c r="E192" i="15"/>
  <c r="D192" i="15"/>
  <c r="C192" i="15"/>
  <c r="B192" i="15"/>
  <c r="G191" i="15"/>
  <c r="F191" i="15"/>
  <c r="E191" i="15"/>
  <c r="D191" i="15"/>
  <c r="C191" i="15"/>
  <c r="B191" i="15"/>
  <c r="G190" i="15"/>
  <c r="F190" i="15"/>
  <c r="E190" i="15"/>
  <c r="D190" i="15"/>
  <c r="C190" i="15"/>
  <c r="B190" i="15"/>
  <c r="G189" i="15"/>
  <c r="F189" i="15"/>
  <c r="E189" i="15"/>
  <c r="D189" i="15"/>
  <c r="C189" i="15"/>
  <c r="B189" i="15"/>
  <c r="G188" i="15"/>
  <c r="F188" i="15"/>
  <c r="E188" i="15"/>
  <c r="D188" i="15"/>
  <c r="C188" i="15"/>
  <c r="B188" i="15"/>
  <c r="G187" i="15"/>
  <c r="F187" i="15"/>
  <c r="E187" i="15"/>
  <c r="D187" i="15"/>
  <c r="C187" i="15"/>
  <c r="B187" i="15"/>
  <c r="G186" i="15"/>
  <c r="F186" i="15"/>
  <c r="E186" i="15"/>
  <c r="D186" i="15"/>
  <c r="C186" i="15"/>
  <c r="B186" i="15"/>
  <c r="G185" i="15"/>
  <c r="F185" i="15"/>
  <c r="E185" i="15"/>
  <c r="D185" i="15"/>
  <c r="C185" i="15"/>
  <c r="B185" i="15"/>
  <c r="G184" i="15"/>
  <c r="F184" i="15"/>
  <c r="E184" i="15"/>
  <c r="D184" i="15"/>
  <c r="C184" i="15"/>
  <c r="B184" i="15"/>
  <c r="G183" i="15"/>
  <c r="F183" i="15"/>
  <c r="E183" i="15"/>
  <c r="D183" i="15"/>
  <c r="C183" i="15"/>
  <c r="B183" i="15"/>
  <c r="G182" i="15"/>
  <c r="F182" i="15"/>
  <c r="E182" i="15"/>
  <c r="D182" i="15"/>
  <c r="C182" i="15"/>
  <c r="B182" i="15"/>
  <c r="G181" i="15"/>
  <c r="F181" i="15"/>
  <c r="E181" i="15"/>
  <c r="D181" i="15"/>
  <c r="C181" i="15"/>
  <c r="B181" i="15"/>
  <c r="G180" i="15"/>
  <c r="F180" i="15"/>
  <c r="E180" i="15"/>
  <c r="D180" i="15"/>
  <c r="C180" i="15"/>
  <c r="B180" i="15"/>
  <c r="G179" i="15"/>
  <c r="F179" i="15"/>
  <c r="E179" i="15"/>
  <c r="D179" i="15"/>
  <c r="C179" i="15"/>
  <c r="B179" i="15"/>
  <c r="G178" i="15"/>
  <c r="F178" i="15"/>
  <c r="E178" i="15"/>
  <c r="D178" i="15"/>
  <c r="C178" i="15"/>
  <c r="B178" i="15"/>
  <c r="G177" i="15"/>
  <c r="F177" i="15"/>
  <c r="E177" i="15"/>
  <c r="D177" i="15"/>
  <c r="C177" i="15"/>
  <c r="B177" i="15"/>
  <c r="G176" i="15"/>
  <c r="F176" i="15"/>
  <c r="E176" i="15"/>
  <c r="D176" i="15"/>
  <c r="C176" i="15"/>
  <c r="B176" i="15"/>
  <c r="G175" i="15"/>
  <c r="F175" i="15"/>
  <c r="E175" i="15"/>
  <c r="D175" i="15"/>
  <c r="C175" i="15"/>
  <c r="B175" i="15"/>
  <c r="G174" i="15"/>
  <c r="F174" i="15"/>
  <c r="E174" i="15"/>
  <c r="D174" i="15"/>
  <c r="C174" i="15"/>
  <c r="B174" i="15"/>
  <c r="G173" i="15"/>
  <c r="F173" i="15"/>
  <c r="E173" i="15"/>
  <c r="D173" i="15"/>
  <c r="C173" i="15"/>
  <c r="B173" i="15"/>
  <c r="G172" i="15"/>
  <c r="F172" i="15"/>
  <c r="E172" i="15"/>
  <c r="D172" i="15"/>
  <c r="C172" i="15"/>
  <c r="B172" i="15"/>
  <c r="G171" i="15"/>
  <c r="F171" i="15"/>
  <c r="E171" i="15"/>
  <c r="D171" i="15"/>
  <c r="C171" i="15"/>
  <c r="B171" i="15"/>
  <c r="G170" i="15"/>
  <c r="F170" i="15"/>
  <c r="E170" i="15"/>
  <c r="D170" i="15"/>
  <c r="C170" i="15"/>
  <c r="B170" i="15"/>
  <c r="G169" i="15"/>
  <c r="F169" i="15"/>
  <c r="E169" i="15"/>
  <c r="D169" i="15"/>
  <c r="C169" i="15"/>
  <c r="B169" i="15"/>
  <c r="G168" i="15"/>
  <c r="F168" i="15"/>
  <c r="E168" i="15"/>
  <c r="D168" i="15"/>
  <c r="C168" i="15"/>
  <c r="B168" i="15"/>
  <c r="G167" i="15"/>
  <c r="F167" i="15"/>
  <c r="E167" i="15"/>
  <c r="D167" i="15"/>
  <c r="C167" i="15"/>
  <c r="B167" i="15"/>
  <c r="G166" i="15"/>
  <c r="F166" i="15"/>
  <c r="E166" i="15"/>
  <c r="D166" i="15"/>
  <c r="C166" i="15"/>
  <c r="B166" i="15"/>
  <c r="G165" i="15"/>
  <c r="F165" i="15"/>
  <c r="E165" i="15"/>
  <c r="D165" i="15"/>
  <c r="C165" i="15"/>
  <c r="B165" i="15"/>
  <c r="G164" i="15"/>
  <c r="F164" i="15"/>
  <c r="E164" i="15"/>
  <c r="D164" i="15"/>
  <c r="C164" i="15"/>
  <c r="B164" i="15"/>
  <c r="G163" i="15"/>
  <c r="F163" i="15"/>
  <c r="E163" i="15"/>
  <c r="D163" i="15"/>
  <c r="C163" i="15"/>
  <c r="B163" i="15"/>
  <c r="G162" i="15"/>
  <c r="F162" i="15"/>
  <c r="E162" i="15"/>
  <c r="D162" i="15"/>
  <c r="C162" i="15"/>
  <c r="B162" i="15"/>
  <c r="G161" i="15"/>
  <c r="F161" i="15"/>
  <c r="E161" i="15"/>
  <c r="D161" i="15"/>
  <c r="C161" i="15"/>
  <c r="B161" i="15"/>
  <c r="G160" i="15"/>
  <c r="F160" i="15"/>
  <c r="E160" i="15"/>
  <c r="D160" i="15"/>
  <c r="C160" i="15"/>
  <c r="B160" i="15"/>
  <c r="G159" i="15"/>
  <c r="F159" i="15"/>
  <c r="E159" i="15"/>
  <c r="D159" i="15"/>
  <c r="C159" i="15"/>
  <c r="B159" i="15"/>
  <c r="G158" i="15"/>
  <c r="F158" i="15"/>
  <c r="E158" i="15"/>
  <c r="D158" i="15"/>
  <c r="C158" i="15"/>
  <c r="B158" i="15"/>
  <c r="G157" i="15"/>
  <c r="F157" i="15"/>
  <c r="E157" i="15"/>
  <c r="D157" i="15"/>
  <c r="C157" i="15"/>
  <c r="B157" i="15"/>
  <c r="G156" i="15"/>
  <c r="F156" i="15"/>
  <c r="E156" i="15"/>
  <c r="D156" i="15"/>
  <c r="C156" i="15"/>
  <c r="B156" i="15"/>
  <c r="G155" i="15"/>
  <c r="F155" i="15"/>
  <c r="E155" i="15"/>
  <c r="D155" i="15"/>
  <c r="C155" i="15"/>
  <c r="B155" i="15"/>
  <c r="G154" i="15"/>
  <c r="F154" i="15"/>
  <c r="E154" i="15"/>
  <c r="D154" i="15"/>
  <c r="C154" i="15"/>
  <c r="B154" i="15"/>
  <c r="G153" i="15"/>
  <c r="F153" i="15"/>
  <c r="E153" i="15"/>
  <c r="D153" i="15"/>
  <c r="C153" i="15"/>
  <c r="B153" i="15"/>
  <c r="G152" i="15"/>
  <c r="F152" i="15"/>
  <c r="E152" i="15"/>
  <c r="D152" i="15"/>
  <c r="C152" i="15"/>
  <c r="B152" i="15"/>
  <c r="G151" i="15"/>
  <c r="F151" i="15"/>
  <c r="E151" i="15"/>
  <c r="D151" i="15"/>
  <c r="C151" i="15"/>
  <c r="B151" i="15"/>
  <c r="G150" i="15"/>
  <c r="F150" i="15"/>
  <c r="E150" i="15"/>
  <c r="D150" i="15"/>
  <c r="C150" i="15"/>
  <c r="B150" i="15"/>
  <c r="G149" i="15"/>
  <c r="F149" i="15"/>
  <c r="E149" i="15"/>
  <c r="D149" i="15"/>
  <c r="C149" i="15"/>
  <c r="B149" i="15"/>
  <c r="G148" i="15"/>
  <c r="F148" i="15"/>
  <c r="E148" i="15"/>
  <c r="D148" i="15"/>
  <c r="C148" i="15"/>
  <c r="B148" i="15"/>
  <c r="G147" i="15"/>
  <c r="F147" i="15"/>
  <c r="E147" i="15"/>
  <c r="D147" i="15"/>
  <c r="C147" i="15"/>
  <c r="B147" i="15"/>
  <c r="G146" i="15"/>
  <c r="F146" i="15"/>
  <c r="E146" i="15"/>
  <c r="D146" i="15"/>
  <c r="C146" i="15"/>
  <c r="B146" i="15"/>
  <c r="G145" i="15"/>
  <c r="F145" i="15"/>
  <c r="E145" i="15"/>
  <c r="D145" i="15"/>
  <c r="C145" i="15"/>
  <c r="B145" i="15"/>
  <c r="G144" i="15"/>
  <c r="F144" i="15"/>
  <c r="E144" i="15"/>
  <c r="D144" i="15"/>
  <c r="C144" i="15"/>
  <c r="B144" i="15"/>
  <c r="G143" i="15"/>
  <c r="F143" i="15"/>
  <c r="E143" i="15"/>
  <c r="D143" i="15"/>
  <c r="C143" i="15"/>
  <c r="B143" i="15"/>
  <c r="G142" i="15"/>
  <c r="F142" i="15"/>
  <c r="E142" i="15"/>
  <c r="D142" i="15"/>
  <c r="C142" i="15"/>
  <c r="B142" i="15"/>
  <c r="G141" i="15"/>
  <c r="F141" i="15"/>
  <c r="E141" i="15"/>
  <c r="D141" i="15"/>
  <c r="C141" i="15"/>
  <c r="B141" i="15"/>
  <c r="G140" i="15"/>
  <c r="F140" i="15"/>
  <c r="E140" i="15"/>
  <c r="D140" i="15"/>
  <c r="C140" i="15"/>
  <c r="B140" i="15"/>
  <c r="G139" i="15"/>
  <c r="F139" i="15"/>
  <c r="E139" i="15"/>
  <c r="D139" i="15"/>
  <c r="C139" i="15"/>
  <c r="B139" i="15"/>
  <c r="G138" i="15"/>
  <c r="F138" i="15"/>
  <c r="E138" i="15"/>
  <c r="D138" i="15"/>
  <c r="C138" i="15"/>
  <c r="B138" i="15"/>
  <c r="G137" i="15"/>
  <c r="F137" i="15"/>
  <c r="E137" i="15"/>
  <c r="D137" i="15"/>
  <c r="C137" i="15"/>
  <c r="B137" i="15"/>
  <c r="G136" i="15"/>
  <c r="F136" i="15"/>
  <c r="E136" i="15"/>
  <c r="D136" i="15"/>
  <c r="C136" i="15"/>
  <c r="B136" i="15"/>
  <c r="G135" i="15"/>
  <c r="F135" i="15"/>
  <c r="E135" i="15"/>
  <c r="D135" i="15"/>
  <c r="C135" i="15"/>
  <c r="B135" i="15"/>
  <c r="G134" i="15"/>
  <c r="F134" i="15"/>
  <c r="E134" i="15"/>
  <c r="D134" i="15"/>
  <c r="C134" i="15"/>
  <c r="B134" i="15"/>
  <c r="G133" i="15"/>
  <c r="F133" i="15"/>
  <c r="E133" i="15"/>
  <c r="D133" i="15"/>
  <c r="C133" i="15"/>
  <c r="B133" i="15"/>
  <c r="G132" i="15"/>
  <c r="F132" i="15"/>
  <c r="E132" i="15"/>
  <c r="D132" i="15"/>
  <c r="C132" i="15"/>
  <c r="B132" i="15"/>
  <c r="G131" i="15"/>
  <c r="F131" i="15"/>
  <c r="E131" i="15"/>
  <c r="D131" i="15"/>
  <c r="C131" i="15"/>
  <c r="B131" i="15"/>
  <c r="G130" i="15"/>
  <c r="F130" i="15"/>
  <c r="E130" i="15"/>
  <c r="D130" i="15"/>
  <c r="C130" i="15"/>
  <c r="B130" i="15"/>
  <c r="G129" i="15"/>
  <c r="F129" i="15"/>
  <c r="E129" i="15"/>
  <c r="D129" i="15"/>
  <c r="C129" i="15"/>
  <c r="B129" i="15"/>
  <c r="G128" i="15"/>
  <c r="F128" i="15"/>
  <c r="E128" i="15"/>
  <c r="D128" i="15"/>
  <c r="C128" i="15"/>
  <c r="B128" i="15"/>
  <c r="G127" i="15"/>
  <c r="F127" i="15"/>
  <c r="E127" i="15"/>
  <c r="D127" i="15"/>
  <c r="C127" i="15"/>
  <c r="B127" i="15"/>
  <c r="G126" i="15"/>
  <c r="F126" i="15"/>
  <c r="E126" i="15"/>
  <c r="D126" i="15"/>
  <c r="C126" i="15"/>
  <c r="B126" i="15"/>
  <c r="G125" i="15"/>
  <c r="F125" i="15"/>
  <c r="E125" i="15"/>
  <c r="D125" i="15"/>
  <c r="C125" i="15"/>
  <c r="B125" i="15"/>
  <c r="G124" i="15"/>
  <c r="F124" i="15"/>
  <c r="E124" i="15"/>
  <c r="D124" i="15"/>
  <c r="C124" i="15"/>
  <c r="B124" i="15"/>
  <c r="G123" i="15"/>
  <c r="F123" i="15"/>
  <c r="E123" i="15"/>
  <c r="D123" i="15"/>
  <c r="C123" i="15"/>
  <c r="B123" i="15"/>
  <c r="G122" i="15"/>
  <c r="F122" i="15"/>
  <c r="E122" i="15"/>
  <c r="D122" i="15"/>
  <c r="C122" i="15"/>
  <c r="B122" i="15"/>
  <c r="G121" i="15"/>
  <c r="F121" i="15"/>
  <c r="E121" i="15"/>
  <c r="D121" i="15"/>
  <c r="C121" i="15"/>
  <c r="B121" i="15"/>
  <c r="G120" i="15"/>
  <c r="F120" i="15"/>
  <c r="E120" i="15"/>
  <c r="D120" i="15"/>
  <c r="C120" i="15"/>
  <c r="B120" i="15"/>
  <c r="G119" i="15"/>
  <c r="F119" i="15"/>
  <c r="E119" i="15"/>
  <c r="D119" i="15"/>
  <c r="C119" i="15"/>
  <c r="B119" i="15"/>
  <c r="G118" i="15"/>
  <c r="F118" i="15"/>
  <c r="E118" i="15"/>
  <c r="D118" i="15"/>
  <c r="C118" i="15"/>
  <c r="B118" i="15"/>
  <c r="G117" i="15"/>
  <c r="F117" i="15"/>
  <c r="E117" i="15"/>
  <c r="D117" i="15"/>
  <c r="C117" i="15"/>
  <c r="B117" i="15"/>
  <c r="G116" i="15"/>
  <c r="F116" i="15"/>
  <c r="E116" i="15"/>
  <c r="D116" i="15"/>
  <c r="C116" i="15"/>
  <c r="B116" i="15"/>
  <c r="G115" i="15"/>
  <c r="F115" i="15"/>
  <c r="E115" i="15"/>
  <c r="D115" i="15"/>
  <c r="C115" i="15"/>
  <c r="B115" i="15"/>
  <c r="G114" i="15"/>
  <c r="F114" i="15"/>
  <c r="E114" i="15"/>
  <c r="D114" i="15"/>
  <c r="C114" i="15"/>
  <c r="B114" i="15"/>
  <c r="G113" i="15"/>
  <c r="F113" i="15"/>
  <c r="E113" i="15"/>
  <c r="D113" i="15"/>
  <c r="C113" i="15"/>
  <c r="B113" i="15"/>
  <c r="G112" i="15"/>
  <c r="F112" i="15"/>
  <c r="E112" i="15"/>
  <c r="D112" i="15"/>
  <c r="C112" i="15"/>
  <c r="B112" i="15"/>
  <c r="G111" i="15"/>
  <c r="F111" i="15"/>
  <c r="E111" i="15"/>
  <c r="D111" i="15"/>
  <c r="C111" i="15"/>
  <c r="B111" i="15"/>
  <c r="G110" i="15"/>
  <c r="F110" i="15"/>
  <c r="E110" i="15"/>
  <c r="D110" i="15"/>
  <c r="C110" i="15"/>
  <c r="B110" i="15"/>
  <c r="G109" i="15"/>
  <c r="F109" i="15"/>
  <c r="E109" i="15"/>
  <c r="D109" i="15"/>
  <c r="C109" i="15"/>
  <c r="B109" i="15"/>
  <c r="G108" i="15"/>
  <c r="F108" i="15"/>
  <c r="E108" i="15"/>
  <c r="D108" i="15"/>
  <c r="C108" i="15"/>
  <c r="B108" i="15"/>
  <c r="G107" i="15"/>
  <c r="F107" i="15"/>
  <c r="E107" i="15"/>
  <c r="D107" i="15"/>
  <c r="C107" i="15"/>
  <c r="B107" i="15"/>
  <c r="G106" i="15"/>
  <c r="F106" i="15"/>
  <c r="E106" i="15"/>
  <c r="D106" i="15"/>
  <c r="C106" i="15"/>
  <c r="B106" i="15"/>
  <c r="G105" i="15"/>
  <c r="F105" i="15"/>
  <c r="E105" i="15"/>
  <c r="D105" i="15"/>
  <c r="C105" i="15"/>
  <c r="B105" i="15"/>
  <c r="G104" i="15"/>
  <c r="F104" i="15"/>
  <c r="E104" i="15"/>
  <c r="D104" i="15"/>
  <c r="C104" i="15"/>
  <c r="B104" i="15"/>
  <c r="G103" i="15"/>
  <c r="F103" i="15"/>
  <c r="E103" i="15"/>
  <c r="D103" i="15"/>
  <c r="C103" i="15"/>
  <c r="B103" i="15"/>
  <c r="G102" i="15"/>
  <c r="F102" i="15"/>
  <c r="E102" i="15"/>
  <c r="D102" i="15"/>
  <c r="C102" i="15"/>
  <c r="B102" i="15"/>
  <c r="G101" i="15"/>
  <c r="F101" i="15"/>
  <c r="E101" i="15"/>
  <c r="D101" i="15"/>
  <c r="C101" i="15"/>
  <c r="B101" i="15"/>
  <c r="G100" i="15"/>
  <c r="F100" i="15"/>
  <c r="E100" i="15"/>
  <c r="D100" i="15"/>
  <c r="C100" i="15"/>
  <c r="B100" i="15"/>
  <c r="G99" i="15"/>
  <c r="F99" i="15"/>
  <c r="E99" i="15"/>
  <c r="D99" i="15"/>
  <c r="C99" i="15"/>
  <c r="B99" i="15"/>
  <c r="G98" i="15"/>
  <c r="F98" i="15"/>
  <c r="E98" i="15"/>
  <c r="D98" i="15"/>
  <c r="C98" i="15"/>
  <c r="B98" i="15"/>
  <c r="G97" i="15"/>
  <c r="F97" i="15"/>
  <c r="E97" i="15"/>
  <c r="D97" i="15"/>
  <c r="C97" i="15"/>
  <c r="B97" i="15"/>
  <c r="G96" i="15"/>
  <c r="F96" i="15"/>
  <c r="E96" i="15"/>
  <c r="D96" i="15"/>
  <c r="C96" i="15"/>
  <c r="B96" i="15"/>
  <c r="G95" i="15"/>
  <c r="F95" i="15"/>
  <c r="E95" i="15"/>
  <c r="D95" i="15"/>
  <c r="C95" i="15"/>
  <c r="B95" i="15"/>
  <c r="G94" i="15"/>
  <c r="F94" i="15"/>
  <c r="E94" i="15"/>
  <c r="D94" i="15"/>
  <c r="C94" i="15"/>
  <c r="B94" i="15"/>
  <c r="G93" i="15"/>
  <c r="F93" i="15"/>
  <c r="E93" i="15"/>
  <c r="D93" i="15"/>
  <c r="C93" i="15"/>
  <c r="B93" i="15"/>
  <c r="G92" i="15"/>
  <c r="F92" i="15"/>
  <c r="E92" i="15"/>
  <c r="D92" i="15"/>
  <c r="C92" i="15"/>
  <c r="B92" i="15"/>
  <c r="G91" i="15"/>
  <c r="F91" i="15"/>
  <c r="E91" i="15"/>
  <c r="D91" i="15"/>
  <c r="C91" i="15"/>
  <c r="B91" i="15"/>
  <c r="G90" i="15"/>
  <c r="F90" i="15"/>
  <c r="E90" i="15"/>
  <c r="D90" i="15"/>
  <c r="C90" i="15"/>
  <c r="B90" i="15"/>
  <c r="G89" i="15"/>
  <c r="F89" i="15"/>
  <c r="E89" i="15"/>
  <c r="D89" i="15"/>
  <c r="C89" i="15"/>
  <c r="B89" i="15"/>
  <c r="G88" i="15"/>
  <c r="F88" i="15"/>
  <c r="E88" i="15"/>
  <c r="D88" i="15"/>
  <c r="C88" i="15"/>
  <c r="B88" i="15"/>
  <c r="G87" i="15"/>
  <c r="F87" i="15"/>
  <c r="E87" i="15"/>
  <c r="D87" i="15"/>
  <c r="C87" i="15"/>
  <c r="B87" i="15"/>
  <c r="G86" i="15"/>
  <c r="F86" i="15"/>
  <c r="E86" i="15"/>
  <c r="D86" i="15"/>
  <c r="C86" i="15"/>
  <c r="B86" i="15"/>
  <c r="G85" i="15"/>
  <c r="F85" i="15"/>
  <c r="E85" i="15"/>
  <c r="D85" i="15"/>
  <c r="C85" i="15"/>
  <c r="B85" i="15"/>
  <c r="G84" i="15"/>
  <c r="F84" i="15"/>
  <c r="E84" i="15"/>
  <c r="D84" i="15"/>
  <c r="C84" i="15"/>
  <c r="B84" i="15"/>
  <c r="G83" i="15"/>
  <c r="F83" i="15"/>
  <c r="E83" i="15"/>
  <c r="D83" i="15"/>
  <c r="C83" i="15"/>
  <c r="B83" i="15"/>
  <c r="G82" i="15"/>
  <c r="F82" i="15"/>
  <c r="E82" i="15"/>
  <c r="D82" i="15"/>
  <c r="C82" i="15"/>
  <c r="B82" i="15"/>
  <c r="G81" i="15"/>
  <c r="F81" i="15"/>
  <c r="E81" i="15"/>
  <c r="D81" i="15"/>
  <c r="C81" i="15"/>
  <c r="B81" i="15"/>
  <c r="G80" i="15"/>
  <c r="F80" i="15"/>
  <c r="E80" i="15"/>
  <c r="D80" i="15"/>
  <c r="C80" i="15"/>
  <c r="B80" i="15"/>
  <c r="G79" i="15"/>
  <c r="F79" i="15"/>
  <c r="E79" i="15"/>
  <c r="D79" i="15"/>
  <c r="C79" i="15"/>
  <c r="B79" i="15"/>
  <c r="G78" i="15"/>
  <c r="F78" i="15"/>
  <c r="E78" i="15"/>
  <c r="D78" i="15"/>
  <c r="C78" i="15"/>
  <c r="B78" i="15"/>
  <c r="G77" i="15"/>
  <c r="F77" i="15"/>
  <c r="E77" i="15"/>
  <c r="D77" i="15"/>
  <c r="C77" i="15"/>
  <c r="B77" i="15"/>
  <c r="G76" i="15"/>
  <c r="F76" i="15"/>
  <c r="E76" i="15"/>
  <c r="D76" i="15"/>
  <c r="C76" i="15"/>
  <c r="B76" i="15"/>
  <c r="G75" i="15"/>
  <c r="F75" i="15"/>
  <c r="E75" i="15"/>
  <c r="D75" i="15"/>
  <c r="C75" i="15"/>
  <c r="B75" i="15"/>
  <c r="G74" i="15"/>
  <c r="F74" i="15"/>
  <c r="E74" i="15"/>
  <c r="D74" i="15"/>
  <c r="C74" i="15"/>
  <c r="B74" i="15"/>
  <c r="G73" i="15"/>
  <c r="F73" i="15"/>
  <c r="E73" i="15"/>
  <c r="D73" i="15"/>
  <c r="C73" i="15"/>
  <c r="B73" i="15"/>
  <c r="G72" i="15"/>
  <c r="F72" i="15"/>
  <c r="E72" i="15"/>
  <c r="D72" i="15"/>
  <c r="C72" i="15"/>
  <c r="B72" i="15"/>
  <c r="G71" i="15"/>
  <c r="F71" i="15"/>
  <c r="E71" i="15"/>
  <c r="D71" i="15"/>
  <c r="C71" i="15"/>
  <c r="B71" i="15"/>
  <c r="G70" i="15"/>
  <c r="F70" i="15"/>
  <c r="E70" i="15"/>
  <c r="D70" i="15"/>
  <c r="C70" i="15"/>
  <c r="B70" i="15"/>
  <c r="G69" i="15"/>
  <c r="F69" i="15"/>
  <c r="E69" i="15"/>
  <c r="D69" i="15"/>
  <c r="C69" i="15"/>
  <c r="B69" i="15"/>
  <c r="G68" i="15"/>
  <c r="F68" i="15"/>
  <c r="E68" i="15"/>
  <c r="D68" i="15"/>
  <c r="C68" i="15"/>
  <c r="B68" i="15"/>
  <c r="G67" i="15"/>
  <c r="F67" i="15"/>
  <c r="E67" i="15"/>
  <c r="D67" i="15"/>
  <c r="C67" i="15"/>
  <c r="B67" i="15"/>
  <c r="G66" i="15"/>
  <c r="F66" i="15"/>
  <c r="E66" i="15"/>
  <c r="D66" i="15"/>
  <c r="C66" i="15"/>
  <c r="B66" i="15"/>
  <c r="G65" i="15"/>
  <c r="F65" i="15"/>
  <c r="E65" i="15"/>
  <c r="D65" i="15"/>
  <c r="C65" i="15"/>
  <c r="B65" i="15"/>
  <c r="G64" i="15"/>
  <c r="F64" i="15"/>
  <c r="E64" i="15"/>
  <c r="D64" i="15"/>
  <c r="C64" i="15"/>
  <c r="B64" i="15"/>
  <c r="G63" i="15"/>
  <c r="F63" i="15"/>
  <c r="E63" i="15"/>
  <c r="D63" i="15"/>
  <c r="C63" i="15"/>
  <c r="B63" i="15"/>
  <c r="G62" i="15"/>
  <c r="F62" i="15"/>
  <c r="E62" i="15"/>
  <c r="D62" i="15"/>
  <c r="C62" i="15"/>
  <c r="B62" i="15"/>
  <c r="G61" i="15"/>
  <c r="F61" i="15"/>
  <c r="E61" i="15"/>
  <c r="D61" i="15"/>
  <c r="C61" i="15"/>
  <c r="B61" i="15"/>
  <c r="G60" i="15"/>
  <c r="F60" i="15"/>
  <c r="E60" i="15"/>
  <c r="D60" i="15"/>
  <c r="C60" i="15"/>
  <c r="B60" i="15"/>
  <c r="G59" i="15"/>
  <c r="F59" i="15"/>
  <c r="E59" i="15"/>
  <c r="D59" i="15"/>
  <c r="C59" i="15"/>
  <c r="B59" i="15"/>
  <c r="G58" i="15"/>
  <c r="F58" i="15"/>
  <c r="E58" i="15"/>
  <c r="D58" i="15"/>
  <c r="C58" i="15"/>
  <c r="B58" i="15"/>
  <c r="G57" i="15"/>
  <c r="F57" i="15"/>
  <c r="E57" i="15"/>
  <c r="D57" i="15"/>
  <c r="C57" i="15"/>
  <c r="B57" i="15"/>
  <c r="G56" i="15"/>
  <c r="F56" i="15"/>
  <c r="E56" i="15"/>
  <c r="D56" i="15"/>
  <c r="C56" i="15"/>
  <c r="B56" i="15"/>
  <c r="G55" i="15"/>
  <c r="F55" i="15"/>
  <c r="E55" i="15"/>
  <c r="D55" i="15"/>
  <c r="C55" i="15"/>
  <c r="B55" i="15"/>
  <c r="G54" i="15"/>
  <c r="F54" i="15"/>
  <c r="E54" i="15"/>
  <c r="D54" i="15"/>
  <c r="C54" i="15"/>
  <c r="B54" i="15"/>
  <c r="G53" i="15"/>
  <c r="F53" i="15"/>
  <c r="E53" i="15"/>
  <c r="D53" i="15"/>
  <c r="C53" i="15"/>
  <c r="B53" i="15"/>
  <c r="G52" i="15"/>
  <c r="F52" i="15"/>
  <c r="E52" i="15"/>
  <c r="D52" i="15"/>
  <c r="C52" i="15"/>
  <c r="B52" i="15"/>
  <c r="G51" i="15"/>
  <c r="F51" i="15"/>
  <c r="E51" i="15"/>
  <c r="D51" i="15"/>
  <c r="C51" i="15"/>
  <c r="B51" i="15"/>
  <c r="G50" i="15"/>
  <c r="F50" i="15"/>
  <c r="E50" i="15"/>
  <c r="D50" i="15"/>
  <c r="C50" i="15"/>
  <c r="B50" i="15"/>
  <c r="G49" i="15"/>
  <c r="F49" i="15"/>
  <c r="E49" i="15"/>
  <c r="D49" i="15"/>
  <c r="C49" i="15"/>
  <c r="B49" i="15"/>
  <c r="G48" i="15"/>
  <c r="F48" i="15"/>
  <c r="E48" i="15"/>
  <c r="D48" i="15"/>
  <c r="C48" i="15"/>
  <c r="B48" i="15"/>
  <c r="G47" i="15"/>
  <c r="F47" i="15"/>
  <c r="E47" i="15"/>
  <c r="D47" i="15"/>
  <c r="C47" i="15"/>
  <c r="B47" i="15"/>
  <c r="G46" i="15"/>
  <c r="F46" i="15"/>
  <c r="E46" i="15"/>
  <c r="D46" i="15"/>
  <c r="C46" i="15"/>
  <c r="B46" i="15"/>
  <c r="G45" i="15"/>
  <c r="F45" i="15"/>
  <c r="E45" i="15"/>
  <c r="D45" i="15"/>
  <c r="C45" i="15"/>
  <c r="B45" i="15"/>
  <c r="G44" i="15"/>
  <c r="F44" i="15"/>
  <c r="E44" i="15"/>
  <c r="D44" i="15"/>
  <c r="C44" i="15"/>
  <c r="B44" i="15"/>
  <c r="G43" i="15"/>
  <c r="F43" i="15"/>
  <c r="E43" i="15"/>
  <c r="D43" i="15"/>
  <c r="C43" i="15"/>
  <c r="B43" i="15"/>
  <c r="G42" i="15"/>
  <c r="F42" i="15"/>
  <c r="E42" i="15"/>
  <c r="D42" i="15"/>
  <c r="C42" i="15"/>
  <c r="B42" i="15"/>
  <c r="G41" i="15"/>
  <c r="F41" i="15"/>
  <c r="E41" i="15"/>
  <c r="D41" i="15"/>
  <c r="C41" i="15"/>
  <c r="B41" i="15"/>
  <c r="G40" i="15"/>
  <c r="F40" i="15"/>
  <c r="E40" i="15"/>
  <c r="D40" i="15"/>
  <c r="C40" i="15"/>
  <c r="B40" i="15"/>
  <c r="G39" i="15"/>
  <c r="F39" i="15"/>
  <c r="E39" i="15"/>
  <c r="D39" i="15"/>
  <c r="C39" i="15"/>
  <c r="B39" i="15"/>
  <c r="G38" i="15"/>
  <c r="F38" i="15"/>
  <c r="E38" i="15"/>
  <c r="D38" i="15"/>
  <c r="C38" i="15"/>
  <c r="B38" i="15"/>
  <c r="G37" i="15"/>
  <c r="F37" i="15"/>
  <c r="E37" i="15"/>
  <c r="D37" i="15"/>
  <c r="C37" i="15"/>
  <c r="B37" i="15"/>
  <c r="G36" i="15"/>
  <c r="F36" i="15"/>
  <c r="E36" i="15"/>
  <c r="D36" i="15"/>
  <c r="C36" i="15"/>
  <c r="B36" i="15"/>
  <c r="G35" i="15"/>
  <c r="F35" i="15"/>
  <c r="E35" i="15"/>
  <c r="D35" i="15"/>
  <c r="C35" i="15"/>
  <c r="B35" i="15"/>
  <c r="G34" i="15"/>
  <c r="F34" i="15"/>
  <c r="E34" i="15"/>
  <c r="D34" i="15"/>
  <c r="C34" i="15"/>
  <c r="B34" i="15"/>
  <c r="G33" i="15"/>
  <c r="F33" i="15"/>
  <c r="E33" i="15"/>
  <c r="D33" i="15"/>
  <c r="C33" i="15"/>
  <c r="B33" i="15"/>
  <c r="G32" i="15"/>
  <c r="F32" i="15"/>
  <c r="E32" i="15"/>
  <c r="D32" i="15"/>
  <c r="C32" i="15"/>
  <c r="B32" i="15"/>
  <c r="G31" i="15"/>
  <c r="F31" i="15"/>
  <c r="E31" i="15"/>
  <c r="D31" i="15"/>
  <c r="C31" i="15"/>
  <c r="B31" i="15"/>
  <c r="G30" i="15"/>
  <c r="F30" i="15"/>
  <c r="E30" i="15"/>
  <c r="D30" i="15"/>
  <c r="C30" i="15"/>
  <c r="B30" i="15"/>
  <c r="G29" i="15"/>
  <c r="F29" i="15"/>
  <c r="E29" i="15"/>
  <c r="D29" i="15"/>
  <c r="C29" i="15"/>
  <c r="B29" i="15"/>
  <c r="G28" i="15"/>
  <c r="F28" i="15"/>
  <c r="E28" i="15"/>
  <c r="D28" i="15"/>
  <c r="C28" i="15"/>
  <c r="B28" i="15"/>
  <c r="G27" i="15"/>
  <c r="F27" i="15"/>
  <c r="E27" i="15"/>
  <c r="D27" i="15"/>
  <c r="C27" i="15"/>
  <c r="B27" i="15"/>
  <c r="B18" i="15"/>
  <c r="D14" i="15"/>
  <c r="C14" i="15"/>
  <c r="B14" i="15"/>
  <c r="E10" i="15"/>
  <c r="D10" i="15"/>
  <c r="B10" i="15"/>
  <c r="B7" i="15"/>
  <c r="G278" i="14"/>
  <c r="F278" i="14"/>
  <c r="E278" i="14"/>
  <c r="D278" i="14"/>
  <c r="C278" i="14"/>
  <c r="B278" i="14"/>
  <c r="G277" i="14"/>
  <c r="F277" i="14"/>
  <c r="E277" i="14"/>
  <c r="D277" i="14"/>
  <c r="C277" i="14"/>
  <c r="B277" i="14"/>
  <c r="G276" i="14"/>
  <c r="F276" i="14"/>
  <c r="E276" i="14"/>
  <c r="D276" i="14"/>
  <c r="C276" i="14"/>
  <c r="B276" i="14"/>
  <c r="G275" i="14"/>
  <c r="F275" i="14"/>
  <c r="E275" i="14"/>
  <c r="D275" i="14"/>
  <c r="C275" i="14"/>
  <c r="B275" i="14"/>
  <c r="G274" i="14"/>
  <c r="F274" i="14"/>
  <c r="E274" i="14"/>
  <c r="D274" i="14"/>
  <c r="C274" i="14"/>
  <c r="B274" i="14"/>
  <c r="G273" i="14"/>
  <c r="F273" i="14"/>
  <c r="E273" i="14"/>
  <c r="D273" i="14"/>
  <c r="C273" i="14"/>
  <c r="B273" i="14"/>
  <c r="G272" i="14"/>
  <c r="F272" i="14"/>
  <c r="E272" i="14"/>
  <c r="D272" i="14"/>
  <c r="C272" i="14"/>
  <c r="B272" i="14"/>
  <c r="G271" i="14"/>
  <c r="F271" i="14"/>
  <c r="E271" i="14"/>
  <c r="D271" i="14"/>
  <c r="C271" i="14"/>
  <c r="B271" i="14"/>
  <c r="G270" i="14"/>
  <c r="F270" i="14"/>
  <c r="E270" i="14"/>
  <c r="D270" i="14"/>
  <c r="C270" i="14"/>
  <c r="B270" i="14"/>
  <c r="G269" i="14"/>
  <c r="F269" i="14"/>
  <c r="E269" i="14"/>
  <c r="D269" i="14"/>
  <c r="C269" i="14"/>
  <c r="B269" i="14"/>
  <c r="G268" i="14"/>
  <c r="F268" i="14"/>
  <c r="E268" i="14"/>
  <c r="D268" i="14"/>
  <c r="C268" i="14"/>
  <c r="B268" i="14"/>
  <c r="G267" i="14"/>
  <c r="F267" i="14"/>
  <c r="E267" i="14"/>
  <c r="D267" i="14"/>
  <c r="C267" i="14"/>
  <c r="B267" i="14"/>
  <c r="G266" i="14"/>
  <c r="F266" i="14"/>
  <c r="E266" i="14"/>
  <c r="D266" i="14"/>
  <c r="C266" i="14"/>
  <c r="B266" i="14"/>
  <c r="G265" i="14"/>
  <c r="F265" i="14"/>
  <c r="E265" i="14"/>
  <c r="D265" i="14"/>
  <c r="C265" i="14"/>
  <c r="B265" i="14"/>
  <c r="G264" i="14"/>
  <c r="F264" i="14"/>
  <c r="E264" i="14"/>
  <c r="D264" i="14"/>
  <c r="C264" i="14"/>
  <c r="B264" i="14"/>
  <c r="G263" i="14"/>
  <c r="F263" i="14"/>
  <c r="E263" i="14"/>
  <c r="D263" i="14"/>
  <c r="C263" i="14"/>
  <c r="B263" i="14"/>
  <c r="G262" i="14"/>
  <c r="F262" i="14"/>
  <c r="E262" i="14"/>
  <c r="D262" i="14"/>
  <c r="C262" i="14"/>
  <c r="B262" i="14"/>
  <c r="G261" i="14"/>
  <c r="F261" i="14"/>
  <c r="E261" i="14"/>
  <c r="D261" i="14"/>
  <c r="C261" i="14"/>
  <c r="B261" i="14"/>
  <c r="G260" i="14"/>
  <c r="F260" i="14"/>
  <c r="E260" i="14"/>
  <c r="D260" i="14"/>
  <c r="C260" i="14"/>
  <c r="B260" i="14"/>
  <c r="G259" i="14"/>
  <c r="F259" i="14"/>
  <c r="E259" i="14"/>
  <c r="D259" i="14"/>
  <c r="C259" i="14"/>
  <c r="B259" i="14"/>
  <c r="G258" i="14"/>
  <c r="F258" i="14"/>
  <c r="E258" i="14"/>
  <c r="D258" i="14"/>
  <c r="C258" i="14"/>
  <c r="B258" i="14"/>
  <c r="G257" i="14"/>
  <c r="F257" i="14"/>
  <c r="E257" i="14"/>
  <c r="D257" i="14"/>
  <c r="C257" i="14"/>
  <c r="B257" i="14"/>
  <c r="G256" i="14"/>
  <c r="F256" i="14"/>
  <c r="P46" i="2" s="1"/>
  <c r="E256" i="14"/>
  <c r="D256" i="14"/>
  <c r="C256" i="14"/>
  <c r="B256" i="14"/>
  <c r="G255" i="14"/>
  <c r="F255" i="14"/>
  <c r="E255" i="14"/>
  <c r="D255" i="14"/>
  <c r="C255" i="14"/>
  <c r="B255" i="14"/>
  <c r="G254" i="14"/>
  <c r="F254" i="14"/>
  <c r="E254" i="14"/>
  <c r="D254" i="14"/>
  <c r="C254" i="14"/>
  <c r="B254" i="14"/>
  <c r="G253" i="14"/>
  <c r="F253" i="14"/>
  <c r="E253" i="14"/>
  <c r="D253" i="14"/>
  <c r="C253" i="14"/>
  <c r="B253" i="14"/>
  <c r="G252" i="14"/>
  <c r="F252" i="14"/>
  <c r="E252" i="14"/>
  <c r="D252" i="14"/>
  <c r="C252" i="14"/>
  <c r="B252" i="14"/>
  <c r="G251" i="14"/>
  <c r="F251" i="14"/>
  <c r="E251" i="14"/>
  <c r="D251" i="14"/>
  <c r="C251" i="14"/>
  <c r="B251" i="14"/>
  <c r="G250" i="14"/>
  <c r="F250" i="14"/>
  <c r="E250" i="14"/>
  <c r="D250" i="14"/>
  <c r="C250" i="14"/>
  <c r="B250" i="14"/>
  <c r="G249" i="14"/>
  <c r="F249" i="14"/>
  <c r="E249" i="14"/>
  <c r="D249" i="14"/>
  <c r="C249" i="14"/>
  <c r="B249" i="14"/>
  <c r="G248" i="14"/>
  <c r="F248" i="14"/>
  <c r="E248" i="14"/>
  <c r="D248" i="14"/>
  <c r="C248" i="14"/>
  <c r="B248" i="14"/>
  <c r="G247" i="14"/>
  <c r="F247" i="14"/>
  <c r="E247" i="14"/>
  <c r="D247" i="14"/>
  <c r="C247" i="14"/>
  <c r="B247" i="14"/>
  <c r="G246" i="14"/>
  <c r="F246" i="14"/>
  <c r="E246" i="14"/>
  <c r="D246" i="14"/>
  <c r="C246" i="14"/>
  <c r="B246" i="14"/>
  <c r="G245" i="14"/>
  <c r="F245" i="14"/>
  <c r="E245" i="14"/>
  <c r="D245" i="14"/>
  <c r="C245" i="14"/>
  <c r="B245" i="14"/>
  <c r="G244" i="14"/>
  <c r="F244" i="14"/>
  <c r="E244" i="14"/>
  <c r="D244" i="14"/>
  <c r="C244" i="14"/>
  <c r="B244" i="14"/>
  <c r="G243" i="14"/>
  <c r="F243" i="14"/>
  <c r="E243" i="14"/>
  <c r="D243" i="14"/>
  <c r="C243" i="14"/>
  <c r="B243" i="14"/>
  <c r="G242" i="14"/>
  <c r="F242" i="14"/>
  <c r="E242" i="14"/>
  <c r="D242" i="14"/>
  <c r="C242" i="14"/>
  <c r="B242" i="14"/>
  <c r="G241" i="14"/>
  <c r="F241" i="14"/>
  <c r="E241" i="14"/>
  <c r="D241" i="14"/>
  <c r="C241" i="14"/>
  <c r="B241" i="14"/>
  <c r="G240" i="14"/>
  <c r="F240" i="14"/>
  <c r="E240" i="14"/>
  <c r="D240" i="14"/>
  <c r="C240" i="14"/>
  <c r="B240" i="14"/>
  <c r="G239" i="14"/>
  <c r="F239" i="14"/>
  <c r="E239" i="14"/>
  <c r="D239" i="14"/>
  <c r="C239" i="14"/>
  <c r="B239" i="14"/>
  <c r="G238" i="14"/>
  <c r="F238" i="14"/>
  <c r="E238" i="14"/>
  <c r="D238" i="14"/>
  <c r="C238" i="14"/>
  <c r="B238" i="14"/>
  <c r="G237" i="14"/>
  <c r="F237" i="14"/>
  <c r="E237" i="14"/>
  <c r="D237" i="14"/>
  <c r="C237" i="14"/>
  <c r="B237" i="14"/>
  <c r="G236" i="14"/>
  <c r="F236" i="14"/>
  <c r="E236" i="14"/>
  <c r="D236" i="14"/>
  <c r="C236" i="14"/>
  <c r="B236" i="14"/>
  <c r="G235" i="14"/>
  <c r="F235" i="14"/>
  <c r="E235" i="14"/>
  <c r="D235" i="14"/>
  <c r="C235" i="14"/>
  <c r="B235" i="14"/>
  <c r="G234" i="14"/>
  <c r="F234" i="14"/>
  <c r="E234" i="14"/>
  <c r="D234" i="14"/>
  <c r="C234" i="14"/>
  <c r="B234" i="14"/>
  <c r="G233" i="14"/>
  <c r="F233" i="14"/>
  <c r="E233" i="14"/>
  <c r="D233" i="14"/>
  <c r="C233" i="14"/>
  <c r="B233" i="14"/>
  <c r="G232" i="14"/>
  <c r="F232" i="14"/>
  <c r="E232" i="14"/>
  <c r="D232" i="14"/>
  <c r="C232" i="14"/>
  <c r="B232" i="14"/>
  <c r="G231" i="14"/>
  <c r="F231" i="14"/>
  <c r="E231" i="14"/>
  <c r="D231" i="14"/>
  <c r="C231" i="14"/>
  <c r="B231" i="14"/>
  <c r="G230" i="14"/>
  <c r="F230" i="14"/>
  <c r="E230" i="14"/>
  <c r="D230" i="14"/>
  <c r="C230" i="14"/>
  <c r="B230" i="14"/>
  <c r="G229" i="14"/>
  <c r="F229" i="14"/>
  <c r="E229" i="14"/>
  <c r="D229" i="14"/>
  <c r="C229" i="14"/>
  <c r="B229" i="14"/>
  <c r="G228" i="14"/>
  <c r="F228" i="14"/>
  <c r="E228" i="14"/>
  <c r="D228" i="14"/>
  <c r="C228" i="14"/>
  <c r="B228" i="14"/>
  <c r="G227" i="14"/>
  <c r="F227" i="14"/>
  <c r="E227" i="14"/>
  <c r="D227" i="14"/>
  <c r="C227" i="14"/>
  <c r="B227" i="14"/>
  <c r="G226" i="14"/>
  <c r="F226" i="14"/>
  <c r="E226" i="14"/>
  <c r="D226" i="14"/>
  <c r="C226" i="14"/>
  <c r="B226" i="14"/>
  <c r="G225" i="14"/>
  <c r="F225" i="14"/>
  <c r="E225" i="14"/>
  <c r="D225" i="14"/>
  <c r="C225" i="14"/>
  <c r="B225" i="14"/>
  <c r="G224" i="14"/>
  <c r="F224" i="14"/>
  <c r="E224" i="14"/>
  <c r="D224" i="14"/>
  <c r="C224" i="14"/>
  <c r="B224" i="14"/>
  <c r="G223" i="14"/>
  <c r="F223" i="14"/>
  <c r="E223" i="14"/>
  <c r="D223" i="14"/>
  <c r="C223" i="14"/>
  <c r="B223" i="14"/>
  <c r="G222" i="14"/>
  <c r="F222" i="14"/>
  <c r="E222" i="14"/>
  <c r="D222" i="14"/>
  <c r="C222" i="14"/>
  <c r="B222" i="14"/>
  <c r="G221" i="14"/>
  <c r="F221" i="14"/>
  <c r="E221" i="14"/>
  <c r="D221" i="14"/>
  <c r="C221" i="14"/>
  <c r="B221" i="14"/>
  <c r="G220" i="14"/>
  <c r="F220" i="14"/>
  <c r="E220" i="14"/>
  <c r="D220" i="14"/>
  <c r="C220" i="14"/>
  <c r="B220" i="14"/>
  <c r="G219" i="14"/>
  <c r="F219" i="14"/>
  <c r="E219" i="14"/>
  <c r="D219" i="14"/>
  <c r="C219" i="14"/>
  <c r="B219" i="14"/>
  <c r="G218" i="14"/>
  <c r="F218" i="14"/>
  <c r="E218" i="14"/>
  <c r="D218" i="14"/>
  <c r="C218" i="14"/>
  <c r="B218" i="14"/>
  <c r="G217" i="14"/>
  <c r="F217" i="14"/>
  <c r="E217" i="14"/>
  <c r="D217" i="14"/>
  <c r="C217" i="14"/>
  <c r="B217" i="14"/>
  <c r="G216" i="14"/>
  <c r="F216" i="14"/>
  <c r="E216" i="14"/>
  <c r="D216" i="14"/>
  <c r="C216" i="14"/>
  <c r="B216" i="14"/>
  <c r="G215" i="14"/>
  <c r="F215" i="14"/>
  <c r="E215" i="14"/>
  <c r="D215" i="14"/>
  <c r="C215" i="14"/>
  <c r="B215" i="14"/>
  <c r="G214" i="14"/>
  <c r="F214" i="14"/>
  <c r="E214" i="14"/>
  <c r="D214" i="14"/>
  <c r="C214" i="14"/>
  <c r="B214" i="14"/>
  <c r="G213" i="14"/>
  <c r="F213" i="14"/>
  <c r="E213" i="14"/>
  <c r="D213" i="14"/>
  <c r="C213" i="14"/>
  <c r="B213" i="14"/>
  <c r="G212" i="14"/>
  <c r="F212" i="14"/>
  <c r="E212" i="14"/>
  <c r="D212" i="14"/>
  <c r="C212" i="14"/>
  <c r="B212" i="14"/>
  <c r="G211" i="14"/>
  <c r="F211" i="14"/>
  <c r="E211" i="14"/>
  <c r="D211" i="14"/>
  <c r="C211" i="14"/>
  <c r="B211" i="14"/>
  <c r="G210" i="14"/>
  <c r="F210" i="14"/>
  <c r="E210" i="14"/>
  <c r="D210" i="14"/>
  <c r="C210" i="14"/>
  <c r="B210" i="14"/>
  <c r="G209" i="14"/>
  <c r="F209" i="14"/>
  <c r="E209" i="14"/>
  <c r="D209" i="14"/>
  <c r="C209" i="14"/>
  <c r="B209" i="14"/>
  <c r="G208" i="14"/>
  <c r="F208" i="14"/>
  <c r="E208" i="14"/>
  <c r="D208" i="14"/>
  <c r="C208" i="14"/>
  <c r="B208" i="14"/>
  <c r="G207" i="14"/>
  <c r="F207" i="14"/>
  <c r="E207" i="14"/>
  <c r="D207" i="14"/>
  <c r="C207" i="14"/>
  <c r="B207" i="14"/>
  <c r="G206" i="14"/>
  <c r="F206" i="14"/>
  <c r="E206" i="14"/>
  <c r="D206" i="14"/>
  <c r="C206" i="14"/>
  <c r="B206" i="14"/>
  <c r="G205" i="14"/>
  <c r="F205" i="14"/>
  <c r="E205" i="14"/>
  <c r="D205" i="14"/>
  <c r="C205" i="14"/>
  <c r="B205" i="14"/>
  <c r="G204" i="14"/>
  <c r="F204" i="14"/>
  <c r="E204" i="14"/>
  <c r="D204" i="14"/>
  <c r="C204" i="14"/>
  <c r="B204" i="14"/>
  <c r="G203" i="14"/>
  <c r="F203" i="14"/>
  <c r="E203" i="14"/>
  <c r="D203" i="14"/>
  <c r="C203" i="14"/>
  <c r="B203" i="14"/>
  <c r="G202" i="14"/>
  <c r="F202" i="14"/>
  <c r="E202" i="14"/>
  <c r="D202" i="14"/>
  <c r="C202" i="14"/>
  <c r="B202" i="14"/>
  <c r="G201" i="14"/>
  <c r="F201" i="14"/>
  <c r="E201" i="14"/>
  <c r="D201" i="14"/>
  <c r="C201" i="14"/>
  <c r="B201" i="14"/>
  <c r="G200" i="14"/>
  <c r="F200" i="14"/>
  <c r="E200" i="14"/>
  <c r="D200" i="14"/>
  <c r="C200" i="14"/>
  <c r="B200" i="14"/>
  <c r="G199" i="14"/>
  <c r="F199" i="14"/>
  <c r="E199" i="14"/>
  <c r="D199" i="14"/>
  <c r="C199" i="14"/>
  <c r="B199" i="14"/>
  <c r="G198" i="14"/>
  <c r="F198" i="14"/>
  <c r="E198" i="14"/>
  <c r="D198" i="14"/>
  <c r="C198" i="14"/>
  <c r="B198" i="14"/>
  <c r="G197" i="14"/>
  <c r="F197" i="14"/>
  <c r="E197" i="14"/>
  <c r="D197" i="14"/>
  <c r="C197" i="14"/>
  <c r="B197" i="14"/>
  <c r="G196" i="14"/>
  <c r="F196" i="14"/>
  <c r="E196" i="14"/>
  <c r="D196" i="14"/>
  <c r="C196" i="14"/>
  <c r="B196" i="14"/>
  <c r="G195" i="14"/>
  <c r="F195" i="14"/>
  <c r="E195" i="14"/>
  <c r="D195" i="14"/>
  <c r="C195" i="14"/>
  <c r="B195" i="14"/>
  <c r="G194" i="14"/>
  <c r="F194" i="14"/>
  <c r="E194" i="14"/>
  <c r="D194" i="14"/>
  <c r="C194" i="14"/>
  <c r="B194" i="14"/>
  <c r="G193" i="14"/>
  <c r="F193" i="14"/>
  <c r="E193" i="14"/>
  <c r="D193" i="14"/>
  <c r="C193" i="14"/>
  <c r="B193" i="14"/>
  <c r="G192" i="14"/>
  <c r="F192" i="14"/>
  <c r="E192" i="14"/>
  <c r="D192" i="14"/>
  <c r="C192" i="14"/>
  <c r="B192" i="14"/>
  <c r="G191" i="14"/>
  <c r="F191" i="14"/>
  <c r="E191" i="14"/>
  <c r="D191" i="14"/>
  <c r="C191" i="14"/>
  <c r="B191" i="14"/>
  <c r="G190" i="14"/>
  <c r="F190" i="14"/>
  <c r="E190" i="14"/>
  <c r="D190" i="14"/>
  <c r="C190" i="14"/>
  <c r="B190" i="14"/>
  <c r="G189" i="14"/>
  <c r="F189" i="14"/>
  <c r="E189" i="14"/>
  <c r="D189" i="14"/>
  <c r="C189" i="14"/>
  <c r="B189" i="14"/>
  <c r="G188" i="14"/>
  <c r="F188" i="14"/>
  <c r="E188" i="14"/>
  <c r="D188" i="14"/>
  <c r="C188" i="14"/>
  <c r="B188" i="14"/>
  <c r="G187" i="14"/>
  <c r="F187" i="14"/>
  <c r="E187" i="14"/>
  <c r="D187" i="14"/>
  <c r="C187" i="14"/>
  <c r="B187" i="14"/>
  <c r="G186" i="14"/>
  <c r="F186" i="14"/>
  <c r="E186" i="14"/>
  <c r="D186" i="14"/>
  <c r="C186" i="14"/>
  <c r="B186" i="14"/>
  <c r="G185" i="14"/>
  <c r="F185" i="14"/>
  <c r="E185" i="14"/>
  <c r="D185" i="14"/>
  <c r="C185" i="14"/>
  <c r="B185" i="14"/>
  <c r="G184" i="14"/>
  <c r="F184" i="14"/>
  <c r="E184" i="14"/>
  <c r="D184" i="14"/>
  <c r="C184" i="14"/>
  <c r="B184" i="14"/>
  <c r="G183" i="14"/>
  <c r="F183" i="14"/>
  <c r="E183" i="14"/>
  <c r="D183" i="14"/>
  <c r="C183" i="14"/>
  <c r="B183" i="14"/>
  <c r="G182" i="14"/>
  <c r="F182" i="14"/>
  <c r="E182" i="14"/>
  <c r="D182" i="14"/>
  <c r="C182" i="14"/>
  <c r="B182" i="14"/>
  <c r="G181" i="14"/>
  <c r="F181" i="14"/>
  <c r="E181" i="14"/>
  <c r="D181" i="14"/>
  <c r="C181" i="14"/>
  <c r="B181" i="14"/>
  <c r="G180" i="14"/>
  <c r="F180" i="14"/>
  <c r="E180" i="14"/>
  <c r="D180" i="14"/>
  <c r="C180" i="14"/>
  <c r="B180" i="14"/>
  <c r="G179" i="14"/>
  <c r="F179" i="14"/>
  <c r="E179" i="14"/>
  <c r="D179" i="14"/>
  <c r="C179" i="14"/>
  <c r="B179" i="14"/>
  <c r="G178" i="14"/>
  <c r="F178" i="14"/>
  <c r="E178" i="14"/>
  <c r="D178" i="14"/>
  <c r="C178" i="14"/>
  <c r="B178" i="14"/>
  <c r="G177" i="14"/>
  <c r="F177" i="14"/>
  <c r="E177" i="14"/>
  <c r="D177" i="14"/>
  <c r="C177" i="14"/>
  <c r="B177" i="14"/>
  <c r="G176" i="14"/>
  <c r="F176" i="14"/>
  <c r="E176" i="14"/>
  <c r="D176" i="14"/>
  <c r="C176" i="14"/>
  <c r="B176" i="14"/>
  <c r="G175" i="14"/>
  <c r="F175" i="14"/>
  <c r="E175" i="14"/>
  <c r="D175" i="14"/>
  <c r="C175" i="14"/>
  <c r="B175" i="14"/>
  <c r="G174" i="14"/>
  <c r="F174" i="14"/>
  <c r="E174" i="14"/>
  <c r="D174" i="14"/>
  <c r="C174" i="14"/>
  <c r="B174" i="14"/>
  <c r="G173" i="14"/>
  <c r="F173" i="14"/>
  <c r="E173" i="14"/>
  <c r="D173" i="14"/>
  <c r="C173" i="14"/>
  <c r="B173" i="14"/>
  <c r="G172" i="14"/>
  <c r="F172" i="14"/>
  <c r="E172" i="14"/>
  <c r="D172" i="14"/>
  <c r="C172" i="14"/>
  <c r="B172" i="14"/>
  <c r="G171" i="14"/>
  <c r="F171" i="14"/>
  <c r="E171" i="14"/>
  <c r="D171" i="14"/>
  <c r="C171" i="14"/>
  <c r="B171" i="14"/>
  <c r="G170" i="14"/>
  <c r="F170" i="14"/>
  <c r="E170" i="14"/>
  <c r="D170" i="14"/>
  <c r="C170" i="14"/>
  <c r="B170" i="14"/>
  <c r="G169" i="14"/>
  <c r="F169" i="14"/>
  <c r="E169" i="14"/>
  <c r="D169" i="14"/>
  <c r="C169" i="14"/>
  <c r="B169" i="14"/>
  <c r="G168" i="14"/>
  <c r="F168" i="14"/>
  <c r="E168" i="14"/>
  <c r="D168" i="14"/>
  <c r="C168" i="14"/>
  <c r="B168" i="14"/>
  <c r="G167" i="14"/>
  <c r="F167" i="14"/>
  <c r="E167" i="14"/>
  <c r="D167" i="14"/>
  <c r="C167" i="14"/>
  <c r="B167" i="14"/>
  <c r="G166" i="14"/>
  <c r="F166" i="14"/>
  <c r="E166" i="14"/>
  <c r="D166" i="14"/>
  <c r="C166" i="14"/>
  <c r="B166" i="14"/>
  <c r="G165" i="14"/>
  <c r="F165" i="14"/>
  <c r="E165" i="14"/>
  <c r="D165" i="14"/>
  <c r="C165" i="14"/>
  <c r="B165" i="14"/>
  <c r="G164" i="14"/>
  <c r="F164" i="14"/>
  <c r="E164" i="14"/>
  <c r="D164" i="14"/>
  <c r="C164" i="14"/>
  <c r="B164" i="14"/>
  <c r="G163" i="14"/>
  <c r="F163" i="14"/>
  <c r="E163" i="14"/>
  <c r="D163" i="14"/>
  <c r="C163" i="14"/>
  <c r="B163" i="14"/>
  <c r="G162" i="14"/>
  <c r="F162" i="14"/>
  <c r="E162" i="14"/>
  <c r="D162" i="14"/>
  <c r="C162" i="14"/>
  <c r="B162" i="14"/>
  <c r="G161" i="14"/>
  <c r="F161" i="14"/>
  <c r="E161" i="14"/>
  <c r="D161" i="14"/>
  <c r="C161" i="14"/>
  <c r="B161" i="14"/>
  <c r="G160" i="14"/>
  <c r="F160" i="14"/>
  <c r="E160" i="14"/>
  <c r="D160" i="14"/>
  <c r="C160" i="14"/>
  <c r="B160" i="14"/>
  <c r="G159" i="14"/>
  <c r="F159" i="14"/>
  <c r="E159" i="14"/>
  <c r="D159" i="14"/>
  <c r="C159" i="14"/>
  <c r="B159" i="14"/>
  <c r="G158" i="14"/>
  <c r="F158" i="14"/>
  <c r="E158" i="14"/>
  <c r="D158" i="14"/>
  <c r="C158" i="14"/>
  <c r="B158" i="14"/>
  <c r="G157" i="14"/>
  <c r="F157" i="14"/>
  <c r="E157" i="14"/>
  <c r="D157" i="14"/>
  <c r="C157" i="14"/>
  <c r="B157" i="14"/>
  <c r="G156" i="14"/>
  <c r="F156" i="14"/>
  <c r="E156" i="14"/>
  <c r="D156" i="14"/>
  <c r="C156" i="14"/>
  <c r="B156" i="14"/>
  <c r="G155" i="14"/>
  <c r="F155" i="14"/>
  <c r="E155" i="14"/>
  <c r="D155" i="14"/>
  <c r="C155" i="14"/>
  <c r="B155" i="14"/>
  <c r="G154" i="14"/>
  <c r="F154" i="14"/>
  <c r="E154" i="14"/>
  <c r="D154" i="14"/>
  <c r="C154" i="14"/>
  <c r="B154" i="14"/>
  <c r="G153" i="14"/>
  <c r="F153" i="14"/>
  <c r="E153" i="14"/>
  <c r="D153" i="14"/>
  <c r="C153" i="14"/>
  <c r="B153" i="14"/>
  <c r="G152" i="14"/>
  <c r="F152" i="14"/>
  <c r="E152" i="14"/>
  <c r="D152" i="14"/>
  <c r="C152" i="14"/>
  <c r="B152" i="14"/>
  <c r="G151" i="14"/>
  <c r="F151" i="14"/>
  <c r="E151" i="14"/>
  <c r="D151" i="14"/>
  <c r="C151" i="14"/>
  <c r="B151" i="14"/>
  <c r="G150" i="14"/>
  <c r="F150" i="14"/>
  <c r="E150" i="14"/>
  <c r="D150" i="14"/>
  <c r="C150" i="14"/>
  <c r="B150" i="14"/>
  <c r="G149" i="14"/>
  <c r="F149" i="14"/>
  <c r="E149" i="14"/>
  <c r="D149" i="14"/>
  <c r="C149" i="14"/>
  <c r="B149" i="14"/>
  <c r="G148" i="14"/>
  <c r="F148" i="14"/>
  <c r="E148" i="14"/>
  <c r="D148" i="14"/>
  <c r="C148" i="14"/>
  <c r="B148" i="14"/>
  <c r="G147" i="14"/>
  <c r="F147" i="14"/>
  <c r="E147" i="14"/>
  <c r="D147" i="14"/>
  <c r="C147" i="14"/>
  <c r="B147" i="14"/>
  <c r="G146" i="14"/>
  <c r="F146" i="14"/>
  <c r="E146" i="14"/>
  <c r="D146" i="14"/>
  <c r="C146" i="14"/>
  <c r="B146" i="14"/>
  <c r="G145" i="14"/>
  <c r="F145" i="14"/>
  <c r="E145" i="14"/>
  <c r="D145" i="14"/>
  <c r="C145" i="14"/>
  <c r="B145" i="14"/>
  <c r="G144" i="14"/>
  <c r="F144" i="14"/>
  <c r="E144" i="14"/>
  <c r="D144" i="14"/>
  <c r="C144" i="14"/>
  <c r="B144" i="14"/>
  <c r="G143" i="14"/>
  <c r="F143" i="14"/>
  <c r="E143" i="14"/>
  <c r="D143" i="14"/>
  <c r="C143" i="14"/>
  <c r="B143" i="14"/>
  <c r="G142" i="14"/>
  <c r="F142" i="14"/>
  <c r="E142" i="14"/>
  <c r="D142" i="14"/>
  <c r="C142" i="14"/>
  <c r="B142" i="14"/>
  <c r="G141" i="14"/>
  <c r="F141" i="14"/>
  <c r="E141" i="14"/>
  <c r="D141" i="14"/>
  <c r="C141" i="14"/>
  <c r="B141" i="14"/>
  <c r="G140" i="14"/>
  <c r="F140" i="14"/>
  <c r="E140" i="14"/>
  <c r="D140" i="14"/>
  <c r="C140" i="14"/>
  <c r="B140" i="14"/>
  <c r="G139" i="14"/>
  <c r="F139" i="14"/>
  <c r="E139" i="14"/>
  <c r="D139" i="14"/>
  <c r="C139" i="14"/>
  <c r="B139" i="14"/>
  <c r="G138" i="14"/>
  <c r="F138" i="14"/>
  <c r="E138" i="14"/>
  <c r="D138" i="14"/>
  <c r="C138" i="14"/>
  <c r="B138" i="14"/>
  <c r="G137" i="14"/>
  <c r="F137" i="14"/>
  <c r="E137" i="14"/>
  <c r="D137" i="14"/>
  <c r="C137" i="14"/>
  <c r="B137" i="14"/>
  <c r="G136" i="14"/>
  <c r="F136" i="14"/>
  <c r="E136" i="14"/>
  <c r="D136" i="14"/>
  <c r="C136" i="14"/>
  <c r="B136" i="14"/>
  <c r="G135" i="14"/>
  <c r="F135" i="14"/>
  <c r="E135" i="14"/>
  <c r="D135" i="14"/>
  <c r="C135" i="14"/>
  <c r="B135" i="14"/>
  <c r="G134" i="14"/>
  <c r="F134" i="14"/>
  <c r="E134" i="14"/>
  <c r="D134" i="14"/>
  <c r="C134" i="14"/>
  <c r="B134" i="14"/>
  <c r="G133" i="14"/>
  <c r="F133" i="14"/>
  <c r="E133" i="14"/>
  <c r="D133" i="14"/>
  <c r="C133" i="14"/>
  <c r="B133" i="14"/>
  <c r="G132" i="14"/>
  <c r="F132" i="14"/>
  <c r="E132" i="14"/>
  <c r="D132" i="14"/>
  <c r="C132" i="14"/>
  <c r="B132" i="14"/>
  <c r="G131" i="14"/>
  <c r="F131" i="14"/>
  <c r="E131" i="14"/>
  <c r="D131" i="14"/>
  <c r="C131" i="14"/>
  <c r="B131" i="14"/>
  <c r="G130" i="14"/>
  <c r="F130" i="14"/>
  <c r="E130" i="14"/>
  <c r="D130" i="14"/>
  <c r="C130" i="14"/>
  <c r="B130" i="14"/>
  <c r="G129" i="14"/>
  <c r="F129" i="14"/>
  <c r="E129" i="14"/>
  <c r="D129" i="14"/>
  <c r="C129" i="14"/>
  <c r="B129" i="14"/>
  <c r="G128" i="14"/>
  <c r="F128" i="14"/>
  <c r="E128" i="14"/>
  <c r="D128" i="14"/>
  <c r="C128" i="14"/>
  <c r="B128" i="14"/>
  <c r="G127" i="14"/>
  <c r="F127" i="14"/>
  <c r="E127" i="14"/>
  <c r="D127" i="14"/>
  <c r="C127" i="14"/>
  <c r="B127" i="14"/>
  <c r="G126" i="14"/>
  <c r="F126" i="14"/>
  <c r="E126" i="14"/>
  <c r="D126" i="14"/>
  <c r="C126" i="14"/>
  <c r="B126" i="14"/>
  <c r="G125" i="14"/>
  <c r="F125" i="14"/>
  <c r="E125" i="14"/>
  <c r="D125" i="14"/>
  <c r="C125" i="14"/>
  <c r="B125" i="14"/>
  <c r="G124" i="14"/>
  <c r="F124" i="14"/>
  <c r="E124" i="14"/>
  <c r="D124" i="14"/>
  <c r="C124" i="14"/>
  <c r="B124" i="14"/>
  <c r="G123" i="14"/>
  <c r="F123" i="14"/>
  <c r="E123" i="14"/>
  <c r="D123" i="14"/>
  <c r="C123" i="14"/>
  <c r="B123" i="14"/>
  <c r="G122" i="14"/>
  <c r="F122" i="14"/>
  <c r="E122" i="14"/>
  <c r="D122" i="14"/>
  <c r="C122" i="14"/>
  <c r="B122" i="14"/>
  <c r="G121" i="14"/>
  <c r="F121" i="14"/>
  <c r="E121" i="14"/>
  <c r="D121" i="14"/>
  <c r="C121" i="14"/>
  <c r="B121" i="14"/>
  <c r="G120" i="14"/>
  <c r="F120" i="14"/>
  <c r="E120" i="14"/>
  <c r="D120" i="14"/>
  <c r="C120" i="14"/>
  <c r="B120" i="14"/>
  <c r="G119" i="14"/>
  <c r="F119" i="14"/>
  <c r="E119" i="14"/>
  <c r="D119" i="14"/>
  <c r="C119" i="14"/>
  <c r="B119" i="14"/>
  <c r="G118" i="14"/>
  <c r="F118" i="14"/>
  <c r="E118" i="14"/>
  <c r="D118" i="14"/>
  <c r="C118" i="14"/>
  <c r="B118" i="14"/>
  <c r="G117" i="14"/>
  <c r="F117" i="14"/>
  <c r="E117" i="14"/>
  <c r="D117" i="14"/>
  <c r="C117" i="14"/>
  <c r="B117" i="14"/>
  <c r="G116" i="14"/>
  <c r="F116" i="14"/>
  <c r="E116" i="14"/>
  <c r="D116" i="14"/>
  <c r="C116" i="14"/>
  <c r="B116" i="14"/>
  <c r="G115" i="14"/>
  <c r="F115" i="14"/>
  <c r="E115" i="14"/>
  <c r="D115" i="14"/>
  <c r="C115" i="14"/>
  <c r="B115" i="14"/>
  <c r="G114" i="14"/>
  <c r="F114" i="14"/>
  <c r="E114" i="14"/>
  <c r="D114" i="14"/>
  <c r="C114" i="14"/>
  <c r="B114" i="14"/>
  <c r="G113" i="14"/>
  <c r="F113" i="14"/>
  <c r="E113" i="14"/>
  <c r="D113" i="14"/>
  <c r="C113" i="14"/>
  <c r="B113" i="14"/>
  <c r="G112" i="14"/>
  <c r="F112" i="14"/>
  <c r="E112" i="14"/>
  <c r="D112" i="14"/>
  <c r="C112" i="14"/>
  <c r="B112" i="14"/>
  <c r="G111" i="14"/>
  <c r="F111" i="14"/>
  <c r="E111" i="14"/>
  <c r="D111" i="14"/>
  <c r="C111" i="14"/>
  <c r="B111" i="14"/>
  <c r="G110" i="14"/>
  <c r="F110" i="14"/>
  <c r="E110" i="14"/>
  <c r="D110" i="14"/>
  <c r="C110" i="14"/>
  <c r="B110" i="14"/>
  <c r="G109" i="14"/>
  <c r="F109" i="14"/>
  <c r="E109" i="14"/>
  <c r="D109" i="14"/>
  <c r="C109" i="14"/>
  <c r="B109" i="14"/>
  <c r="G108" i="14"/>
  <c r="F108" i="14"/>
  <c r="E108" i="14"/>
  <c r="D108" i="14"/>
  <c r="C108" i="14"/>
  <c r="B108" i="14"/>
  <c r="G107" i="14"/>
  <c r="F107" i="14"/>
  <c r="E107" i="14"/>
  <c r="D107" i="14"/>
  <c r="C107" i="14"/>
  <c r="B107" i="14"/>
  <c r="G106" i="14"/>
  <c r="F106" i="14"/>
  <c r="E106" i="14"/>
  <c r="D106" i="14"/>
  <c r="C106" i="14"/>
  <c r="B106" i="14"/>
  <c r="G105" i="14"/>
  <c r="F105" i="14"/>
  <c r="E105" i="14"/>
  <c r="D105" i="14"/>
  <c r="C105" i="14"/>
  <c r="B105" i="14"/>
  <c r="G104" i="14"/>
  <c r="F104" i="14"/>
  <c r="E104" i="14"/>
  <c r="D104" i="14"/>
  <c r="C104" i="14"/>
  <c r="B104" i="14"/>
  <c r="G103" i="14"/>
  <c r="F103" i="14"/>
  <c r="E103" i="14"/>
  <c r="D103" i="14"/>
  <c r="C103" i="14"/>
  <c r="B103" i="14"/>
  <c r="G102" i="14"/>
  <c r="F102" i="14"/>
  <c r="E102" i="14"/>
  <c r="D102" i="14"/>
  <c r="C102" i="14"/>
  <c r="B102" i="14"/>
  <c r="G101" i="14"/>
  <c r="F101" i="14"/>
  <c r="E101" i="14"/>
  <c r="D101" i="14"/>
  <c r="C101" i="14"/>
  <c r="B101" i="14"/>
  <c r="G100" i="14"/>
  <c r="F100" i="14"/>
  <c r="E100" i="14"/>
  <c r="D100" i="14"/>
  <c r="C100" i="14"/>
  <c r="B100" i="14"/>
  <c r="G99" i="14"/>
  <c r="F99" i="14"/>
  <c r="E99" i="14"/>
  <c r="D99" i="14"/>
  <c r="C99" i="14"/>
  <c r="B99" i="14"/>
  <c r="G98" i="14"/>
  <c r="F98" i="14"/>
  <c r="E98" i="14"/>
  <c r="D98" i="14"/>
  <c r="C98" i="14"/>
  <c r="B98" i="14"/>
  <c r="G97" i="14"/>
  <c r="F97" i="14"/>
  <c r="E97" i="14"/>
  <c r="D97" i="14"/>
  <c r="C97" i="14"/>
  <c r="B97" i="14"/>
  <c r="G96" i="14"/>
  <c r="F96" i="14"/>
  <c r="E96" i="14"/>
  <c r="D96" i="14"/>
  <c r="C96" i="14"/>
  <c r="B96" i="14"/>
  <c r="G95" i="14"/>
  <c r="F95" i="14"/>
  <c r="E95" i="14"/>
  <c r="D95" i="14"/>
  <c r="C95" i="14"/>
  <c r="B95" i="14"/>
  <c r="G94" i="14"/>
  <c r="F94" i="14"/>
  <c r="E94" i="14"/>
  <c r="D94" i="14"/>
  <c r="C94" i="14"/>
  <c r="B94" i="14"/>
  <c r="G93" i="14"/>
  <c r="F93" i="14"/>
  <c r="E93" i="14"/>
  <c r="D93" i="14"/>
  <c r="C93" i="14"/>
  <c r="B93" i="14"/>
  <c r="G92" i="14"/>
  <c r="F92" i="14"/>
  <c r="E92" i="14"/>
  <c r="D92" i="14"/>
  <c r="C92" i="14"/>
  <c r="B92" i="14"/>
  <c r="G91" i="14"/>
  <c r="F91" i="14"/>
  <c r="E91" i="14"/>
  <c r="D91" i="14"/>
  <c r="C91" i="14"/>
  <c r="B91" i="14"/>
  <c r="G90" i="14"/>
  <c r="F90" i="14"/>
  <c r="E90" i="14"/>
  <c r="D90" i="14"/>
  <c r="C90" i="14"/>
  <c r="B90" i="14"/>
  <c r="G89" i="14"/>
  <c r="F89" i="14"/>
  <c r="E89" i="14"/>
  <c r="D89" i="14"/>
  <c r="C89" i="14"/>
  <c r="B89" i="14"/>
  <c r="G88" i="14"/>
  <c r="F88" i="14"/>
  <c r="E88" i="14"/>
  <c r="D88" i="14"/>
  <c r="C88" i="14"/>
  <c r="B88" i="14"/>
  <c r="G87" i="14"/>
  <c r="F87" i="14"/>
  <c r="E87" i="14"/>
  <c r="D87" i="14"/>
  <c r="C87" i="14"/>
  <c r="B87" i="14"/>
  <c r="G86" i="14"/>
  <c r="F86" i="14"/>
  <c r="E86" i="14"/>
  <c r="D86" i="14"/>
  <c r="C86" i="14"/>
  <c r="B86" i="14"/>
  <c r="G85" i="14"/>
  <c r="F85" i="14"/>
  <c r="E85" i="14"/>
  <c r="D85" i="14"/>
  <c r="C85" i="14"/>
  <c r="B85" i="14"/>
  <c r="G84" i="14"/>
  <c r="F84" i="14"/>
  <c r="E84" i="14"/>
  <c r="D84" i="14"/>
  <c r="C84" i="14"/>
  <c r="B84" i="14"/>
  <c r="G83" i="14"/>
  <c r="F83" i="14"/>
  <c r="E83" i="14"/>
  <c r="D83" i="14"/>
  <c r="C83" i="14"/>
  <c r="B83" i="14"/>
  <c r="G82" i="14"/>
  <c r="F82" i="14"/>
  <c r="E82" i="14"/>
  <c r="D82" i="14"/>
  <c r="C82" i="14"/>
  <c r="B82" i="14"/>
  <c r="G81" i="14"/>
  <c r="F81" i="14"/>
  <c r="E81" i="14"/>
  <c r="D81" i="14"/>
  <c r="C81" i="14"/>
  <c r="B81" i="14"/>
  <c r="G80" i="14"/>
  <c r="F80" i="14"/>
  <c r="E80" i="14"/>
  <c r="D80" i="14"/>
  <c r="C80" i="14"/>
  <c r="B80" i="14"/>
  <c r="G79" i="14"/>
  <c r="F79" i="14"/>
  <c r="E79" i="14"/>
  <c r="D79" i="14"/>
  <c r="C79" i="14"/>
  <c r="B79" i="14"/>
  <c r="G78" i="14"/>
  <c r="F78" i="14"/>
  <c r="E78" i="14"/>
  <c r="D78" i="14"/>
  <c r="C78" i="14"/>
  <c r="B78" i="14"/>
  <c r="G77" i="14"/>
  <c r="F77" i="14"/>
  <c r="E77" i="14"/>
  <c r="D77" i="14"/>
  <c r="C77" i="14"/>
  <c r="B77" i="14"/>
  <c r="G76" i="14"/>
  <c r="F76" i="14"/>
  <c r="E76" i="14"/>
  <c r="D76" i="14"/>
  <c r="C76" i="14"/>
  <c r="B76" i="14"/>
  <c r="G75" i="14"/>
  <c r="F75" i="14"/>
  <c r="E75" i="14"/>
  <c r="D75" i="14"/>
  <c r="C75" i="14"/>
  <c r="B75" i="14"/>
  <c r="G74" i="14"/>
  <c r="F74" i="14"/>
  <c r="E74" i="14"/>
  <c r="D74" i="14"/>
  <c r="C74" i="14"/>
  <c r="B74" i="14"/>
  <c r="G73" i="14"/>
  <c r="F73" i="14"/>
  <c r="E73" i="14"/>
  <c r="D73" i="14"/>
  <c r="C73" i="14"/>
  <c r="B73" i="14"/>
  <c r="G72" i="14"/>
  <c r="F72" i="14"/>
  <c r="E72" i="14"/>
  <c r="D72" i="14"/>
  <c r="C72" i="14"/>
  <c r="B72" i="14"/>
  <c r="G71" i="14"/>
  <c r="F71" i="14"/>
  <c r="E71" i="14"/>
  <c r="D71" i="14"/>
  <c r="C71" i="14"/>
  <c r="B71" i="14"/>
  <c r="G70" i="14"/>
  <c r="F70" i="14"/>
  <c r="E70" i="14"/>
  <c r="D70" i="14"/>
  <c r="C70" i="14"/>
  <c r="B70" i="14"/>
  <c r="G69" i="14"/>
  <c r="F69" i="14"/>
  <c r="E69" i="14"/>
  <c r="D69" i="14"/>
  <c r="C69" i="14"/>
  <c r="B69" i="14"/>
  <c r="G68" i="14"/>
  <c r="F68" i="14"/>
  <c r="E68" i="14"/>
  <c r="D68" i="14"/>
  <c r="C68" i="14"/>
  <c r="B68" i="14"/>
  <c r="G67" i="14"/>
  <c r="F67" i="14"/>
  <c r="E67" i="14"/>
  <c r="D67" i="14"/>
  <c r="C67" i="14"/>
  <c r="B67" i="14"/>
  <c r="G66" i="14"/>
  <c r="F66" i="14"/>
  <c r="E66" i="14"/>
  <c r="D66" i="14"/>
  <c r="C66" i="14"/>
  <c r="B66" i="14"/>
  <c r="G65" i="14"/>
  <c r="F65" i="14"/>
  <c r="E65" i="14"/>
  <c r="D65" i="14"/>
  <c r="C65" i="14"/>
  <c r="B65" i="14"/>
  <c r="G64" i="14"/>
  <c r="F64" i="14"/>
  <c r="E64" i="14"/>
  <c r="D64" i="14"/>
  <c r="C64" i="14"/>
  <c r="B64" i="14"/>
  <c r="G63" i="14"/>
  <c r="F63" i="14"/>
  <c r="E63" i="14"/>
  <c r="D63" i="14"/>
  <c r="C63" i="14"/>
  <c r="B63" i="14"/>
  <c r="G62" i="14"/>
  <c r="F62" i="14"/>
  <c r="E62" i="14"/>
  <c r="D62" i="14"/>
  <c r="C62" i="14"/>
  <c r="B62" i="14"/>
  <c r="G61" i="14"/>
  <c r="F61" i="14"/>
  <c r="E61" i="14"/>
  <c r="D61" i="14"/>
  <c r="C61" i="14"/>
  <c r="B61" i="14"/>
  <c r="G60" i="14"/>
  <c r="F60" i="14"/>
  <c r="E60" i="14"/>
  <c r="D60" i="14"/>
  <c r="C60" i="14"/>
  <c r="B60" i="14"/>
  <c r="G59" i="14"/>
  <c r="F59" i="14"/>
  <c r="E59" i="14"/>
  <c r="D59" i="14"/>
  <c r="C59" i="14"/>
  <c r="B59" i="14"/>
  <c r="G58" i="14"/>
  <c r="F58" i="14"/>
  <c r="E58" i="14"/>
  <c r="D58" i="14"/>
  <c r="C58" i="14"/>
  <c r="B58" i="14"/>
  <c r="G57" i="14"/>
  <c r="F57" i="14"/>
  <c r="E57" i="14"/>
  <c r="D57" i="14"/>
  <c r="C57" i="14"/>
  <c r="B57" i="14"/>
  <c r="G56" i="14"/>
  <c r="F56" i="14"/>
  <c r="E56" i="14"/>
  <c r="D56" i="14"/>
  <c r="C56" i="14"/>
  <c r="B56" i="14"/>
  <c r="G55" i="14"/>
  <c r="F55" i="14"/>
  <c r="E55" i="14"/>
  <c r="D55" i="14"/>
  <c r="C55" i="14"/>
  <c r="B55" i="14"/>
  <c r="G54" i="14"/>
  <c r="F54" i="14"/>
  <c r="E54" i="14"/>
  <c r="D54" i="14"/>
  <c r="C54" i="14"/>
  <c r="B54" i="14"/>
  <c r="G53" i="14"/>
  <c r="F53" i="14"/>
  <c r="E53" i="14"/>
  <c r="D53" i="14"/>
  <c r="C53" i="14"/>
  <c r="B53" i="14"/>
  <c r="G52" i="14"/>
  <c r="F52" i="14"/>
  <c r="E52" i="14"/>
  <c r="D52" i="14"/>
  <c r="C52" i="14"/>
  <c r="B52" i="14"/>
  <c r="G51" i="14"/>
  <c r="F51" i="14"/>
  <c r="E51" i="14"/>
  <c r="D51" i="14"/>
  <c r="C51" i="14"/>
  <c r="B51" i="14"/>
  <c r="G50" i="14"/>
  <c r="F50" i="14"/>
  <c r="E50" i="14"/>
  <c r="D50" i="14"/>
  <c r="C50" i="14"/>
  <c r="B50" i="14"/>
  <c r="G49" i="14"/>
  <c r="F49" i="14"/>
  <c r="E49" i="14"/>
  <c r="D49" i="14"/>
  <c r="C49" i="14"/>
  <c r="B49" i="14"/>
  <c r="G48" i="14"/>
  <c r="F48" i="14"/>
  <c r="E48" i="14"/>
  <c r="D48" i="14"/>
  <c r="C48" i="14"/>
  <c r="B48" i="14"/>
  <c r="G47" i="14"/>
  <c r="F47" i="14"/>
  <c r="E47" i="14"/>
  <c r="D47" i="14"/>
  <c r="C47" i="14"/>
  <c r="B47" i="14"/>
  <c r="G46" i="14"/>
  <c r="F46" i="14"/>
  <c r="E46" i="14"/>
  <c r="D46" i="14"/>
  <c r="C46" i="14"/>
  <c r="B46" i="14"/>
  <c r="G45" i="14"/>
  <c r="F45" i="14"/>
  <c r="E45" i="14"/>
  <c r="D45" i="14"/>
  <c r="C45" i="14"/>
  <c r="B45" i="14"/>
  <c r="G44" i="14"/>
  <c r="F44" i="14"/>
  <c r="E44" i="14"/>
  <c r="D44" i="14"/>
  <c r="C44" i="14"/>
  <c r="B44" i="14"/>
  <c r="G43" i="14"/>
  <c r="F43" i="14"/>
  <c r="E43" i="14"/>
  <c r="D43" i="14"/>
  <c r="C43" i="14"/>
  <c r="B43" i="14"/>
  <c r="G42" i="14"/>
  <c r="F42" i="14"/>
  <c r="E42" i="14"/>
  <c r="D42" i="14"/>
  <c r="C42" i="14"/>
  <c r="B42" i="14"/>
  <c r="G41" i="14"/>
  <c r="F41" i="14"/>
  <c r="E41" i="14"/>
  <c r="D41" i="14"/>
  <c r="C41" i="14"/>
  <c r="B41" i="14"/>
  <c r="G40" i="14"/>
  <c r="F40" i="14"/>
  <c r="E40" i="14"/>
  <c r="D40" i="14"/>
  <c r="C40" i="14"/>
  <c r="B40" i="14"/>
  <c r="G39" i="14"/>
  <c r="F39" i="14"/>
  <c r="E39" i="14"/>
  <c r="D39" i="14"/>
  <c r="C39" i="14"/>
  <c r="B39" i="14"/>
  <c r="G38" i="14"/>
  <c r="F38" i="14"/>
  <c r="E38" i="14"/>
  <c r="D38" i="14"/>
  <c r="C38" i="14"/>
  <c r="B38" i="14"/>
  <c r="G37" i="14"/>
  <c r="F37" i="14"/>
  <c r="E37" i="14"/>
  <c r="D37" i="14"/>
  <c r="C37" i="14"/>
  <c r="B37" i="14"/>
  <c r="G36" i="14"/>
  <c r="F36" i="14"/>
  <c r="E36" i="14"/>
  <c r="D36" i="14"/>
  <c r="C36" i="14"/>
  <c r="B36" i="14"/>
  <c r="G35" i="14"/>
  <c r="F35" i="14"/>
  <c r="E35" i="14"/>
  <c r="D35" i="14"/>
  <c r="C35" i="14"/>
  <c r="B35" i="14"/>
  <c r="G34" i="14"/>
  <c r="F34" i="14"/>
  <c r="E34" i="14"/>
  <c r="D34" i="14"/>
  <c r="C34" i="14"/>
  <c r="B34" i="14"/>
  <c r="G33" i="14"/>
  <c r="F33" i="14"/>
  <c r="E33" i="14"/>
  <c r="D33" i="14"/>
  <c r="C33" i="14"/>
  <c r="B33" i="14"/>
  <c r="G32" i="14"/>
  <c r="F32" i="14"/>
  <c r="E32" i="14"/>
  <c r="D32" i="14"/>
  <c r="C32" i="14"/>
  <c r="B32" i="14"/>
  <c r="G31" i="14"/>
  <c r="F31" i="14"/>
  <c r="E31" i="14"/>
  <c r="D31" i="14"/>
  <c r="C31" i="14"/>
  <c r="B31" i="14"/>
  <c r="G30" i="14"/>
  <c r="F30" i="14"/>
  <c r="E30" i="14"/>
  <c r="D30" i="14"/>
  <c r="C30" i="14"/>
  <c r="B30" i="14"/>
  <c r="G29" i="14"/>
  <c r="F29" i="14"/>
  <c r="E29" i="14"/>
  <c r="D29" i="14"/>
  <c r="C29" i="14"/>
  <c r="B29" i="14"/>
  <c r="G28" i="14"/>
  <c r="F28" i="14"/>
  <c r="S46" i="2" s="1"/>
  <c r="E28" i="14"/>
  <c r="D28" i="14"/>
  <c r="C28" i="14"/>
  <c r="B28" i="14"/>
  <c r="G27" i="14"/>
  <c r="F27" i="14"/>
  <c r="E27" i="14"/>
  <c r="D27" i="14"/>
  <c r="C27" i="14"/>
  <c r="B27" i="14"/>
  <c r="B18" i="14"/>
  <c r="D14" i="14"/>
  <c r="C14" i="14"/>
  <c r="B14" i="14"/>
  <c r="E10" i="14"/>
  <c r="D10" i="14"/>
  <c r="B10" i="14"/>
  <c r="B7" i="14"/>
  <c r="G278" i="13"/>
  <c r="F278" i="13"/>
  <c r="E278" i="13"/>
  <c r="D278" i="13"/>
  <c r="C278" i="13"/>
  <c r="B278" i="13"/>
  <c r="G277" i="13"/>
  <c r="F277" i="13"/>
  <c r="E277" i="13"/>
  <c r="D277" i="13"/>
  <c r="C277" i="13"/>
  <c r="B277" i="13"/>
  <c r="G276" i="13"/>
  <c r="F276" i="13"/>
  <c r="E276" i="13"/>
  <c r="D276" i="13"/>
  <c r="C276" i="13"/>
  <c r="B276" i="13"/>
  <c r="G275" i="13"/>
  <c r="F275" i="13"/>
  <c r="E275" i="13"/>
  <c r="D275" i="13"/>
  <c r="C275" i="13"/>
  <c r="B275" i="13"/>
  <c r="G274" i="13"/>
  <c r="F274" i="13"/>
  <c r="E274" i="13"/>
  <c r="D274" i="13"/>
  <c r="C274" i="13"/>
  <c r="B274" i="13"/>
  <c r="G273" i="13"/>
  <c r="F273" i="13"/>
  <c r="E273" i="13"/>
  <c r="D273" i="13"/>
  <c r="C273" i="13"/>
  <c r="B273" i="13"/>
  <c r="G272" i="13"/>
  <c r="F272" i="13"/>
  <c r="E272" i="13"/>
  <c r="D272" i="13"/>
  <c r="C272" i="13"/>
  <c r="B272" i="13"/>
  <c r="G271" i="13"/>
  <c r="F271" i="13"/>
  <c r="E271" i="13"/>
  <c r="D271" i="13"/>
  <c r="C271" i="13"/>
  <c r="B271" i="13"/>
  <c r="G270" i="13"/>
  <c r="F270" i="13"/>
  <c r="E270" i="13"/>
  <c r="D270" i="13"/>
  <c r="C270" i="13"/>
  <c r="B270" i="13"/>
  <c r="G269" i="13"/>
  <c r="F269" i="13"/>
  <c r="E269" i="13"/>
  <c r="D269" i="13"/>
  <c r="C269" i="13"/>
  <c r="B269" i="13"/>
  <c r="G268" i="13"/>
  <c r="F268" i="13"/>
  <c r="E268" i="13"/>
  <c r="D268" i="13"/>
  <c r="C268" i="13"/>
  <c r="B268" i="13"/>
  <c r="G267" i="13"/>
  <c r="F267" i="13"/>
  <c r="E267" i="13"/>
  <c r="D267" i="13"/>
  <c r="C267" i="13"/>
  <c r="B267" i="13"/>
  <c r="G266" i="13"/>
  <c r="F266" i="13"/>
  <c r="E266" i="13"/>
  <c r="D266" i="13"/>
  <c r="C266" i="13"/>
  <c r="B266" i="13"/>
  <c r="G265" i="13"/>
  <c r="F265" i="13"/>
  <c r="E265" i="13"/>
  <c r="D265" i="13"/>
  <c r="C265" i="13"/>
  <c r="B265" i="13"/>
  <c r="G264" i="13"/>
  <c r="F264" i="13"/>
  <c r="E264" i="13"/>
  <c r="D264" i="13"/>
  <c r="C264" i="13"/>
  <c r="B264" i="13"/>
  <c r="G263" i="13"/>
  <c r="F263" i="13"/>
  <c r="E263" i="13"/>
  <c r="D263" i="13"/>
  <c r="C263" i="13"/>
  <c r="B263" i="13"/>
  <c r="G262" i="13"/>
  <c r="F262" i="13"/>
  <c r="E262" i="13"/>
  <c r="D262" i="13"/>
  <c r="C262" i="13"/>
  <c r="B262" i="13"/>
  <c r="G261" i="13"/>
  <c r="F261" i="13"/>
  <c r="E261" i="13"/>
  <c r="D261" i="13"/>
  <c r="C261" i="13"/>
  <c r="B261" i="13"/>
  <c r="G260" i="13"/>
  <c r="F260" i="13"/>
  <c r="E260" i="13"/>
  <c r="D260" i="13"/>
  <c r="C260" i="13"/>
  <c r="B260" i="13"/>
  <c r="G259" i="13"/>
  <c r="F259" i="13"/>
  <c r="E259" i="13"/>
  <c r="D259" i="13"/>
  <c r="C259" i="13"/>
  <c r="B259" i="13"/>
  <c r="G258" i="13"/>
  <c r="F258" i="13"/>
  <c r="E258" i="13"/>
  <c r="D258" i="13"/>
  <c r="C258" i="13"/>
  <c r="B258" i="13"/>
  <c r="G257" i="13"/>
  <c r="F257" i="13"/>
  <c r="E257" i="13"/>
  <c r="D257" i="13"/>
  <c r="C257" i="13"/>
  <c r="B257" i="13"/>
  <c r="G256" i="13"/>
  <c r="F256" i="13"/>
  <c r="E256" i="13"/>
  <c r="D256" i="13"/>
  <c r="C256" i="13"/>
  <c r="B256" i="13"/>
  <c r="G255" i="13"/>
  <c r="F255" i="13"/>
  <c r="E255" i="13"/>
  <c r="D255" i="13"/>
  <c r="C255" i="13"/>
  <c r="B255" i="13"/>
  <c r="G254" i="13"/>
  <c r="F254" i="13"/>
  <c r="E254" i="13"/>
  <c r="D254" i="13"/>
  <c r="C254" i="13"/>
  <c r="B254" i="13"/>
  <c r="G253" i="13"/>
  <c r="F253" i="13"/>
  <c r="E253" i="13"/>
  <c r="D253" i="13"/>
  <c r="C253" i="13"/>
  <c r="B253" i="13"/>
  <c r="G252" i="13"/>
  <c r="F252" i="13"/>
  <c r="E252" i="13"/>
  <c r="D252" i="13"/>
  <c r="C252" i="13"/>
  <c r="B252" i="13"/>
  <c r="G251" i="13"/>
  <c r="F251" i="13"/>
  <c r="E251" i="13"/>
  <c r="D251" i="13"/>
  <c r="C251" i="13"/>
  <c r="B251" i="13"/>
  <c r="G250" i="13"/>
  <c r="F250" i="13"/>
  <c r="E250" i="13"/>
  <c r="D250" i="13"/>
  <c r="C250" i="13"/>
  <c r="B250" i="13"/>
  <c r="G249" i="13"/>
  <c r="F249" i="13"/>
  <c r="E249" i="13"/>
  <c r="D249" i="13"/>
  <c r="C249" i="13"/>
  <c r="B249" i="13"/>
  <c r="G248" i="13"/>
  <c r="F248" i="13"/>
  <c r="E248" i="13"/>
  <c r="D248" i="13"/>
  <c r="C248" i="13"/>
  <c r="B248" i="13"/>
  <c r="G247" i="13"/>
  <c r="F247" i="13"/>
  <c r="E247" i="13"/>
  <c r="D247" i="13"/>
  <c r="C247" i="13"/>
  <c r="B247" i="13"/>
  <c r="G246" i="13"/>
  <c r="F246" i="13"/>
  <c r="E246" i="13"/>
  <c r="D246" i="13"/>
  <c r="C246" i="13"/>
  <c r="B246" i="13"/>
  <c r="G245" i="13"/>
  <c r="F245" i="13"/>
  <c r="E245" i="13"/>
  <c r="D245" i="13"/>
  <c r="C245" i="13"/>
  <c r="B245" i="13"/>
  <c r="G244" i="13"/>
  <c r="F244" i="13"/>
  <c r="E244" i="13"/>
  <c r="D244" i="13"/>
  <c r="C244" i="13"/>
  <c r="B244" i="13"/>
  <c r="G243" i="13"/>
  <c r="F243" i="13"/>
  <c r="E243" i="13"/>
  <c r="D243" i="13"/>
  <c r="C243" i="13"/>
  <c r="B243" i="13"/>
  <c r="G242" i="13"/>
  <c r="F242" i="13"/>
  <c r="E242" i="13"/>
  <c r="D242" i="13"/>
  <c r="C242" i="13"/>
  <c r="B242" i="13"/>
  <c r="G241" i="13"/>
  <c r="F241" i="13"/>
  <c r="E241" i="13"/>
  <c r="D241" i="13"/>
  <c r="C241" i="13"/>
  <c r="B241" i="13"/>
  <c r="G240" i="13"/>
  <c r="F240" i="13"/>
  <c r="E240" i="13"/>
  <c r="D240" i="13"/>
  <c r="C240" i="13"/>
  <c r="B240" i="13"/>
  <c r="G239" i="13"/>
  <c r="F239" i="13"/>
  <c r="E239" i="13"/>
  <c r="D239" i="13"/>
  <c r="C239" i="13"/>
  <c r="B239" i="13"/>
  <c r="G238" i="13"/>
  <c r="F238" i="13"/>
  <c r="E238" i="13"/>
  <c r="D238" i="13"/>
  <c r="C238" i="13"/>
  <c r="B238" i="13"/>
  <c r="G237" i="13"/>
  <c r="F237" i="13"/>
  <c r="E237" i="13"/>
  <c r="D237" i="13"/>
  <c r="C237" i="13"/>
  <c r="B237" i="13"/>
  <c r="G236" i="13"/>
  <c r="F236" i="13"/>
  <c r="E236" i="13"/>
  <c r="D236" i="13"/>
  <c r="C236" i="13"/>
  <c r="B236" i="13"/>
  <c r="G235" i="13"/>
  <c r="F235" i="13"/>
  <c r="E235" i="13"/>
  <c r="D235" i="13"/>
  <c r="C235" i="13"/>
  <c r="B235" i="13"/>
  <c r="G234" i="13"/>
  <c r="F234" i="13"/>
  <c r="E234" i="13"/>
  <c r="D234" i="13"/>
  <c r="C234" i="13"/>
  <c r="B234" i="13"/>
  <c r="G233" i="13"/>
  <c r="F233" i="13"/>
  <c r="E233" i="13"/>
  <c r="D233" i="13"/>
  <c r="C233" i="13"/>
  <c r="B233" i="13"/>
  <c r="G232" i="13"/>
  <c r="F232" i="13"/>
  <c r="E232" i="13"/>
  <c r="D232" i="13"/>
  <c r="C232" i="13"/>
  <c r="B232" i="13"/>
  <c r="G231" i="13"/>
  <c r="F231" i="13"/>
  <c r="E231" i="13"/>
  <c r="D231" i="13"/>
  <c r="C231" i="13"/>
  <c r="B231" i="13"/>
  <c r="G230" i="13"/>
  <c r="F230" i="13"/>
  <c r="E230" i="13"/>
  <c r="D230" i="13"/>
  <c r="C230" i="13"/>
  <c r="B230" i="13"/>
  <c r="G229" i="13"/>
  <c r="F229" i="13"/>
  <c r="E229" i="13"/>
  <c r="D229" i="13"/>
  <c r="C229" i="13"/>
  <c r="B229" i="13"/>
  <c r="G228" i="13"/>
  <c r="F228" i="13"/>
  <c r="E228" i="13"/>
  <c r="D228" i="13"/>
  <c r="C228" i="13"/>
  <c r="B228" i="13"/>
  <c r="G227" i="13"/>
  <c r="F227" i="13"/>
  <c r="E227" i="13"/>
  <c r="D227" i="13"/>
  <c r="C227" i="13"/>
  <c r="B227" i="13"/>
  <c r="G226" i="13"/>
  <c r="F226" i="13"/>
  <c r="E226" i="13"/>
  <c r="D226" i="13"/>
  <c r="C226" i="13"/>
  <c r="B226" i="13"/>
  <c r="G225" i="13"/>
  <c r="F225" i="13"/>
  <c r="E225" i="13"/>
  <c r="D225" i="13"/>
  <c r="C225" i="13"/>
  <c r="B225" i="13"/>
  <c r="G224" i="13"/>
  <c r="F224" i="13"/>
  <c r="E224" i="13"/>
  <c r="D224" i="13"/>
  <c r="C224" i="13"/>
  <c r="B224" i="13"/>
  <c r="G223" i="13"/>
  <c r="F223" i="13"/>
  <c r="E223" i="13"/>
  <c r="D223" i="13"/>
  <c r="C223" i="13"/>
  <c r="B223" i="13"/>
  <c r="G222" i="13"/>
  <c r="F222" i="13"/>
  <c r="E222" i="13"/>
  <c r="D222" i="13"/>
  <c r="C222" i="13"/>
  <c r="B222" i="13"/>
  <c r="G221" i="13"/>
  <c r="F221" i="13"/>
  <c r="E221" i="13"/>
  <c r="D221" i="13"/>
  <c r="C221" i="13"/>
  <c r="B221" i="13"/>
  <c r="G220" i="13"/>
  <c r="F220" i="13"/>
  <c r="E220" i="13"/>
  <c r="D220" i="13"/>
  <c r="C220" i="13"/>
  <c r="B220" i="13"/>
  <c r="G219" i="13"/>
  <c r="F219" i="13"/>
  <c r="E219" i="13"/>
  <c r="D219" i="13"/>
  <c r="C219" i="13"/>
  <c r="B219" i="13"/>
  <c r="G218" i="13"/>
  <c r="F218" i="13"/>
  <c r="E218" i="13"/>
  <c r="D218" i="13"/>
  <c r="C218" i="13"/>
  <c r="B218" i="13"/>
  <c r="G217" i="13"/>
  <c r="F217" i="13"/>
  <c r="E217" i="13"/>
  <c r="D217" i="13"/>
  <c r="C217" i="13"/>
  <c r="B217" i="13"/>
  <c r="G216" i="13"/>
  <c r="F216" i="13"/>
  <c r="E216" i="13"/>
  <c r="D216" i="13"/>
  <c r="C216" i="13"/>
  <c r="B216" i="13"/>
  <c r="G215" i="13"/>
  <c r="F215" i="13"/>
  <c r="E215" i="13"/>
  <c r="D215" i="13"/>
  <c r="C215" i="13"/>
  <c r="B215" i="13"/>
  <c r="G214" i="13"/>
  <c r="F214" i="13"/>
  <c r="E214" i="13"/>
  <c r="D214" i="13"/>
  <c r="C214" i="13"/>
  <c r="B214" i="13"/>
  <c r="G213" i="13"/>
  <c r="F213" i="13"/>
  <c r="E213" i="13"/>
  <c r="D213" i="13"/>
  <c r="C213" i="13"/>
  <c r="B213" i="13"/>
  <c r="G212" i="13"/>
  <c r="F212" i="13"/>
  <c r="E212" i="13"/>
  <c r="D212" i="13"/>
  <c r="C212" i="13"/>
  <c r="B212" i="13"/>
  <c r="G211" i="13"/>
  <c r="F211" i="13"/>
  <c r="E211" i="13"/>
  <c r="D211" i="13"/>
  <c r="C211" i="13"/>
  <c r="B211" i="13"/>
  <c r="G210" i="13"/>
  <c r="F210" i="13"/>
  <c r="E210" i="13"/>
  <c r="D210" i="13"/>
  <c r="C210" i="13"/>
  <c r="B210" i="13"/>
  <c r="G209" i="13"/>
  <c r="F209" i="13"/>
  <c r="E209" i="13"/>
  <c r="D209" i="13"/>
  <c r="C209" i="13"/>
  <c r="B209" i="13"/>
  <c r="G208" i="13"/>
  <c r="F208" i="13"/>
  <c r="E208" i="13"/>
  <c r="D208" i="13"/>
  <c r="C208" i="13"/>
  <c r="B208" i="13"/>
  <c r="G207" i="13"/>
  <c r="F207" i="13"/>
  <c r="E207" i="13"/>
  <c r="D207" i="13"/>
  <c r="C207" i="13"/>
  <c r="B207" i="13"/>
  <c r="G206" i="13"/>
  <c r="F206" i="13"/>
  <c r="E206" i="13"/>
  <c r="D206" i="13"/>
  <c r="C206" i="13"/>
  <c r="B206" i="13"/>
  <c r="G205" i="13"/>
  <c r="F205" i="13"/>
  <c r="E205" i="13"/>
  <c r="D205" i="13"/>
  <c r="C205" i="13"/>
  <c r="B205" i="13"/>
  <c r="G204" i="13"/>
  <c r="F204" i="13"/>
  <c r="E204" i="13"/>
  <c r="D204" i="13"/>
  <c r="C204" i="13"/>
  <c r="B204" i="13"/>
  <c r="G203" i="13"/>
  <c r="F203" i="13"/>
  <c r="E203" i="13"/>
  <c r="D203" i="13"/>
  <c r="C203" i="13"/>
  <c r="B203" i="13"/>
  <c r="G202" i="13"/>
  <c r="F202" i="13"/>
  <c r="E202" i="13"/>
  <c r="D202" i="13"/>
  <c r="C202" i="13"/>
  <c r="B202" i="13"/>
  <c r="G201" i="13"/>
  <c r="F201" i="13"/>
  <c r="E201" i="13"/>
  <c r="D201" i="13"/>
  <c r="C201" i="13"/>
  <c r="B201" i="13"/>
  <c r="G200" i="13"/>
  <c r="F200" i="13"/>
  <c r="E200" i="13"/>
  <c r="D200" i="13"/>
  <c r="C200" i="13"/>
  <c r="B200" i="13"/>
  <c r="G199" i="13"/>
  <c r="F199" i="13"/>
  <c r="E199" i="13"/>
  <c r="D199" i="13"/>
  <c r="C199" i="13"/>
  <c r="B199" i="13"/>
  <c r="G198" i="13"/>
  <c r="F198" i="13"/>
  <c r="E198" i="13"/>
  <c r="D198" i="13"/>
  <c r="C198" i="13"/>
  <c r="B198" i="13"/>
  <c r="G197" i="13"/>
  <c r="F197" i="13"/>
  <c r="E197" i="13"/>
  <c r="D197" i="13"/>
  <c r="C197" i="13"/>
  <c r="B197" i="13"/>
  <c r="G196" i="13"/>
  <c r="F196" i="13"/>
  <c r="E196" i="13"/>
  <c r="D196" i="13"/>
  <c r="C196" i="13"/>
  <c r="B196" i="13"/>
  <c r="G195" i="13"/>
  <c r="F195" i="13"/>
  <c r="E195" i="13"/>
  <c r="D195" i="13"/>
  <c r="C195" i="13"/>
  <c r="B195" i="13"/>
  <c r="G194" i="13"/>
  <c r="F194" i="13"/>
  <c r="E194" i="13"/>
  <c r="D194" i="13"/>
  <c r="C194" i="13"/>
  <c r="B194" i="13"/>
  <c r="G193" i="13"/>
  <c r="F193" i="13"/>
  <c r="E193" i="13"/>
  <c r="D193" i="13"/>
  <c r="C193" i="13"/>
  <c r="B193" i="13"/>
  <c r="G192" i="13"/>
  <c r="F192" i="13"/>
  <c r="E192" i="13"/>
  <c r="D192" i="13"/>
  <c r="C192" i="13"/>
  <c r="B192" i="13"/>
  <c r="G191" i="13"/>
  <c r="F191" i="13"/>
  <c r="E191" i="13"/>
  <c r="D191" i="13"/>
  <c r="C191" i="13"/>
  <c r="B191" i="13"/>
  <c r="G190" i="13"/>
  <c r="F190" i="13"/>
  <c r="E190" i="13"/>
  <c r="D190" i="13"/>
  <c r="C190" i="13"/>
  <c r="B190" i="13"/>
  <c r="G189" i="13"/>
  <c r="F189" i="13"/>
  <c r="E189" i="13"/>
  <c r="D189" i="13"/>
  <c r="C189" i="13"/>
  <c r="B189" i="13"/>
  <c r="G188" i="13"/>
  <c r="F188" i="13"/>
  <c r="E188" i="13"/>
  <c r="D188" i="13"/>
  <c r="C188" i="13"/>
  <c r="B188" i="13"/>
  <c r="G187" i="13"/>
  <c r="F187" i="13"/>
  <c r="E187" i="13"/>
  <c r="D187" i="13"/>
  <c r="C187" i="13"/>
  <c r="B187" i="13"/>
  <c r="G186" i="13"/>
  <c r="F186" i="13"/>
  <c r="E186" i="13"/>
  <c r="D186" i="13"/>
  <c r="C186" i="13"/>
  <c r="B186" i="13"/>
  <c r="G185" i="13"/>
  <c r="F185" i="13"/>
  <c r="E185" i="13"/>
  <c r="D185" i="13"/>
  <c r="C185" i="13"/>
  <c r="B185" i="13"/>
  <c r="G184" i="13"/>
  <c r="F184" i="13"/>
  <c r="E184" i="13"/>
  <c r="D184" i="13"/>
  <c r="C184" i="13"/>
  <c r="B184" i="13"/>
  <c r="G183" i="13"/>
  <c r="F183" i="13"/>
  <c r="E183" i="13"/>
  <c r="D183" i="13"/>
  <c r="C183" i="13"/>
  <c r="B183" i="13"/>
  <c r="G182" i="13"/>
  <c r="F182" i="13"/>
  <c r="E182" i="13"/>
  <c r="D182" i="13"/>
  <c r="C182" i="13"/>
  <c r="B182" i="13"/>
  <c r="G181" i="13"/>
  <c r="F181" i="13"/>
  <c r="E181" i="13"/>
  <c r="D181" i="13"/>
  <c r="C181" i="13"/>
  <c r="B181" i="13"/>
  <c r="G180" i="13"/>
  <c r="F180" i="13"/>
  <c r="E180" i="13"/>
  <c r="D180" i="13"/>
  <c r="C180" i="13"/>
  <c r="B180" i="13"/>
  <c r="G179" i="13"/>
  <c r="F179" i="13"/>
  <c r="E179" i="13"/>
  <c r="D179" i="13"/>
  <c r="C179" i="13"/>
  <c r="B179" i="13"/>
  <c r="G178" i="13"/>
  <c r="F178" i="13"/>
  <c r="E178" i="13"/>
  <c r="D178" i="13"/>
  <c r="C178" i="13"/>
  <c r="B178" i="13"/>
  <c r="G177" i="13"/>
  <c r="F177" i="13"/>
  <c r="E177" i="13"/>
  <c r="D177" i="13"/>
  <c r="C177" i="13"/>
  <c r="B177" i="13"/>
  <c r="G176" i="13"/>
  <c r="F176" i="13"/>
  <c r="E176" i="13"/>
  <c r="D176" i="13"/>
  <c r="C176" i="13"/>
  <c r="B176" i="13"/>
  <c r="G175" i="13"/>
  <c r="F175" i="13"/>
  <c r="E175" i="13"/>
  <c r="D175" i="13"/>
  <c r="C175" i="13"/>
  <c r="B175" i="13"/>
  <c r="G174" i="13"/>
  <c r="F174" i="13"/>
  <c r="E174" i="13"/>
  <c r="D174" i="13"/>
  <c r="C174" i="13"/>
  <c r="B174" i="13"/>
  <c r="G173" i="13"/>
  <c r="F173" i="13"/>
  <c r="E173" i="13"/>
  <c r="D173" i="13"/>
  <c r="C173" i="13"/>
  <c r="B173" i="13"/>
  <c r="G172" i="13"/>
  <c r="F172" i="13"/>
  <c r="E172" i="13"/>
  <c r="D172" i="13"/>
  <c r="C172" i="13"/>
  <c r="B172" i="13"/>
  <c r="G171" i="13"/>
  <c r="F171" i="13"/>
  <c r="E171" i="13"/>
  <c r="D171" i="13"/>
  <c r="C171" i="13"/>
  <c r="B171" i="13"/>
  <c r="G170" i="13"/>
  <c r="F170" i="13"/>
  <c r="E170" i="13"/>
  <c r="D170" i="13"/>
  <c r="C170" i="13"/>
  <c r="B170" i="13"/>
  <c r="G169" i="13"/>
  <c r="F169" i="13"/>
  <c r="E169" i="13"/>
  <c r="D169" i="13"/>
  <c r="C169" i="13"/>
  <c r="B169" i="13"/>
  <c r="G168" i="13"/>
  <c r="F168" i="13"/>
  <c r="E168" i="13"/>
  <c r="D168" i="13"/>
  <c r="C168" i="13"/>
  <c r="B168" i="13"/>
  <c r="G167" i="13"/>
  <c r="F167" i="13"/>
  <c r="E167" i="13"/>
  <c r="D167" i="13"/>
  <c r="C167" i="13"/>
  <c r="B167" i="13"/>
  <c r="G166" i="13"/>
  <c r="F166" i="13"/>
  <c r="E166" i="13"/>
  <c r="D166" i="13"/>
  <c r="C166" i="13"/>
  <c r="B166" i="13"/>
  <c r="G165" i="13"/>
  <c r="F165" i="13"/>
  <c r="E165" i="13"/>
  <c r="D165" i="13"/>
  <c r="C165" i="13"/>
  <c r="B165" i="13"/>
  <c r="G164" i="13"/>
  <c r="F164" i="13"/>
  <c r="E164" i="13"/>
  <c r="D164" i="13"/>
  <c r="C164" i="13"/>
  <c r="B164" i="13"/>
  <c r="G163" i="13"/>
  <c r="F163" i="13"/>
  <c r="E163" i="13"/>
  <c r="D163" i="13"/>
  <c r="C163" i="13"/>
  <c r="B163" i="13"/>
  <c r="G162" i="13"/>
  <c r="F162" i="13"/>
  <c r="E162" i="13"/>
  <c r="D162" i="13"/>
  <c r="C162" i="13"/>
  <c r="B162" i="13"/>
  <c r="G161" i="13"/>
  <c r="F161" i="13"/>
  <c r="E161" i="13"/>
  <c r="D161" i="13"/>
  <c r="C161" i="13"/>
  <c r="B161" i="13"/>
  <c r="G160" i="13"/>
  <c r="F160" i="13"/>
  <c r="E160" i="13"/>
  <c r="D160" i="13"/>
  <c r="C160" i="13"/>
  <c r="B160" i="13"/>
  <c r="G159" i="13"/>
  <c r="F159" i="13"/>
  <c r="E159" i="13"/>
  <c r="D159" i="13"/>
  <c r="C159" i="13"/>
  <c r="B159" i="13"/>
  <c r="G158" i="13"/>
  <c r="F158" i="13"/>
  <c r="E158" i="13"/>
  <c r="D158" i="13"/>
  <c r="C158" i="13"/>
  <c r="B158" i="13"/>
  <c r="G157" i="13"/>
  <c r="F157" i="13"/>
  <c r="E157" i="13"/>
  <c r="D157" i="13"/>
  <c r="C157" i="13"/>
  <c r="B157" i="13"/>
  <c r="G156" i="13"/>
  <c r="F156" i="13"/>
  <c r="E156" i="13"/>
  <c r="D156" i="13"/>
  <c r="C156" i="13"/>
  <c r="B156" i="13"/>
  <c r="G155" i="13"/>
  <c r="F155" i="13"/>
  <c r="E155" i="13"/>
  <c r="D155" i="13"/>
  <c r="C155" i="13"/>
  <c r="B155" i="13"/>
  <c r="G154" i="13"/>
  <c r="F154" i="13"/>
  <c r="E154" i="13"/>
  <c r="D154" i="13"/>
  <c r="C154" i="13"/>
  <c r="B154" i="13"/>
  <c r="G153" i="13"/>
  <c r="F153" i="13"/>
  <c r="E153" i="13"/>
  <c r="D153" i="13"/>
  <c r="C153" i="13"/>
  <c r="B153" i="13"/>
  <c r="G152" i="13"/>
  <c r="F152" i="13"/>
  <c r="E152" i="13"/>
  <c r="D152" i="13"/>
  <c r="C152" i="13"/>
  <c r="B152" i="13"/>
  <c r="G151" i="13"/>
  <c r="F151" i="13"/>
  <c r="E151" i="13"/>
  <c r="D151" i="13"/>
  <c r="C151" i="13"/>
  <c r="B151" i="13"/>
  <c r="G150" i="13"/>
  <c r="F150" i="13"/>
  <c r="E150" i="13"/>
  <c r="D150" i="13"/>
  <c r="C150" i="13"/>
  <c r="B150" i="13"/>
  <c r="G149" i="13"/>
  <c r="F149" i="13"/>
  <c r="E149" i="13"/>
  <c r="D149" i="13"/>
  <c r="C149" i="13"/>
  <c r="B149" i="13"/>
  <c r="G148" i="13"/>
  <c r="F148" i="13"/>
  <c r="E148" i="13"/>
  <c r="D148" i="13"/>
  <c r="C148" i="13"/>
  <c r="B148" i="13"/>
  <c r="G147" i="13"/>
  <c r="F147" i="13"/>
  <c r="E147" i="13"/>
  <c r="D147" i="13"/>
  <c r="C147" i="13"/>
  <c r="B147" i="13"/>
  <c r="G146" i="13"/>
  <c r="F146" i="13"/>
  <c r="E146" i="13"/>
  <c r="D146" i="13"/>
  <c r="C146" i="13"/>
  <c r="B146" i="13"/>
  <c r="G145" i="13"/>
  <c r="F145" i="13"/>
  <c r="E145" i="13"/>
  <c r="D145" i="13"/>
  <c r="C145" i="13"/>
  <c r="B145" i="13"/>
  <c r="G144" i="13"/>
  <c r="F144" i="13"/>
  <c r="E144" i="13"/>
  <c r="D144" i="13"/>
  <c r="C144" i="13"/>
  <c r="B144" i="13"/>
  <c r="G143" i="13"/>
  <c r="F143" i="13"/>
  <c r="E143" i="13"/>
  <c r="D143" i="13"/>
  <c r="C143" i="13"/>
  <c r="B143" i="13"/>
  <c r="G142" i="13"/>
  <c r="F142" i="13"/>
  <c r="E142" i="13"/>
  <c r="D142" i="13"/>
  <c r="C142" i="13"/>
  <c r="B142" i="13"/>
  <c r="G141" i="13"/>
  <c r="F141" i="13"/>
  <c r="E141" i="13"/>
  <c r="D141" i="13"/>
  <c r="C141" i="13"/>
  <c r="B141" i="13"/>
  <c r="G140" i="13"/>
  <c r="F140" i="13"/>
  <c r="E140" i="13"/>
  <c r="D140" i="13"/>
  <c r="C140" i="13"/>
  <c r="B140" i="13"/>
  <c r="G139" i="13"/>
  <c r="F139" i="13"/>
  <c r="E139" i="13"/>
  <c r="D139" i="13"/>
  <c r="C139" i="13"/>
  <c r="B139" i="13"/>
  <c r="G138" i="13"/>
  <c r="F138" i="13"/>
  <c r="E138" i="13"/>
  <c r="D138" i="13"/>
  <c r="C138" i="13"/>
  <c r="B138" i="13"/>
  <c r="G137" i="13"/>
  <c r="F137" i="13"/>
  <c r="E137" i="13"/>
  <c r="D137" i="13"/>
  <c r="C137" i="13"/>
  <c r="B137" i="13"/>
  <c r="G136" i="13"/>
  <c r="F136" i="13"/>
  <c r="E136" i="13"/>
  <c r="D136" i="13"/>
  <c r="C136" i="13"/>
  <c r="B136" i="13"/>
  <c r="G135" i="13"/>
  <c r="F135" i="13"/>
  <c r="E135" i="13"/>
  <c r="D135" i="13"/>
  <c r="C135" i="13"/>
  <c r="B135" i="13"/>
  <c r="G134" i="13"/>
  <c r="F134" i="13"/>
  <c r="E134" i="13"/>
  <c r="D134" i="13"/>
  <c r="C134" i="13"/>
  <c r="B134" i="13"/>
  <c r="G133" i="13"/>
  <c r="F133" i="13"/>
  <c r="E133" i="13"/>
  <c r="D133" i="13"/>
  <c r="C133" i="13"/>
  <c r="B133" i="13"/>
  <c r="G132" i="13"/>
  <c r="F132" i="13"/>
  <c r="E132" i="13"/>
  <c r="D132" i="13"/>
  <c r="C132" i="13"/>
  <c r="B132" i="13"/>
  <c r="G131" i="13"/>
  <c r="F131" i="13"/>
  <c r="E131" i="13"/>
  <c r="D131" i="13"/>
  <c r="C131" i="13"/>
  <c r="B131" i="13"/>
  <c r="G130" i="13"/>
  <c r="F130" i="13"/>
  <c r="E130" i="13"/>
  <c r="D130" i="13"/>
  <c r="C130" i="13"/>
  <c r="B130" i="13"/>
  <c r="G129" i="13"/>
  <c r="F129" i="13"/>
  <c r="E129" i="13"/>
  <c r="D129" i="13"/>
  <c r="C129" i="13"/>
  <c r="B129" i="13"/>
  <c r="G128" i="13"/>
  <c r="F128" i="13"/>
  <c r="E128" i="13"/>
  <c r="D128" i="13"/>
  <c r="C128" i="13"/>
  <c r="B128" i="13"/>
  <c r="G127" i="13"/>
  <c r="F127" i="13"/>
  <c r="E127" i="13"/>
  <c r="D127" i="13"/>
  <c r="C127" i="13"/>
  <c r="B127" i="13"/>
  <c r="G126" i="13"/>
  <c r="F126" i="13"/>
  <c r="E126" i="13"/>
  <c r="D126" i="13"/>
  <c r="C126" i="13"/>
  <c r="B126" i="13"/>
  <c r="G125" i="13"/>
  <c r="F125" i="13"/>
  <c r="E125" i="13"/>
  <c r="D125" i="13"/>
  <c r="C125" i="13"/>
  <c r="B125" i="13"/>
  <c r="G124" i="13"/>
  <c r="F124" i="13"/>
  <c r="E124" i="13"/>
  <c r="D124" i="13"/>
  <c r="C124" i="13"/>
  <c r="B124" i="13"/>
  <c r="G123" i="13"/>
  <c r="F123" i="13"/>
  <c r="E123" i="13"/>
  <c r="D123" i="13"/>
  <c r="C123" i="13"/>
  <c r="B123" i="13"/>
  <c r="G122" i="13"/>
  <c r="F122" i="13"/>
  <c r="E122" i="13"/>
  <c r="D122" i="13"/>
  <c r="C122" i="13"/>
  <c r="B122" i="13"/>
  <c r="G121" i="13"/>
  <c r="F121" i="13"/>
  <c r="E121" i="13"/>
  <c r="D121" i="13"/>
  <c r="C121" i="13"/>
  <c r="B121" i="13"/>
  <c r="G120" i="13"/>
  <c r="F120" i="13"/>
  <c r="E120" i="13"/>
  <c r="D120" i="13"/>
  <c r="C120" i="13"/>
  <c r="B120" i="13"/>
  <c r="G119" i="13"/>
  <c r="F119" i="13"/>
  <c r="E119" i="13"/>
  <c r="D119" i="13"/>
  <c r="C119" i="13"/>
  <c r="B119" i="13"/>
  <c r="G118" i="13"/>
  <c r="F118" i="13"/>
  <c r="E118" i="13"/>
  <c r="D118" i="13"/>
  <c r="C118" i="13"/>
  <c r="B118" i="13"/>
  <c r="G117" i="13"/>
  <c r="F117" i="13"/>
  <c r="E117" i="13"/>
  <c r="D117" i="13"/>
  <c r="C117" i="13"/>
  <c r="B117" i="13"/>
  <c r="G116" i="13"/>
  <c r="F116" i="13"/>
  <c r="E116" i="13"/>
  <c r="D116" i="13"/>
  <c r="C116" i="13"/>
  <c r="B116" i="13"/>
  <c r="G115" i="13"/>
  <c r="F115" i="13"/>
  <c r="E115" i="13"/>
  <c r="D115" i="13"/>
  <c r="C115" i="13"/>
  <c r="B115" i="13"/>
  <c r="G114" i="13"/>
  <c r="F114" i="13"/>
  <c r="E114" i="13"/>
  <c r="D114" i="13"/>
  <c r="C114" i="13"/>
  <c r="B114" i="13"/>
  <c r="G113" i="13"/>
  <c r="F113" i="13"/>
  <c r="E113" i="13"/>
  <c r="D113" i="13"/>
  <c r="C113" i="13"/>
  <c r="B113" i="13"/>
  <c r="G112" i="13"/>
  <c r="F112" i="13"/>
  <c r="E112" i="13"/>
  <c r="D112" i="13"/>
  <c r="C112" i="13"/>
  <c r="B112" i="13"/>
  <c r="G111" i="13"/>
  <c r="F111" i="13"/>
  <c r="E111" i="13"/>
  <c r="D111" i="13"/>
  <c r="C111" i="13"/>
  <c r="B111" i="13"/>
  <c r="G110" i="13"/>
  <c r="F110" i="13"/>
  <c r="E110" i="13"/>
  <c r="D110" i="13"/>
  <c r="C110" i="13"/>
  <c r="B110" i="13"/>
  <c r="G109" i="13"/>
  <c r="F109" i="13"/>
  <c r="E109" i="13"/>
  <c r="D109" i="13"/>
  <c r="C109" i="13"/>
  <c r="B109" i="13"/>
  <c r="G108" i="13"/>
  <c r="F108" i="13"/>
  <c r="E108" i="13"/>
  <c r="D108" i="13"/>
  <c r="C108" i="13"/>
  <c r="B108" i="13"/>
  <c r="G107" i="13"/>
  <c r="F107" i="13"/>
  <c r="E107" i="13"/>
  <c r="D107" i="13"/>
  <c r="C107" i="13"/>
  <c r="B107" i="13"/>
  <c r="G106" i="13"/>
  <c r="F106" i="13"/>
  <c r="E106" i="13"/>
  <c r="D106" i="13"/>
  <c r="C106" i="13"/>
  <c r="B106" i="13"/>
  <c r="G105" i="13"/>
  <c r="F105" i="13"/>
  <c r="E105" i="13"/>
  <c r="D105" i="13"/>
  <c r="C105" i="13"/>
  <c r="B105" i="13"/>
  <c r="G104" i="13"/>
  <c r="F104" i="13"/>
  <c r="E104" i="13"/>
  <c r="D104" i="13"/>
  <c r="C104" i="13"/>
  <c r="B104" i="13"/>
  <c r="G103" i="13"/>
  <c r="F103" i="13"/>
  <c r="E103" i="13"/>
  <c r="D103" i="13"/>
  <c r="C103" i="13"/>
  <c r="B103" i="13"/>
  <c r="G102" i="13"/>
  <c r="F102" i="13"/>
  <c r="E102" i="13"/>
  <c r="D102" i="13"/>
  <c r="C102" i="13"/>
  <c r="B102" i="13"/>
  <c r="G101" i="13"/>
  <c r="F101" i="13"/>
  <c r="E101" i="13"/>
  <c r="D101" i="13"/>
  <c r="C101" i="13"/>
  <c r="B101" i="13"/>
  <c r="G100" i="13"/>
  <c r="F100" i="13"/>
  <c r="E100" i="13"/>
  <c r="D100" i="13"/>
  <c r="C100" i="13"/>
  <c r="B100" i="13"/>
  <c r="G99" i="13"/>
  <c r="F99" i="13"/>
  <c r="E99" i="13"/>
  <c r="D99" i="13"/>
  <c r="C99" i="13"/>
  <c r="B99" i="13"/>
  <c r="G98" i="13"/>
  <c r="F98" i="13"/>
  <c r="E98" i="13"/>
  <c r="D98" i="13"/>
  <c r="C98" i="13"/>
  <c r="B98" i="13"/>
  <c r="G97" i="13"/>
  <c r="F97" i="13"/>
  <c r="E97" i="13"/>
  <c r="D97" i="13"/>
  <c r="C97" i="13"/>
  <c r="B97" i="13"/>
  <c r="G96" i="13"/>
  <c r="F96" i="13"/>
  <c r="E96" i="13"/>
  <c r="D96" i="13"/>
  <c r="C96" i="13"/>
  <c r="B96" i="13"/>
  <c r="G95" i="13"/>
  <c r="F95" i="13"/>
  <c r="E95" i="13"/>
  <c r="D95" i="13"/>
  <c r="C95" i="13"/>
  <c r="B95" i="13"/>
  <c r="G94" i="13"/>
  <c r="F94" i="13"/>
  <c r="E94" i="13"/>
  <c r="D94" i="13"/>
  <c r="C94" i="13"/>
  <c r="B94" i="13"/>
  <c r="G93" i="13"/>
  <c r="F93" i="13"/>
  <c r="E93" i="13"/>
  <c r="D93" i="13"/>
  <c r="C93" i="13"/>
  <c r="B93" i="13"/>
  <c r="G92" i="13"/>
  <c r="F92" i="13"/>
  <c r="E92" i="13"/>
  <c r="D92" i="13"/>
  <c r="C92" i="13"/>
  <c r="B92" i="13"/>
  <c r="G91" i="13"/>
  <c r="F91" i="13"/>
  <c r="E91" i="13"/>
  <c r="D91" i="13"/>
  <c r="C91" i="13"/>
  <c r="B91" i="13"/>
  <c r="G90" i="13"/>
  <c r="F90" i="13"/>
  <c r="E90" i="13"/>
  <c r="D90" i="13"/>
  <c r="C90" i="13"/>
  <c r="B90" i="13"/>
  <c r="G89" i="13"/>
  <c r="F89" i="13"/>
  <c r="E89" i="13"/>
  <c r="D89" i="13"/>
  <c r="C89" i="13"/>
  <c r="B89" i="13"/>
  <c r="G88" i="13"/>
  <c r="F88" i="13"/>
  <c r="E88" i="13"/>
  <c r="D88" i="13"/>
  <c r="C88" i="13"/>
  <c r="B88" i="13"/>
  <c r="G87" i="13"/>
  <c r="F87" i="13"/>
  <c r="E87" i="13"/>
  <c r="D87" i="13"/>
  <c r="C87" i="13"/>
  <c r="B87" i="13"/>
  <c r="G86" i="13"/>
  <c r="F86" i="13"/>
  <c r="E86" i="13"/>
  <c r="D86" i="13"/>
  <c r="C86" i="13"/>
  <c r="B86" i="13"/>
  <c r="G85" i="13"/>
  <c r="F85" i="13"/>
  <c r="E85" i="13"/>
  <c r="D85" i="13"/>
  <c r="C85" i="13"/>
  <c r="B85" i="13"/>
  <c r="G84" i="13"/>
  <c r="F84" i="13"/>
  <c r="E84" i="13"/>
  <c r="D84" i="13"/>
  <c r="C84" i="13"/>
  <c r="B84" i="13"/>
  <c r="G83" i="13"/>
  <c r="F83" i="13"/>
  <c r="E83" i="13"/>
  <c r="D83" i="13"/>
  <c r="C83" i="13"/>
  <c r="B83" i="13"/>
  <c r="G82" i="13"/>
  <c r="F82" i="13"/>
  <c r="E82" i="13"/>
  <c r="D82" i="13"/>
  <c r="C82" i="13"/>
  <c r="B82" i="13"/>
  <c r="G81" i="13"/>
  <c r="F81" i="13"/>
  <c r="E81" i="13"/>
  <c r="D81" i="13"/>
  <c r="C81" i="13"/>
  <c r="B81" i="13"/>
  <c r="G80" i="13"/>
  <c r="F80" i="13"/>
  <c r="E80" i="13"/>
  <c r="D80" i="13"/>
  <c r="C80" i="13"/>
  <c r="B80" i="13"/>
  <c r="G79" i="13"/>
  <c r="F79" i="13"/>
  <c r="E79" i="13"/>
  <c r="D79" i="13"/>
  <c r="C79" i="13"/>
  <c r="B79" i="13"/>
  <c r="G78" i="13"/>
  <c r="F78" i="13"/>
  <c r="E78" i="13"/>
  <c r="D78" i="13"/>
  <c r="C78" i="13"/>
  <c r="B78" i="13"/>
  <c r="G77" i="13"/>
  <c r="F77" i="13"/>
  <c r="E77" i="13"/>
  <c r="D77" i="13"/>
  <c r="C77" i="13"/>
  <c r="B77" i="13"/>
  <c r="G76" i="13"/>
  <c r="F76" i="13"/>
  <c r="E76" i="13"/>
  <c r="D76" i="13"/>
  <c r="C76" i="13"/>
  <c r="B76" i="13"/>
  <c r="G75" i="13"/>
  <c r="F75" i="13"/>
  <c r="E75" i="13"/>
  <c r="D75" i="13"/>
  <c r="C75" i="13"/>
  <c r="B75" i="13"/>
  <c r="G74" i="13"/>
  <c r="F74" i="13"/>
  <c r="E74" i="13"/>
  <c r="D74" i="13"/>
  <c r="C74" i="13"/>
  <c r="B74" i="13"/>
  <c r="G73" i="13"/>
  <c r="F73" i="13"/>
  <c r="E73" i="13"/>
  <c r="D73" i="13"/>
  <c r="C73" i="13"/>
  <c r="B73" i="13"/>
  <c r="G72" i="13"/>
  <c r="F72" i="13"/>
  <c r="E72" i="13"/>
  <c r="D72" i="13"/>
  <c r="C72" i="13"/>
  <c r="B72" i="13"/>
  <c r="G71" i="13"/>
  <c r="F71" i="13"/>
  <c r="E71" i="13"/>
  <c r="D71" i="13"/>
  <c r="C71" i="13"/>
  <c r="B71" i="13"/>
  <c r="G70" i="13"/>
  <c r="F70" i="13"/>
  <c r="E70" i="13"/>
  <c r="D70" i="13"/>
  <c r="C70" i="13"/>
  <c r="B70" i="13"/>
  <c r="G69" i="13"/>
  <c r="F69" i="13"/>
  <c r="E69" i="13"/>
  <c r="D69" i="13"/>
  <c r="C69" i="13"/>
  <c r="B69" i="13"/>
  <c r="G68" i="13"/>
  <c r="F68" i="13"/>
  <c r="E68" i="13"/>
  <c r="D68" i="13"/>
  <c r="C68" i="13"/>
  <c r="B68" i="13"/>
  <c r="G67" i="13"/>
  <c r="F67" i="13"/>
  <c r="E67" i="13"/>
  <c r="D67" i="13"/>
  <c r="C67" i="13"/>
  <c r="B67" i="13"/>
  <c r="G66" i="13"/>
  <c r="F66" i="13"/>
  <c r="E66" i="13"/>
  <c r="D66" i="13"/>
  <c r="C66" i="13"/>
  <c r="B66" i="13"/>
  <c r="G65" i="13"/>
  <c r="F65" i="13"/>
  <c r="E65" i="13"/>
  <c r="D65" i="13"/>
  <c r="C65" i="13"/>
  <c r="B65" i="13"/>
  <c r="G64" i="13"/>
  <c r="F64" i="13"/>
  <c r="E64" i="13"/>
  <c r="D64" i="13"/>
  <c r="C64" i="13"/>
  <c r="B64" i="13"/>
  <c r="G63" i="13"/>
  <c r="F63" i="13"/>
  <c r="E63" i="13"/>
  <c r="D63" i="13"/>
  <c r="C63" i="13"/>
  <c r="B63" i="13"/>
  <c r="G62" i="13"/>
  <c r="F62" i="13"/>
  <c r="E62" i="13"/>
  <c r="D62" i="13"/>
  <c r="C62" i="13"/>
  <c r="B62" i="13"/>
  <c r="G61" i="13"/>
  <c r="F61" i="13"/>
  <c r="E61" i="13"/>
  <c r="D61" i="13"/>
  <c r="C61" i="13"/>
  <c r="B61" i="13"/>
  <c r="G60" i="13"/>
  <c r="F60" i="13"/>
  <c r="E60" i="13"/>
  <c r="D60" i="13"/>
  <c r="C60" i="13"/>
  <c r="B60" i="13"/>
  <c r="G59" i="13"/>
  <c r="F59" i="13"/>
  <c r="E59" i="13"/>
  <c r="D59" i="13"/>
  <c r="C59" i="13"/>
  <c r="B59" i="13"/>
  <c r="G58" i="13"/>
  <c r="F58" i="13"/>
  <c r="E58" i="13"/>
  <c r="D58" i="13"/>
  <c r="C58" i="13"/>
  <c r="B58" i="13"/>
  <c r="G57" i="13"/>
  <c r="F57" i="13"/>
  <c r="E57" i="13"/>
  <c r="D57" i="13"/>
  <c r="C57" i="13"/>
  <c r="B57" i="13"/>
  <c r="G56" i="13"/>
  <c r="F56" i="13"/>
  <c r="E56" i="13"/>
  <c r="D56" i="13"/>
  <c r="C56" i="13"/>
  <c r="B56" i="13"/>
  <c r="G55" i="13"/>
  <c r="F55" i="13"/>
  <c r="E55" i="13"/>
  <c r="D55" i="13"/>
  <c r="C55" i="13"/>
  <c r="B55" i="13"/>
  <c r="G54" i="13"/>
  <c r="F54" i="13"/>
  <c r="E54" i="13"/>
  <c r="D54" i="13"/>
  <c r="C54" i="13"/>
  <c r="B54" i="13"/>
  <c r="G53" i="13"/>
  <c r="F53" i="13"/>
  <c r="E53" i="13"/>
  <c r="D53" i="13"/>
  <c r="C53" i="13"/>
  <c r="B53" i="13"/>
  <c r="G52" i="13"/>
  <c r="F52" i="13"/>
  <c r="E52" i="13"/>
  <c r="D52" i="13"/>
  <c r="C52" i="13"/>
  <c r="B52" i="13"/>
  <c r="G51" i="13"/>
  <c r="F51" i="13"/>
  <c r="E51" i="13"/>
  <c r="D51" i="13"/>
  <c r="C51" i="13"/>
  <c r="B51" i="13"/>
  <c r="G50" i="13"/>
  <c r="F50" i="13"/>
  <c r="E50" i="13"/>
  <c r="D50" i="13"/>
  <c r="C50" i="13"/>
  <c r="B50" i="13"/>
  <c r="G49" i="13"/>
  <c r="F49" i="13"/>
  <c r="E49" i="13"/>
  <c r="D49" i="13"/>
  <c r="C49" i="13"/>
  <c r="B49" i="13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G45" i="13"/>
  <c r="F45" i="13"/>
  <c r="E45" i="13"/>
  <c r="D45" i="13"/>
  <c r="C45" i="13"/>
  <c r="B45" i="13"/>
  <c r="G44" i="13"/>
  <c r="F44" i="13"/>
  <c r="E44" i="13"/>
  <c r="D44" i="13"/>
  <c r="C44" i="13"/>
  <c r="B44" i="13"/>
  <c r="G43" i="13"/>
  <c r="F43" i="13"/>
  <c r="E43" i="13"/>
  <c r="D43" i="13"/>
  <c r="C43" i="13"/>
  <c r="B43" i="13"/>
  <c r="G42" i="13"/>
  <c r="F42" i="13"/>
  <c r="E42" i="13"/>
  <c r="D42" i="13"/>
  <c r="C42" i="13"/>
  <c r="B42" i="13"/>
  <c r="G41" i="13"/>
  <c r="F41" i="13"/>
  <c r="E41" i="13"/>
  <c r="D41" i="13"/>
  <c r="C41" i="13"/>
  <c r="B41" i="13"/>
  <c r="G40" i="13"/>
  <c r="F40" i="13"/>
  <c r="E40" i="13"/>
  <c r="D40" i="13"/>
  <c r="C40" i="13"/>
  <c r="B40" i="13"/>
  <c r="G39" i="13"/>
  <c r="F39" i="13"/>
  <c r="E39" i="13"/>
  <c r="D39" i="13"/>
  <c r="C39" i="13"/>
  <c r="B39" i="13"/>
  <c r="G38" i="13"/>
  <c r="F38" i="13"/>
  <c r="E38" i="13"/>
  <c r="D38" i="13"/>
  <c r="C38" i="13"/>
  <c r="B38" i="13"/>
  <c r="G37" i="13"/>
  <c r="F37" i="13"/>
  <c r="E37" i="13"/>
  <c r="D37" i="13"/>
  <c r="C37" i="13"/>
  <c r="B37" i="13"/>
  <c r="G36" i="13"/>
  <c r="F36" i="13"/>
  <c r="E36" i="13"/>
  <c r="D36" i="13"/>
  <c r="C36" i="13"/>
  <c r="B36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B18" i="13"/>
  <c r="D14" i="13"/>
  <c r="C14" i="13"/>
  <c r="B14" i="13"/>
  <c r="E10" i="13"/>
  <c r="D10" i="13"/>
  <c r="B10" i="13"/>
  <c r="B7" i="13"/>
  <c r="G278" i="12"/>
  <c r="F278" i="12"/>
  <c r="E278" i="12"/>
  <c r="D278" i="12"/>
  <c r="C278" i="12"/>
  <c r="B278" i="12"/>
  <c r="G277" i="12"/>
  <c r="F277" i="12"/>
  <c r="E277" i="12"/>
  <c r="D277" i="12"/>
  <c r="C277" i="12"/>
  <c r="B277" i="12"/>
  <c r="G276" i="12"/>
  <c r="F276" i="12"/>
  <c r="E276" i="12"/>
  <c r="D276" i="12"/>
  <c r="C276" i="12"/>
  <c r="B276" i="12"/>
  <c r="G275" i="12"/>
  <c r="F275" i="12"/>
  <c r="E275" i="12"/>
  <c r="D275" i="12"/>
  <c r="C275" i="12"/>
  <c r="B275" i="12"/>
  <c r="G274" i="12"/>
  <c r="F274" i="12"/>
  <c r="E274" i="12"/>
  <c r="D274" i="12"/>
  <c r="C274" i="12"/>
  <c r="B274" i="12"/>
  <c r="G273" i="12"/>
  <c r="F273" i="12"/>
  <c r="E273" i="12"/>
  <c r="D273" i="12"/>
  <c r="C273" i="12"/>
  <c r="B273" i="12"/>
  <c r="G272" i="12"/>
  <c r="F272" i="12"/>
  <c r="E272" i="12"/>
  <c r="D272" i="12"/>
  <c r="C272" i="12"/>
  <c r="B272" i="12"/>
  <c r="G271" i="12"/>
  <c r="F271" i="12"/>
  <c r="E271" i="12"/>
  <c r="D271" i="12"/>
  <c r="C271" i="12"/>
  <c r="B271" i="12"/>
  <c r="G270" i="12"/>
  <c r="F270" i="12"/>
  <c r="E270" i="12"/>
  <c r="D270" i="12"/>
  <c r="C270" i="12"/>
  <c r="B270" i="12"/>
  <c r="G269" i="12"/>
  <c r="F269" i="12"/>
  <c r="E269" i="12"/>
  <c r="D269" i="12"/>
  <c r="C269" i="12"/>
  <c r="B269" i="12"/>
  <c r="G268" i="12"/>
  <c r="F268" i="12"/>
  <c r="E268" i="12"/>
  <c r="D268" i="12"/>
  <c r="C268" i="12"/>
  <c r="B268" i="12"/>
  <c r="G267" i="12"/>
  <c r="F267" i="12"/>
  <c r="E267" i="12"/>
  <c r="D267" i="12"/>
  <c r="C267" i="12"/>
  <c r="B267" i="12"/>
  <c r="G266" i="12"/>
  <c r="F266" i="12"/>
  <c r="E266" i="12"/>
  <c r="D266" i="12"/>
  <c r="C266" i="12"/>
  <c r="B266" i="12"/>
  <c r="G265" i="12"/>
  <c r="F265" i="12"/>
  <c r="E265" i="12"/>
  <c r="D265" i="12"/>
  <c r="C265" i="12"/>
  <c r="B265" i="12"/>
  <c r="G264" i="12"/>
  <c r="F264" i="12"/>
  <c r="E264" i="12"/>
  <c r="D264" i="12"/>
  <c r="C264" i="12"/>
  <c r="B264" i="12"/>
  <c r="G263" i="12"/>
  <c r="F263" i="12"/>
  <c r="E263" i="12"/>
  <c r="D263" i="12"/>
  <c r="C263" i="12"/>
  <c r="B263" i="12"/>
  <c r="G262" i="12"/>
  <c r="F262" i="12"/>
  <c r="E262" i="12"/>
  <c r="D262" i="12"/>
  <c r="C262" i="12"/>
  <c r="B262" i="12"/>
  <c r="G261" i="12"/>
  <c r="F261" i="12"/>
  <c r="E261" i="12"/>
  <c r="D261" i="12"/>
  <c r="C261" i="12"/>
  <c r="B261" i="12"/>
  <c r="G260" i="12"/>
  <c r="F260" i="12"/>
  <c r="E260" i="12"/>
  <c r="D260" i="12"/>
  <c r="C260" i="12"/>
  <c r="B260" i="12"/>
  <c r="G259" i="12"/>
  <c r="F259" i="12"/>
  <c r="E259" i="12"/>
  <c r="D259" i="12"/>
  <c r="C259" i="12"/>
  <c r="B259" i="12"/>
  <c r="G258" i="12"/>
  <c r="F258" i="12"/>
  <c r="E258" i="12"/>
  <c r="D258" i="12"/>
  <c r="C258" i="12"/>
  <c r="B258" i="12"/>
  <c r="G257" i="12"/>
  <c r="F257" i="12"/>
  <c r="E257" i="12"/>
  <c r="D257" i="12"/>
  <c r="C257" i="12"/>
  <c r="B257" i="12"/>
  <c r="G256" i="12"/>
  <c r="F256" i="12"/>
  <c r="E256" i="12"/>
  <c r="D256" i="12"/>
  <c r="C256" i="12"/>
  <c r="B256" i="12"/>
  <c r="G255" i="12"/>
  <c r="F255" i="12"/>
  <c r="E255" i="12"/>
  <c r="D255" i="12"/>
  <c r="C255" i="12"/>
  <c r="B255" i="12"/>
  <c r="G254" i="12"/>
  <c r="F254" i="12"/>
  <c r="E254" i="12"/>
  <c r="D254" i="12"/>
  <c r="C254" i="12"/>
  <c r="B254" i="12"/>
  <c r="G253" i="12"/>
  <c r="F253" i="12"/>
  <c r="E253" i="12"/>
  <c r="D253" i="12"/>
  <c r="C253" i="12"/>
  <c r="B253" i="12"/>
  <c r="G252" i="12"/>
  <c r="F252" i="12"/>
  <c r="E252" i="12"/>
  <c r="D252" i="12"/>
  <c r="C252" i="12"/>
  <c r="B252" i="12"/>
  <c r="G251" i="12"/>
  <c r="F251" i="12"/>
  <c r="E251" i="12"/>
  <c r="D251" i="12"/>
  <c r="C251" i="12"/>
  <c r="B251" i="12"/>
  <c r="G250" i="12"/>
  <c r="F250" i="12"/>
  <c r="E250" i="12"/>
  <c r="D250" i="12"/>
  <c r="C250" i="12"/>
  <c r="B250" i="12"/>
  <c r="G249" i="12"/>
  <c r="F249" i="12"/>
  <c r="E249" i="12"/>
  <c r="D249" i="12"/>
  <c r="C249" i="12"/>
  <c r="B249" i="12"/>
  <c r="G248" i="12"/>
  <c r="F248" i="12"/>
  <c r="E248" i="12"/>
  <c r="D248" i="12"/>
  <c r="C248" i="12"/>
  <c r="B248" i="12"/>
  <c r="G247" i="12"/>
  <c r="F247" i="12"/>
  <c r="E247" i="12"/>
  <c r="D247" i="12"/>
  <c r="C247" i="12"/>
  <c r="B247" i="12"/>
  <c r="G246" i="12"/>
  <c r="F246" i="12"/>
  <c r="E246" i="12"/>
  <c r="D246" i="12"/>
  <c r="C246" i="12"/>
  <c r="B246" i="12"/>
  <c r="G245" i="12"/>
  <c r="F245" i="12"/>
  <c r="E245" i="12"/>
  <c r="D245" i="12"/>
  <c r="C245" i="12"/>
  <c r="B245" i="12"/>
  <c r="G244" i="12"/>
  <c r="F244" i="12"/>
  <c r="E244" i="12"/>
  <c r="D244" i="12"/>
  <c r="C244" i="12"/>
  <c r="B244" i="12"/>
  <c r="G243" i="12"/>
  <c r="F243" i="12"/>
  <c r="E243" i="12"/>
  <c r="D243" i="12"/>
  <c r="C243" i="12"/>
  <c r="B243" i="12"/>
  <c r="G242" i="12"/>
  <c r="F242" i="12"/>
  <c r="E242" i="12"/>
  <c r="D242" i="12"/>
  <c r="C242" i="12"/>
  <c r="B242" i="12"/>
  <c r="G241" i="12"/>
  <c r="F241" i="12"/>
  <c r="E241" i="12"/>
  <c r="D241" i="12"/>
  <c r="C241" i="12"/>
  <c r="B241" i="12"/>
  <c r="G240" i="12"/>
  <c r="F240" i="12"/>
  <c r="E240" i="12"/>
  <c r="D240" i="12"/>
  <c r="C240" i="12"/>
  <c r="B240" i="12"/>
  <c r="G239" i="12"/>
  <c r="F239" i="12"/>
  <c r="E239" i="12"/>
  <c r="D239" i="12"/>
  <c r="C239" i="12"/>
  <c r="B239" i="12"/>
  <c r="G238" i="12"/>
  <c r="F238" i="12"/>
  <c r="E238" i="12"/>
  <c r="D238" i="12"/>
  <c r="C238" i="12"/>
  <c r="B238" i="12"/>
  <c r="G237" i="12"/>
  <c r="F237" i="12"/>
  <c r="E237" i="12"/>
  <c r="D237" i="12"/>
  <c r="C237" i="12"/>
  <c r="B237" i="12"/>
  <c r="G236" i="12"/>
  <c r="F236" i="12"/>
  <c r="E236" i="12"/>
  <c r="D236" i="12"/>
  <c r="C236" i="12"/>
  <c r="B236" i="12"/>
  <c r="G235" i="12"/>
  <c r="F235" i="12"/>
  <c r="E235" i="12"/>
  <c r="D235" i="12"/>
  <c r="C235" i="12"/>
  <c r="B235" i="12"/>
  <c r="G234" i="12"/>
  <c r="F234" i="12"/>
  <c r="E234" i="12"/>
  <c r="D234" i="12"/>
  <c r="C234" i="12"/>
  <c r="B234" i="12"/>
  <c r="G233" i="12"/>
  <c r="F233" i="12"/>
  <c r="E233" i="12"/>
  <c r="D233" i="12"/>
  <c r="C233" i="12"/>
  <c r="B233" i="12"/>
  <c r="G232" i="12"/>
  <c r="F232" i="12"/>
  <c r="E232" i="12"/>
  <c r="D232" i="12"/>
  <c r="C232" i="12"/>
  <c r="B232" i="12"/>
  <c r="G231" i="12"/>
  <c r="F231" i="12"/>
  <c r="E231" i="12"/>
  <c r="D231" i="12"/>
  <c r="C231" i="12"/>
  <c r="B231" i="12"/>
  <c r="G230" i="12"/>
  <c r="F230" i="12"/>
  <c r="E230" i="12"/>
  <c r="D230" i="12"/>
  <c r="C230" i="12"/>
  <c r="B230" i="12"/>
  <c r="G229" i="12"/>
  <c r="F229" i="12"/>
  <c r="E229" i="12"/>
  <c r="D229" i="12"/>
  <c r="C229" i="12"/>
  <c r="B229" i="12"/>
  <c r="G228" i="12"/>
  <c r="F228" i="12"/>
  <c r="E228" i="12"/>
  <c r="D228" i="12"/>
  <c r="C228" i="12"/>
  <c r="B228" i="12"/>
  <c r="G227" i="12"/>
  <c r="F227" i="12"/>
  <c r="E227" i="12"/>
  <c r="D227" i="12"/>
  <c r="C227" i="12"/>
  <c r="B227" i="12"/>
  <c r="G226" i="12"/>
  <c r="F226" i="12"/>
  <c r="E226" i="12"/>
  <c r="D226" i="12"/>
  <c r="C226" i="12"/>
  <c r="B226" i="12"/>
  <c r="G225" i="12"/>
  <c r="F225" i="12"/>
  <c r="E225" i="12"/>
  <c r="D225" i="12"/>
  <c r="C225" i="12"/>
  <c r="B225" i="12"/>
  <c r="G224" i="12"/>
  <c r="F224" i="12"/>
  <c r="E224" i="12"/>
  <c r="D224" i="12"/>
  <c r="C224" i="12"/>
  <c r="B224" i="12"/>
  <c r="G223" i="12"/>
  <c r="F223" i="12"/>
  <c r="E223" i="12"/>
  <c r="D223" i="12"/>
  <c r="C223" i="12"/>
  <c r="B223" i="12"/>
  <c r="G222" i="12"/>
  <c r="F222" i="12"/>
  <c r="E222" i="12"/>
  <c r="D222" i="12"/>
  <c r="C222" i="12"/>
  <c r="B222" i="12"/>
  <c r="G221" i="12"/>
  <c r="F221" i="12"/>
  <c r="E221" i="12"/>
  <c r="D221" i="12"/>
  <c r="C221" i="12"/>
  <c r="B221" i="12"/>
  <c r="G220" i="12"/>
  <c r="F220" i="12"/>
  <c r="E220" i="12"/>
  <c r="D220" i="12"/>
  <c r="C220" i="12"/>
  <c r="B220" i="12"/>
  <c r="G219" i="12"/>
  <c r="F219" i="12"/>
  <c r="E219" i="12"/>
  <c r="D219" i="12"/>
  <c r="C219" i="12"/>
  <c r="B219" i="12"/>
  <c r="G218" i="12"/>
  <c r="F218" i="12"/>
  <c r="E218" i="12"/>
  <c r="D218" i="12"/>
  <c r="C218" i="12"/>
  <c r="B218" i="12"/>
  <c r="G217" i="12"/>
  <c r="F217" i="12"/>
  <c r="E217" i="12"/>
  <c r="D217" i="12"/>
  <c r="C217" i="12"/>
  <c r="B217" i="12"/>
  <c r="G216" i="12"/>
  <c r="F216" i="12"/>
  <c r="E216" i="12"/>
  <c r="D216" i="12"/>
  <c r="C216" i="12"/>
  <c r="B216" i="12"/>
  <c r="G215" i="12"/>
  <c r="F215" i="12"/>
  <c r="E215" i="12"/>
  <c r="D215" i="12"/>
  <c r="C215" i="12"/>
  <c r="B215" i="12"/>
  <c r="G214" i="12"/>
  <c r="F214" i="12"/>
  <c r="E214" i="12"/>
  <c r="D214" i="12"/>
  <c r="C214" i="12"/>
  <c r="B214" i="12"/>
  <c r="G213" i="12"/>
  <c r="F213" i="12"/>
  <c r="E213" i="12"/>
  <c r="D213" i="12"/>
  <c r="C213" i="12"/>
  <c r="B213" i="12"/>
  <c r="G212" i="12"/>
  <c r="F212" i="12"/>
  <c r="E212" i="12"/>
  <c r="D212" i="12"/>
  <c r="C212" i="12"/>
  <c r="B212" i="12"/>
  <c r="G211" i="12"/>
  <c r="F211" i="12"/>
  <c r="E211" i="12"/>
  <c r="D211" i="12"/>
  <c r="C211" i="12"/>
  <c r="B211" i="12"/>
  <c r="G210" i="12"/>
  <c r="F210" i="12"/>
  <c r="E210" i="12"/>
  <c r="D210" i="12"/>
  <c r="C210" i="12"/>
  <c r="B210" i="12"/>
  <c r="G209" i="12"/>
  <c r="F209" i="12"/>
  <c r="E209" i="12"/>
  <c r="D209" i="12"/>
  <c r="C209" i="12"/>
  <c r="B209" i="12"/>
  <c r="G208" i="12"/>
  <c r="F208" i="12"/>
  <c r="E208" i="12"/>
  <c r="D208" i="12"/>
  <c r="C208" i="12"/>
  <c r="B208" i="12"/>
  <c r="G207" i="12"/>
  <c r="F207" i="12"/>
  <c r="E207" i="12"/>
  <c r="D207" i="12"/>
  <c r="C207" i="12"/>
  <c r="B207" i="12"/>
  <c r="G206" i="12"/>
  <c r="F206" i="12"/>
  <c r="E206" i="12"/>
  <c r="D206" i="12"/>
  <c r="C206" i="12"/>
  <c r="B206" i="12"/>
  <c r="G205" i="12"/>
  <c r="F205" i="12"/>
  <c r="E205" i="12"/>
  <c r="D205" i="12"/>
  <c r="C205" i="12"/>
  <c r="B205" i="12"/>
  <c r="G204" i="12"/>
  <c r="F204" i="12"/>
  <c r="E204" i="12"/>
  <c r="D204" i="12"/>
  <c r="C204" i="12"/>
  <c r="B204" i="12"/>
  <c r="G203" i="12"/>
  <c r="F203" i="12"/>
  <c r="E203" i="12"/>
  <c r="D203" i="12"/>
  <c r="C203" i="12"/>
  <c r="B203" i="12"/>
  <c r="G202" i="12"/>
  <c r="F202" i="12"/>
  <c r="E202" i="12"/>
  <c r="D202" i="12"/>
  <c r="C202" i="12"/>
  <c r="B202" i="12"/>
  <c r="G201" i="12"/>
  <c r="F201" i="12"/>
  <c r="E201" i="12"/>
  <c r="D201" i="12"/>
  <c r="C201" i="12"/>
  <c r="B201" i="12"/>
  <c r="G200" i="12"/>
  <c r="F200" i="12"/>
  <c r="E200" i="12"/>
  <c r="D200" i="12"/>
  <c r="C200" i="12"/>
  <c r="B200" i="12"/>
  <c r="G199" i="12"/>
  <c r="F199" i="12"/>
  <c r="E199" i="12"/>
  <c r="D199" i="12"/>
  <c r="C199" i="12"/>
  <c r="B199" i="12"/>
  <c r="G198" i="12"/>
  <c r="F198" i="12"/>
  <c r="E198" i="12"/>
  <c r="D198" i="12"/>
  <c r="C198" i="12"/>
  <c r="B198" i="12"/>
  <c r="G197" i="12"/>
  <c r="F197" i="12"/>
  <c r="E197" i="12"/>
  <c r="D197" i="12"/>
  <c r="C197" i="12"/>
  <c r="B197" i="12"/>
  <c r="G196" i="12"/>
  <c r="F196" i="12"/>
  <c r="E196" i="12"/>
  <c r="D196" i="12"/>
  <c r="C196" i="12"/>
  <c r="B196" i="12"/>
  <c r="G195" i="12"/>
  <c r="F195" i="12"/>
  <c r="E195" i="12"/>
  <c r="D195" i="12"/>
  <c r="C195" i="12"/>
  <c r="B195" i="12"/>
  <c r="G194" i="12"/>
  <c r="F194" i="12"/>
  <c r="E194" i="12"/>
  <c r="D194" i="12"/>
  <c r="C194" i="12"/>
  <c r="B194" i="12"/>
  <c r="G193" i="12"/>
  <c r="F193" i="12"/>
  <c r="E193" i="12"/>
  <c r="D193" i="12"/>
  <c r="C193" i="12"/>
  <c r="B193" i="12"/>
  <c r="G192" i="12"/>
  <c r="F192" i="12"/>
  <c r="E192" i="12"/>
  <c r="D192" i="12"/>
  <c r="C192" i="12"/>
  <c r="B192" i="12"/>
  <c r="G191" i="12"/>
  <c r="F191" i="12"/>
  <c r="E191" i="12"/>
  <c r="D191" i="12"/>
  <c r="C191" i="12"/>
  <c r="B191" i="12"/>
  <c r="G190" i="12"/>
  <c r="F190" i="12"/>
  <c r="E190" i="12"/>
  <c r="D190" i="12"/>
  <c r="C190" i="12"/>
  <c r="B190" i="12"/>
  <c r="G189" i="12"/>
  <c r="F189" i="12"/>
  <c r="E189" i="12"/>
  <c r="D189" i="12"/>
  <c r="C189" i="12"/>
  <c r="B189" i="12"/>
  <c r="G188" i="12"/>
  <c r="F188" i="12"/>
  <c r="E188" i="12"/>
  <c r="D188" i="12"/>
  <c r="C188" i="12"/>
  <c r="B188" i="12"/>
  <c r="G187" i="12"/>
  <c r="F187" i="12"/>
  <c r="E187" i="12"/>
  <c r="D187" i="12"/>
  <c r="C187" i="12"/>
  <c r="B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7" i="12"/>
  <c r="F127" i="12"/>
  <c r="E127" i="12"/>
  <c r="D127" i="12"/>
  <c r="C127" i="12"/>
  <c r="B127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B18" i="12"/>
  <c r="D14" i="12"/>
  <c r="C14" i="12"/>
  <c r="B14" i="12"/>
  <c r="E10" i="12"/>
  <c r="D10" i="12"/>
  <c r="B10" i="12"/>
  <c r="B7" i="12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B18" i="11"/>
  <c r="D14" i="11"/>
  <c r="C14" i="11"/>
  <c r="B14" i="11"/>
  <c r="E10" i="11"/>
  <c r="D10" i="11"/>
  <c r="B10" i="11"/>
  <c r="B7" i="11"/>
  <c r="G779" i="10"/>
  <c r="F779" i="10"/>
  <c r="E779" i="10"/>
  <c r="D779" i="10"/>
  <c r="C779" i="10"/>
  <c r="B779" i="10"/>
  <c r="G778" i="10"/>
  <c r="F778" i="10"/>
  <c r="E778" i="10"/>
  <c r="D778" i="10"/>
  <c r="C778" i="10"/>
  <c r="B778" i="10"/>
  <c r="G777" i="10"/>
  <c r="F777" i="10"/>
  <c r="E777" i="10"/>
  <c r="D777" i="10"/>
  <c r="C777" i="10"/>
  <c r="B777" i="10"/>
  <c r="G776" i="10"/>
  <c r="F776" i="10"/>
  <c r="E776" i="10"/>
  <c r="D776" i="10"/>
  <c r="C776" i="10"/>
  <c r="B776" i="10"/>
  <c r="G775" i="10"/>
  <c r="F775" i="10"/>
  <c r="E775" i="10"/>
  <c r="D775" i="10"/>
  <c r="C775" i="10"/>
  <c r="B775" i="10"/>
  <c r="G774" i="10"/>
  <c r="F774" i="10"/>
  <c r="E774" i="10"/>
  <c r="D774" i="10"/>
  <c r="C774" i="10"/>
  <c r="B774" i="10"/>
  <c r="G773" i="10"/>
  <c r="F773" i="10"/>
  <c r="E773" i="10"/>
  <c r="D773" i="10"/>
  <c r="C773" i="10"/>
  <c r="B773" i="10"/>
  <c r="G772" i="10"/>
  <c r="F772" i="10"/>
  <c r="E772" i="10"/>
  <c r="D772" i="10"/>
  <c r="C772" i="10"/>
  <c r="B772" i="10"/>
  <c r="G771" i="10"/>
  <c r="F771" i="10"/>
  <c r="E771" i="10"/>
  <c r="D771" i="10"/>
  <c r="C771" i="10"/>
  <c r="B771" i="10"/>
  <c r="G770" i="10"/>
  <c r="F770" i="10"/>
  <c r="E770" i="10"/>
  <c r="D770" i="10"/>
  <c r="C770" i="10"/>
  <c r="B770" i="10"/>
  <c r="G769" i="10"/>
  <c r="F769" i="10"/>
  <c r="E769" i="10"/>
  <c r="D769" i="10"/>
  <c r="C769" i="10"/>
  <c r="B769" i="10"/>
  <c r="G768" i="10"/>
  <c r="F768" i="10"/>
  <c r="E768" i="10"/>
  <c r="D768" i="10"/>
  <c r="C768" i="10"/>
  <c r="B768" i="10"/>
  <c r="G767" i="10"/>
  <c r="F767" i="10"/>
  <c r="E767" i="10"/>
  <c r="D767" i="10"/>
  <c r="C767" i="10"/>
  <c r="B767" i="10"/>
  <c r="G766" i="10"/>
  <c r="F766" i="10"/>
  <c r="E766" i="10"/>
  <c r="D766" i="10"/>
  <c r="C766" i="10"/>
  <c r="B766" i="10"/>
  <c r="G765" i="10"/>
  <c r="F765" i="10"/>
  <c r="E765" i="10"/>
  <c r="D765" i="10"/>
  <c r="C765" i="10"/>
  <c r="B765" i="10"/>
  <c r="G764" i="10"/>
  <c r="F764" i="10"/>
  <c r="E764" i="10"/>
  <c r="D764" i="10"/>
  <c r="C764" i="10"/>
  <c r="B764" i="10"/>
  <c r="G763" i="10"/>
  <c r="F763" i="10"/>
  <c r="E763" i="10"/>
  <c r="D763" i="10"/>
  <c r="C763" i="10"/>
  <c r="B763" i="10"/>
  <c r="G762" i="10"/>
  <c r="F762" i="10"/>
  <c r="E762" i="10"/>
  <c r="D762" i="10"/>
  <c r="C762" i="10"/>
  <c r="B762" i="10"/>
  <c r="G761" i="10"/>
  <c r="F761" i="10"/>
  <c r="E761" i="10"/>
  <c r="D761" i="10"/>
  <c r="C761" i="10"/>
  <c r="B761" i="10"/>
  <c r="G760" i="10"/>
  <c r="F760" i="10"/>
  <c r="E760" i="10"/>
  <c r="D760" i="10"/>
  <c r="C760" i="10"/>
  <c r="B760" i="10"/>
  <c r="G759" i="10"/>
  <c r="F759" i="10"/>
  <c r="E759" i="10"/>
  <c r="D759" i="10"/>
  <c r="C759" i="10"/>
  <c r="B759" i="10"/>
  <c r="G758" i="10"/>
  <c r="F758" i="10"/>
  <c r="E758" i="10"/>
  <c r="D758" i="10"/>
  <c r="C758" i="10"/>
  <c r="B758" i="10"/>
  <c r="G757" i="10"/>
  <c r="F757" i="10"/>
  <c r="E757" i="10"/>
  <c r="D757" i="10"/>
  <c r="C757" i="10"/>
  <c r="B757" i="10"/>
  <c r="G756" i="10"/>
  <c r="F756" i="10"/>
  <c r="E756" i="10"/>
  <c r="D756" i="10"/>
  <c r="C756" i="10"/>
  <c r="B756" i="10"/>
  <c r="G755" i="10"/>
  <c r="F755" i="10"/>
  <c r="E755" i="10"/>
  <c r="D755" i="10"/>
  <c r="C755" i="10"/>
  <c r="B755" i="10"/>
  <c r="G754" i="10"/>
  <c r="F754" i="10"/>
  <c r="E754" i="10"/>
  <c r="D754" i="10"/>
  <c r="C754" i="10"/>
  <c r="B754" i="10"/>
  <c r="G753" i="10"/>
  <c r="F753" i="10"/>
  <c r="E753" i="10"/>
  <c r="D753" i="10"/>
  <c r="C753" i="10"/>
  <c r="B753" i="10"/>
  <c r="G752" i="10"/>
  <c r="F752" i="10"/>
  <c r="E752" i="10"/>
  <c r="D752" i="10"/>
  <c r="C752" i="10"/>
  <c r="B752" i="10"/>
  <c r="G751" i="10"/>
  <c r="F751" i="10"/>
  <c r="E751" i="10"/>
  <c r="D751" i="10"/>
  <c r="C751" i="10"/>
  <c r="B751" i="10"/>
  <c r="G750" i="10"/>
  <c r="F750" i="10"/>
  <c r="E750" i="10"/>
  <c r="D750" i="10"/>
  <c r="C750" i="10"/>
  <c r="B750" i="10"/>
  <c r="G749" i="10"/>
  <c r="F749" i="10"/>
  <c r="E749" i="10"/>
  <c r="D749" i="10"/>
  <c r="C749" i="10"/>
  <c r="B749" i="10"/>
  <c r="G748" i="10"/>
  <c r="F748" i="10"/>
  <c r="E748" i="10"/>
  <c r="D748" i="10"/>
  <c r="C748" i="10"/>
  <c r="B748" i="10"/>
  <c r="G747" i="10"/>
  <c r="F747" i="10"/>
  <c r="E747" i="10"/>
  <c r="D747" i="10"/>
  <c r="C747" i="10"/>
  <c r="B747" i="10"/>
  <c r="G746" i="10"/>
  <c r="F746" i="10"/>
  <c r="E746" i="10"/>
  <c r="D746" i="10"/>
  <c r="C746" i="10"/>
  <c r="B746" i="10"/>
  <c r="G745" i="10"/>
  <c r="F745" i="10"/>
  <c r="E745" i="10"/>
  <c r="D745" i="10"/>
  <c r="C745" i="10"/>
  <c r="B745" i="10"/>
  <c r="G744" i="10"/>
  <c r="F744" i="10"/>
  <c r="E744" i="10"/>
  <c r="D744" i="10"/>
  <c r="C744" i="10"/>
  <c r="B744" i="10"/>
  <c r="G743" i="10"/>
  <c r="F743" i="10"/>
  <c r="E743" i="10"/>
  <c r="D743" i="10"/>
  <c r="C743" i="10"/>
  <c r="B743" i="10"/>
  <c r="G742" i="10"/>
  <c r="F742" i="10"/>
  <c r="E742" i="10"/>
  <c r="D742" i="10"/>
  <c r="C742" i="10"/>
  <c r="B742" i="10"/>
  <c r="G741" i="10"/>
  <c r="F741" i="10"/>
  <c r="E741" i="10"/>
  <c r="D741" i="10"/>
  <c r="C741" i="10"/>
  <c r="B741" i="10"/>
  <c r="G740" i="10"/>
  <c r="F740" i="10"/>
  <c r="E740" i="10"/>
  <c r="D740" i="10"/>
  <c r="C740" i="10"/>
  <c r="B740" i="10"/>
  <c r="G739" i="10"/>
  <c r="F739" i="10"/>
  <c r="E739" i="10"/>
  <c r="D739" i="10"/>
  <c r="C739" i="10"/>
  <c r="B739" i="10"/>
  <c r="G738" i="10"/>
  <c r="F738" i="10"/>
  <c r="E738" i="10"/>
  <c r="D738" i="10"/>
  <c r="C738" i="10"/>
  <c r="B738" i="10"/>
  <c r="G737" i="10"/>
  <c r="F737" i="10"/>
  <c r="E737" i="10"/>
  <c r="D737" i="10"/>
  <c r="C737" i="10"/>
  <c r="B737" i="10"/>
  <c r="G736" i="10"/>
  <c r="F736" i="10"/>
  <c r="E736" i="10"/>
  <c r="D736" i="10"/>
  <c r="C736" i="10"/>
  <c r="B736" i="10"/>
  <c r="G735" i="10"/>
  <c r="F735" i="10"/>
  <c r="E735" i="10"/>
  <c r="D735" i="10"/>
  <c r="C735" i="10"/>
  <c r="B735" i="10"/>
  <c r="G734" i="10"/>
  <c r="F734" i="10"/>
  <c r="E734" i="10"/>
  <c r="D734" i="10"/>
  <c r="C734" i="10"/>
  <c r="B734" i="10"/>
  <c r="G733" i="10"/>
  <c r="F733" i="10"/>
  <c r="E733" i="10"/>
  <c r="D733" i="10"/>
  <c r="C733" i="10"/>
  <c r="B733" i="10"/>
  <c r="G732" i="10"/>
  <c r="F732" i="10"/>
  <c r="E732" i="10"/>
  <c r="D732" i="10"/>
  <c r="C732" i="10"/>
  <c r="B732" i="10"/>
  <c r="G731" i="10"/>
  <c r="F731" i="10"/>
  <c r="E731" i="10"/>
  <c r="D731" i="10"/>
  <c r="C731" i="10"/>
  <c r="B731" i="10"/>
  <c r="G730" i="10"/>
  <c r="F730" i="10"/>
  <c r="E730" i="10"/>
  <c r="D730" i="10"/>
  <c r="C730" i="10"/>
  <c r="B730" i="10"/>
  <c r="G729" i="10"/>
  <c r="F729" i="10"/>
  <c r="E729" i="10"/>
  <c r="D729" i="10"/>
  <c r="C729" i="10"/>
  <c r="B729" i="10"/>
  <c r="G728" i="10"/>
  <c r="F728" i="10"/>
  <c r="E728" i="10"/>
  <c r="D728" i="10"/>
  <c r="C728" i="10"/>
  <c r="B728" i="10"/>
  <c r="G727" i="10"/>
  <c r="F727" i="10"/>
  <c r="E727" i="10"/>
  <c r="D727" i="10"/>
  <c r="C727" i="10"/>
  <c r="B727" i="10"/>
  <c r="G726" i="10"/>
  <c r="F726" i="10"/>
  <c r="E726" i="10"/>
  <c r="D726" i="10"/>
  <c r="C726" i="10"/>
  <c r="B726" i="10"/>
  <c r="G725" i="10"/>
  <c r="F725" i="10"/>
  <c r="E725" i="10"/>
  <c r="D725" i="10"/>
  <c r="C725" i="10"/>
  <c r="B725" i="10"/>
  <c r="G724" i="10"/>
  <c r="F724" i="10"/>
  <c r="E724" i="10"/>
  <c r="D724" i="10"/>
  <c r="C724" i="10"/>
  <c r="B724" i="10"/>
  <c r="G723" i="10"/>
  <c r="F723" i="10"/>
  <c r="E723" i="10"/>
  <c r="D723" i="10"/>
  <c r="C723" i="10"/>
  <c r="B723" i="10"/>
  <c r="G722" i="10"/>
  <c r="F722" i="10"/>
  <c r="E722" i="10"/>
  <c r="D722" i="10"/>
  <c r="C722" i="10"/>
  <c r="B722" i="10"/>
  <c r="G721" i="10"/>
  <c r="F721" i="10"/>
  <c r="E721" i="10"/>
  <c r="D721" i="10"/>
  <c r="C721" i="10"/>
  <c r="B721" i="10"/>
  <c r="G720" i="10"/>
  <c r="F720" i="10"/>
  <c r="E720" i="10"/>
  <c r="D720" i="10"/>
  <c r="C720" i="10"/>
  <c r="B720" i="10"/>
  <c r="G719" i="10"/>
  <c r="F719" i="10"/>
  <c r="E719" i="10"/>
  <c r="D719" i="10"/>
  <c r="C719" i="10"/>
  <c r="B719" i="10"/>
  <c r="G718" i="10"/>
  <c r="F718" i="10"/>
  <c r="E718" i="10"/>
  <c r="D718" i="10"/>
  <c r="C718" i="10"/>
  <c r="B718" i="10"/>
  <c r="G717" i="10"/>
  <c r="F717" i="10"/>
  <c r="E717" i="10"/>
  <c r="D717" i="10"/>
  <c r="C717" i="10"/>
  <c r="B717" i="10"/>
  <c r="G716" i="10"/>
  <c r="F716" i="10"/>
  <c r="E716" i="10"/>
  <c r="D716" i="10"/>
  <c r="C716" i="10"/>
  <c r="B716" i="10"/>
  <c r="G715" i="10"/>
  <c r="F715" i="10"/>
  <c r="E715" i="10"/>
  <c r="D715" i="10"/>
  <c r="C715" i="10"/>
  <c r="B715" i="10"/>
  <c r="G714" i="10"/>
  <c r="F714" i="10"/>
  <c r="E714" i="10"/>
  <c r="D714" i="10"/>
  <c r="C714" i="10"/>
  <c r="B714" i="10"/>
  <c r="G713" i="10"/>
  <c r="F713" i="10"/>
  <c r="E713" i="10"/>
  <c r="D713" i="10"/>
  <c r="C713" i="10"/>
  <c r="B713" i="10"/>
  <c r="G712" i="10"/>
  <c r="F712" i="10"/>
  <c r="E712" i="10"/>
  <c r="D712" i="10"/>
  <c r="C712" i="10"/>
  <c r="B712" i="10"/>
  <c r="G711" i="10"/>
  <c r="F711" i="10"/>
  <c r="E711" i="10"/>
  <c r="D711" i="10"/>
  <c r="C711" i="10"/>
  <c r="B711" i="10"/>
  <c r="G710" i="10"/>
  <c r="F710" i="10"/>
  <c r="E710" i="10"/>
  <c r="D710" i="10"/>
  <c r="C710" i="10"/>
  <c r="B710" i="10"/>
  <c r="G709" i="10"/>
  <c r="F709" i="10"/>
  <c r="E709" i="10"/>
  <c r="D709" i="10"/>
  <c r="C709" i="10"/>
  <c r="B709" i="10"/>
  <c r="G708" i="10"/>
  <c r="F708" i="10"/>
  <c r="E708" i="10"/>
  <c r="D708" i="10"/>
  <c r="C708" i="10"/>
  <c r="B708" i="10"/>
  <c r="G707" i="10"/>
  <c r="F707" i="10"/>
  <c r="E707" i="10"/>
  <c r="D707" i="10"/>
  <c r="C707" i="10"/>
  <c r="B707" i="10"/>
  <c r="G706" i="10"/>
  <c r="F706" i="10"/>
  <c r="E706" i="10"/>
  <c r="D706" i="10"/>
  <c r="C706" i="10"/>
  <c r="B706" i="10"/>
  <c r="G705" i="10"/>
  <c r="F705" i="10"/>
  <c r="E705" i="10"/>
  <c r="D705" i="10"/>
  <c r="C705" i="10"/>
  <c r="B705" i="10"/>
  <c r="G704" i="10"/>
  <c r="F704" i="10"/>
  <c r="E704" i="10"/>
  <c r="D704" i="10"/>
  <c r="C704" i="10"/>
  <c r="B704" i="10"/>
  <c r="G703" i="10"/>
  <c r="F703" i="10"/>
  <c r="E703" i="10"/>
  <c r="D703" i="10"/>
  <c r="C703" i="10"/>
  <c r="B703" i="10"/>
  <c r="G702" i="10"/>
  <c r="F702" i="10"/>
  <c r="E702" i="10"/>
  <c r="D702" i="10"/>
  <c r="C702" i="10"/>
  <c r="B702" i="10"/>
  <c r="G701" i="10"/>
  <c r="F701" i="10"/>
  <c r="E701" i="10"/>
  <c r="D701" i="10"/>
  <c r="C701" i="10"/>
  <c r="B701" i="10"/>
  <c r="G700" i="10"/>
  <c r="F700" i="10"/>
  <c r="E700" i="10"/>
  <c r="D700" i="10"/>
  <c r="C700" i="10"/>
  <c r="B700" i="10"/>
  <c r="G699" i="10"/>
  <c r="F699" i="10"/>
  <c r="E699" i="10"/>
  <c r="D699" i="10"/>
  <c r="C699" i="10"/>
  <c r="B699" i="10"/>
  <c r="G698" i="10"/>
  <c r="F698" i="10"/>
  <c r="E698" i="10"/>
  <c r="D698" i="10"/>
  <c r="C698" i="10"/>
  <c r="B698" i="10"/>
  <c r="G697" i="10"/>
  <c r="F697" i="10"/>
  <c r="E697" i="10"/>
  <c r="D697" i="10"/>
  <c r="C697" i="10"/>
  <c r="B697" i="10"/>
  <c r="G696" i="10"/>
  <c r="F696" i="10"/>
  <c r="E696" i="10"/>
  <c r="D696" i="10"/>
  <c r="C696" i="10"/>
  <c r="B696" i="10"/>
  <c r="G695" i="10"/>
  <c r="F695" i="10"/>
  <c r="E695" i="10"/>
  <c r="D695" i="10"/>
  <c r="C695" i="10"/>
  <c r="B695" i="10"/>
  <c r="G694" i="10"/>
  <c r="F694" i="10"/>
  <c r="E694" i="10"/>
  <c r="D694" i="10"/>
  <c r="C694" i="10"/>
  <c r="B694" i="10"/>
  <c r="G693" i="10"/>
  <c r="F693" i="10"/>
  <c r="E693" i="10"/>
  <c r="D693" i="10"/>
  <c r="C693" i="10"/>
  <c r="B693" i="10"/>
  <c r="G692" i="10"/>
  <c r="F692" i="10"/>
  <c r="E692" i="10"/>
  <c r="D692" i="10"/>
  <c r="C692" i="10"/>
  <c r="B692" i="10"/>
  <c r="G691" i="10"/>
  <c r="F691" i="10"/>
  <c r="E691" i="10"/>
  <c r="D691" i="10"/>
  <c r="C691" i="10"/>
  <c r="B691" i="10"/>
  <c r="G690" i="10"/>
  <c r="F690" i="10"/>
  <c r="E690" i="10"/>
  <c r="D690" i="10"/>
  <c r="C690" i="10"/>
  <c r="B690" i="10"/>
  <c r="G689" i="10"/>
  <c r="F689" i="10"/>
  <c r="E689" i="10"/>
  <c r="D689" i="10"/>
  <c r="C689" i="10"/>
  <c r="B689" i="10"/>
  <c r="G688" i="10"/>
  <c r="F688" i="10"/>
  <c r="E688" i="10"/>
  <c r="D688" i="10"/>
  <c r="C688" i="10"/>
  <c r="B688" i="10"/>
  <c r="G687" i="10"/>
  <c r="F687" i="10"/>
  <c r="E687" i="10"/>
  <c r="D687" i="10"/>
  <c r="C687" i="10"/>
  <c r="B687" i="10"/>
  <c r="G686" i="10"/>
  <c r="F686" i="10"/>
  <c r="E686" i="10"/>
  <c r="D686" i="10"/>
  <c r="C686" i="10"/>
  <c r="B686" i="10"/>
  <c r="G685" i="10"/>
  <c r="F685" i="10"/>
  <c r="E685" i="10"/>
  <c r="D685" i="10"/>
  <c r="C685" i="10"/>
  <c r="B685" i="10"/>
  <c r="G684" i="10"/>
  <c r="F684" i="10"/>
  <c r="E684" i="10"/>
  <c r="D684" i="10"/>
  <c r="C684" i="10"/>
  <c r="B684" i="10"/>
  <c r="G683" i="10"/>
  <c r="F683" i="10"/>
  <c r="E683" i="10"/>
  <c r="D683" i="10"/>
  <c r="C683" i="10"/>
  <c r="B683" i="10"/>
  <c r="G682" i="10"/>
  <c r="F682" i="10"/>
  <c r="E682" i="10"/>
  <c r="D682" i="10"/>
  <c r="C682" i="10"/>
  <c r="B682" i="10"/>
  <c r="G681" i="10"/>
  <c r="F681" i="10"/>
  <c r="E681" i="10"/>
  <c r="D681" i="10"/>
  <c r="C681" i="10"/>
  <c r="B681" i="10"/>
  <c r="G680" i="10"/>
  <c r="F680" i="10"/>
  <c r="E680" i="10"/>
  <c r="D680" i="10"/>
  <c r="C680" i="10"/>
  <c r="B680" i="10"/>
  <c r="G679" i="10"/>
  <c r="F679" i="10"/>
  <c r="E679" i="10"/>
  <c r="D679" i="10"/>
  <c r="C679" i="10"/>
  <c r="B679" i="10"/>
  <c r="G678" i="10"/>
  <c r="F678" i="10"/>
  <c r="E678" i="10"/>
  <c r="D678" i="10"/>
  <c r="C678" i="10"/>
  <c r="B678" i="10"/>
  <c r="G677" i="10"/>
  <c r="F677" i="10"/>
  <c r="E677" i="10"/>
  <c r="D677" i="10"/>
  <c r="C677" i="10"/>
  <c r="B677" i="10"/>
  <c r="G676" i="10"/>
  <c r="F676" i="10"/>
  <c r="E676" i="10"/>
  <c r="D676" i="10"/>
  <c r="C676" i="10"/>
  <c r="B676" i="10"/>
  <c r="G675" i="10"/>
  <c r="F675" i="10"/>
  <c r="E675" i="10"/>
  <c r="D675" i="10"/>
  <c r="C675" i="10"/>
  <c r="B675" i="10"/>
  <c r="G674" i="10"/>
  <c r="F674" i="10"/>
  <c r="E674" i="10"/>
  <c r="D674" i="10"/>
  <c r="C674" i="10"/>
  <c r="B674" i="10"/>
  <c r="G673" i="10"/>
  <c r="F673" i="10"/>
  <c r="E673" i="10"/>
  <c r="D673" i="10"/>
  <c r="C673" i="10"/>
  <c r="B673" i="10"/>
  <c r="G672" i="10"/>
  <c r="F672" i="10"/>
  <c r="E672" i="10"/>
  <c r="D672" i="10"/>
  <c r="C672" i="10"/>
  <c r="B672" i="10"/>
  <c r="G671" i="10"/>
  <c r="F671" i="10"/>
  <c r="E671" i="10"/>
  <c r="D671" i="10"/>
  <c r="C671" i="10"/>
  <c r="B671" i="10"/>
  <c r="G670" i="10"/>
  <c r="F670" i="10"/>
  <c r="E670" i="10"/>
  <c r="D670" i="10"/>
  <c r="C670" i="10"/>
  <c r="B670" i="10"/>
  <c r="G669" i="10"/>
  <c r="F669" i="10"/>
  <c r="E669" i="10"/>
  <c r="D669" i="10"/>
  <c r="C669" i="10"/>
  <c r="B669" i="10"/>
  <c r="G668" i="10"/>
  <c r="F668" i="10"/>
  <c r="E668" i="10"/>
  <c r="D668" i="10"/>
  <c r="C668" i="10"/>
  <c r="B668" i="10"/>
  <c r="G667" i="10"/>
  <c r="F667" i="10"/>
  <c r="E667" i="10"/>
  <c r="D667" i="10"/>
  <c r="C667" i="10"/>
  <c r="B667" i="10"/>
  <c r="G666" i="10"/>
  <c r="F666" i="10"/>
  <c r="E666" i="10"/>
  <c r="D666" i="10"/>
  <c r="C666" i="10"/>
  <c r="B666" i="10"/>
  <c r="G665" i="10"/>
  <c r="F665" i="10"/>
  <c r="E665" i="10"/>
  <c r="D665" i="10"/>
  <c r="C665" i="10"/>
  <c r="B665" i="10"/>
  <c r="G664" i="10"/>
  <c r="F664" i="10"/>
  <c r="E664" i="10"/>
  <c r="D664" i="10"/>
  <c r="C664" i="10"/>
  <c r="B664" i="10"/>
  <c r="G663" i="10"/>
  <c r="F663" i="10"/>
  <c r="E663" i="10"/>
  <c r="D663" i="10"/>
  <c r="C663" i="10"/>
  <c r="B663" i="10"/>
  <c r="G662" i="10"/>
  <c r="F662" i="10"/>
  <c r="E662" i="10"/>
  <c r="D662" i="10"/>
  <c r="C662" i="10"/>
  <c r="B662" i="10"/>
  <c r="G661" i="10"/>
  <c r="F661" i="10"/>
  <c r="E661" i="10"/>
  <c r="D661" i="10"/>
  <c r="C661" i="10"/>
  <c r="B661" i="10"/>
  <c r="G660" i="10"/>
  <c r="F660" i="10"/>
  <c r="E660" i="10"/>
  <c r="D660" i="10"/>
  <c r="C660" i="10"/>
  <c r="B660" i="10"/>
  <c r="G659" i="10"/>
  <c r="F659" i="10"/>
  <c r="E659" i="10"/>
  <c r="D659" i="10"/>
  <c r="C659" i="10"/>
  <c r="B659" i="10"/>
  <c r="G658" i="10"/>
  <c r="F658" i="10"/>
  <c r="E658" i="10"/>
  <c r="D658" i="10"/>
  <c r="C658" i="10"/>
  <c r="B658" i="10"/>
  <c r="G657" i="10"/>
  <c r="F657" i="10"/>
  <c r="E657" i="10"/>
  <c r="D657" i="10"/>
  <c r="C657" i="10"/>
  <c r="B657" i="10"/>
  <c r="G656" i="10"/>
  <c r="F656" i="10"/>
  <c r="E656" i="10"/>
  <c r="D656" i="10"/>
  <c r="C656" i="10"/>
  <c r="B656" i="10"/>
  <c r="G655" i="10"/>
  <c r="F655" i="10"/>
  <c r="E655" i="10"/>
  <c r="D655" i="10"/>
  <c r="C655" i="10"/>
  <c r="B655" i="10"/>
  <c r="G654" i="10"/>
  <c r="F654" i="10"/>
  <c r="E654" i="10"/>
  <c r="D654" i="10"/>
  <c r="C654" i="10"/>
  <c r="B654" i="10"/>
  <c r="G653" i="10"/>
  <c r="F653" i="10"/>
  <c r="E653" i="10"/>
  <c r="D653" i="10"/>
  <c r="C653" i="10"/>
  <c r="B653" i="10"/>
  <c r="G652" i="10"/>
  <c r="F652" i="10"/>
  <c r="E652" i="10"/>
  <c r="D652" i="10"/>
  <c r="C652" i="10"/>
  <c r="B652" i="10"/>
  <c r="G651" i="10"/>
  <c r="F651" i="10"/>
  <c r="E651" i="10"/>
  <c r="D651" i="10"/>
  <c r="C651" i="10"/>
  <c r="B651" i="10"/>
  <c r="G650" i="10"/>
  <c r="F650" i="10"/>
  <c r="E650" i="10"/>
  <c r="D650" i="10"/>
  <c r="C650" i="10"/>
  <c r="B650" i="10"/>
  <c r="G649" i="10"/>
  <c r="F649" i="10"/>
  <c r="E649" i="10"/>
  <c r="D649" i="10"/>
  <c r="C649" i="10"/>
  <c r="B649" i="10"/>
  <c r="G648" i="10"/>
  <c r="F648" i="10"/>
  <c r="E648" i="10"/>
  <c r="D648" i="10"/>
  <c r="C648" i="10"/>
  <c r="B648" i="10"/>
  <c r="G647" i="10"/>
  <c r="F647" i="10"/>
  <c r="E647" i="10"/>
  <c r="D647" i="10"/>
  <c r="C647" i="10"/>
  <c r="B647" i="10"/>
  <c r="G646" i="10"/>
  <c r="F646" i="10"/>
  <c r="E646" i="10"/>
  <c r="D646" i="10"/>
  <c r="C646" i="10"/>
  <c r="B646" i="10"/>
  <c r="G645" i="10"/>
  <c r="F645" i="10"/>
  <c r="E645" i="10"/>
  <c r="D645" i="10"/>
  <c r="C645" i="10"/>
  <c r="B645" i="10"/>
  <c r="G644" i="10"/>
  <c r="F644" i="10"/>
  <c r="E644" i="10"/>
  <c r="D644" i="10"/>
  <c r="C644" i="10"/>
  <c r="B644" i="10"/>
  <c r="G643" i="10"/>
  <c r="F643" i="10"/>
  <c r="E643" i="10"/>
  <c r="D643" i="10"/>
  <c r="C643" i="10"/>
  <c r="B643" i="10"/>
  <c r="G642" i="10"/>
  <c r="F642" i="10"/>
  <c r="E642" i="10"/>
  <c r="D642" i="10"/>
  <c r="C642" i="10"/>
  <c r="B642" i="10"/>
  <c r="G641" i="10"/>
  <c r="F641" i="10"/>
  <c r="E641" i="10"/>
  <c r="D641" i="10"/>
  <c r="C641" i="10"/>
  <c r="B641" i="10"/>
  <c r="G640" i="10"/>
  <c r="F640" i="10"/>
  <c r="E640" i="10"/>
  <c r="D640" i="10"/>
  <c r="C640" i="10"/>
  <c r="B640" i="10"/>
  <c r="G639" i="10"/>
  <c r="F639" i="10"/>
  <c r="E639" i="10"/>
  <c r="D639" i="10"/>
  <c r="C639" i="10"/>
  <c r="B639" i="10"/>
  <c r="G638" i="10"/>
  <c r="F638" i="10"/>
  <c r="E638" i="10"/>
  <c r="D638" i="10"/>
  <c r="C638" i="10"/>
  <c r="B638" i="10"/>
  <c r="G637" i="10"/>
  <c r="F637" i="10"/>
  <c r="E637" i="10"/>
  <c r="D637" i="10"/>
  <c r="C637" i="10"/>
  <c r="B637" i="10"/>
  <c r="G636" i="10"/>
  <c r="F636" i="10"/>
  <c r="E636" i="10"/>
  <c r="D636" i="10"/>
  <c r="C636" i="10"/>
  <c r="B636" i="10"/>
  <c r="G635" i="10"/>
  <c r="F635" i="10"/>
  <c r="E635" i="10"/>
  <c r="D635" i="10"/>
  <c r="C635" i="10"/>
  <c r="B635" i="10"/>
  <c r="G634" i="10"/>
  <c r="F634" i="10"/>
  <c r="E634" i="10"/>
  <c r="D634" i="10"/>
  <c r="C634" i="10"/>
  <c r="B634" i="10"/>
  <c r="G633" i="10"/>
  <c r="F633" i="10"/>
  <c r="E633" i="10"/>
  <c r="D633" i="10"/>
  <c r="C633" i="10"/>
  <c r="B633" i="10"/>
  <c r="G632" i="10"/>
  <c r="F632" i="10"/>
  <c r="E632" i="10"/>
  <c r="D632" i="10"/>
  <c r="C632" i="10"/>
  <c r="B632" i="10"/>
  <c r="G631" i="10"/>
  <c r="F631" i="10"/>
  <c r="E631" i="10"/>
  <c r="D631" i="10"/>
  <c r="C631" i="10"/>
  <c r="B631" i="10"/>
  <c r="G630" i="10"/>
  <c r="F630" i="10"/>
  <c r="E630" i="10"/>
  <c r="D630" i="10"/>
  <c r="C630" i="10"/>
  <c r="B630" i="10"/>
  <c r="G629" i="10"/>
  <c r="F629" i="10"/>
  <c r="E629" i="10"/>
  <c r="D629" i="10"/>
  <c r="C629" i="10"/>
  <c r="B629" i="10"/>
  <c r="G628" i="10"/>
  <c r="F628" i="10"/>
  <c r="E628" i="10"/>
  <c r="D628" i="10"/>
  <c r="C628" i="10"/>
  <c r="B628" i="10"/>
  <c r="G627" i="10"/>
  <c r="F627" i="10"/>
  <c r="E627" i="10"/>
  <c r="D627" i="10"/>
  <c r="C627" i="10"/>
  <c r="B627" i="10"/>
  <c r="G626" i="10"/>
  <c r="F626" i="10"/>
  <c r="E626" i="10"/>
  <c r="D626" i="10"/>
  <c r="C626" i="10"/>
  <c r="B626" i="10"/>
  <c r="G625" i="10"/>
  <c r="F625" i="10"/>
  <c r="E625" i="10"/>
  <c r="D625" i="10"/>
  <c r="C625" i="10"/>
  <c r="B625" i="10"/>
  <c r="G624" i="10"/>
  <c r="F624" i="10"/>
  <c r="E624" i="10"/>
  <c r="D624" i="10"/>
  <c r="C624" i="10"/>
  <c r="B624" i="10"/>
  <c r="G623" i="10"/>
  <c r="F623" i="10"/>
  <c r="E623" i="10"/>
  <c r="D623" i="10"/>
  <c r="C623" i="10"/>
  <c r="B623" i="10"/>
  <c r="G622" i="10"/>
  <c r="F622" i="10"/>
  <c r="E622" i="10"/>
  <c r="D622" i="10"/>
  <c r="C622" i="10"/>
  <c r="B622" i="10"/>
  <c r="G621" i="10"/>
  <c r="F621" i="10"/>
  <c r="E621" i="10"/>
  <c r="D621" i="10"/>
  <c r="C621" i="10"/>
  <c r="B621" i="10"/>
  <c r="G620" i="10"/>
  <c r="F620" i="10"/>
  <c r="E620" i="10"/>
  <c r="D620" i="10"/>
  <c r="C620" i="10"/>
  <c r="B620" i="10"/>
  <c r="G619" i="10"/>
  <c r="F619" i="10"/>
  <c r="E619" i="10"/>
  <c r="D619" i="10"/>
  <c r="C619" i="10"/>
  <c r="B619" i="10"/>
  <c r="G618" i="10"/>
  <c r="F618" i="10"/>
  <c r="E618" i="10"/>
  <c r="D618" i="10"/>
  <c r="C618" i="10"/>
  <c r="B618" i="10"/>
  <c r="G617" i="10"/>
  <c r="F617" i="10"/>
  <c r="E617" i="10"/>
  <c r="D617" i="10"/>
  <c r="C617" i="10"/>
  <c r="B617" i="10"/>
  <c r="G616" i="10"/>
  <c r="F616" i="10"/>
  <c r="E616" i="10"/>
  <c r="D616" i="10"/>
  <c r="C616" i="10"/>
  <c r="B616" i="10"/>
  <c r="G615" i="10"/>
  <c r="F615" i="10"/>
  <c r="E615" i="10"/>
  <c r="D615" i="10"/>
  <c r="C615" i="10"/>
  <c r="B615" i="10"/>
  <c r="G614" i="10"/>
  <c r="F614" i="10"/>
  <c r="E614" i="10"/>
  <c r="D614" i="10"/>
  <c r="C614" i="10"/>
  <c r="B614" i="10"/>
  <c r="G613" i="10"/>
  <c r="F613" i="10"/>
  <c r="E613" i="10"/>
  <c r="D613" i="10"/>
  <c r="C613" i="10"/>
  <c r="B613" i="10"/>
  <c r="G612" i="10"/>
  <c r="F612" i="10"/>
  <c r="E612" i="10"/>
  <c r="D612" i="10"/>
  <c r="C612" i="10"/>
  <c r="B612" i="10"/>
  <c r="G611" i="10"/>
  <c r="F611" i="10"/>
  <c r="E611" i="10"/>
  <c r="D611" i="10"/>
  <c r="C611" i="10"/>
  <c r="B611" i="10"/>
  <c r="G610" i="10"/>
  <c r="F610" i="10"/>
  <c r="E610" i="10"/>
  <c r="D610" i="10"/>
  <c r="C610" i="10"/>
  <c r="B610" i="10"/>
  <c r="G609" i="10"/>
  <c r="F609" i="10"/>
  <c r="E609" i="10"/>
  <c r="D609" i="10"/>
  <c r="C609" i="10"/>
  <c r="B609" i="10"/>
  <c r="G608" i="10"/>
  <c r="F608" i="10"/>
  <c r="E608" i="10"/>
  <c r="D608" i="10"/>
  <c r="C608" i="10"/>
  <c r="B608" i="10"/>
  <c r="G607" i="10"/>
  <c r="F607" i="10"/>
  <c r="E607" i="10"/>
  <c r="D607" i="10"/>
  <c r="C607" i="10"/>
  <c r="B607" i="10"/>
  <c r="G606" i="10"/>
  <c r="F606" i="10"/>
  <c r="E606" i="10"/>
  <c r="D606" i="10"/>
  <c r="C606" i="10"/>
  <c r="B606" i="10"/>
  <c r="G605" i="10"/>
  <c r="F605" i="10"/>
  <c r="E605" i="10"/>
  <c r="D605" i="10"/>
  <c r="C605" i="10"/>
  <c r="B605" i="10"/>
  <c r="G604" i="10"/>
  <c r="F604" i="10"/>
  <c r="E604" i="10"/>
  <c r="D604" i="10"/>
  <c r="C604" i="10"/>
  <c r="B604" i="10"/>
  <c r="G603" i="10"/>
  <c r="F603" i="10"/>
  <c r="E603" i="10"/>
  <c r="D603" i="10"/>
  <c r="C603" i="10"/>
  <c r="B603" i="10"/>
  <c r="G602" i="10"/>
  <c r="F602" i="10"/>
  <c r="E602" i="10"/>
  <c r="D602" i="10"/>
  <c r="C602" i="10"/>
  <c r="B602" i="10"/>
  <c r="G601" i="10"/>
  <c r="F601" i="10"/>
  <c r="E601" i="10"/>
  <c r="D601" i="10"/>
  <c r="C601" i="10"/>
  <c r="B601" i="10"/>
  <c r="G600" i="10"/>
  <c r="F600" i="10"/>
  <c r="E600" i="10"/>
  <c r="D600" i="10"/>
  <c r="C600" i="10"/>
  <c r="B600" i="10"/>
  <c r="G599" i="10"/>
  <c r="F599" i="10"/>
  <c r="E599" i="10"/>
  <c r="D599" i="10"/>
  <c r="C599" i="10"/>
  <c r="B599" i="10"/>
  <c r="G598" i="10"/>
  <c r="F598" i="10"/>
  <c r="E598" i="10"/>
  <c r="D598" i="10"/>
  <c r="C598" i="10"/>
  <c r="B598" i="10"/>
  <c r="G597" i="10"/>
  <c r="F597" i="10"/>
  <c r="E597" i="10"/>
  <c r="D597" i="10"/>
  <c r="C597" i="10"/>
  <c r="B597" i="10"/>
  <c r="G596" i="10"/>
  <c r="F596" i="10"/>
  <c r="E596" i="10"/>
  <c r="D596" i="10"/>
  <c r="C596" i="10"/>
  <c r="B596" i="10"/>
  <c r="G595" i="10"/>
  <c r="F595" i="10"/>
  <c r="E595" i="10"/>
  <c r="D595" i="10"/>
  <c r="C595" i="10"/>
  <c r="B595" i="10"/>
  <c r="G594" i="10"/>
  <c r="F594" i="10"/>
  <c r="E594" i="10"/>
  <c r="D594" i="10"/>
  <c r="C594" i="10"/>
  <c r="B594" i="10"/>
  <c r="G593" i="10"/>
  <c r="F593" i="10"/>
  <c r="E593" i="10"/>
  <c r="D593" i="10"/>
  <c r="C593" i="10"/>
  <c r="B593" i="10"/>
  <c r="G592" i="10"/>
  <c r="F592" i="10"/>
  <c r="E592" i="10"/>
  <c r="D592" i="10"/>
  <c r="C592" i="10"/>
  <c r="B592" i="10"/>
  <c r="G591" i="10"/>
  <c r="F591" i="10"/>
  <c r="E591" i="10"/>
  <c r="D591" i="10"/>
  <c r="C591" i="10"/>
  <c r="B591" i="10"/>
  <c r="G590" i="10"/>
  <c r="F590" i="10"/>
  <c r="E590" i="10"/>
  <c r="D590" i="10"/>
  <c r="C590" i="10"/>
  <c r="B590" i="10"/>
  <c r="G589" i="10"/>
  <c r="F589" i="10"/>
  <c r="E589" i="10"/>
  <c r="D589" i="10"/>
  <c r="C589" i="10"/>
  <c r="B589" i="10"/>
  <c r="G588" i="10"/>
  <c r="F588" i="10"/>
  <c r="E588" i="10"/>
  <c r="D588" i="10"/>
  <c r="C588" i="10"/>
  <c r="B588" i="10"/>
  <c r="G587" i="10"/>
  <c r="F587" i="10"/>
  <c r="E587" i="10"/>
  <c r="D587" i="10"/>
  <c r="C587" i="10"/>
  <c r="B587" i="10"/>
  <c r="G586" i="10"/>
  <c r="F586" i="10"/>
  <c r="E586" i="10"/>
  <c r="D586" i="10"/>
  <c r="C586" i="10"/>
  <c r="B586" i="10"/>
  <c r="G585" i="10"/>
  <c r="F585" i="10"/>
  <c r="E585" i="10"/>
  <c r="D585" i="10"/>
  <c r="C585" i="10"/>
  <c r="B585" i="10"/>
  <c r="G584" i="10"/>
  <c r="F584" i="10"/>
  <c r="E584" i="10"/>
  <c r="D584" i="10"/>
  <c r="C584" i="10"/>
  <c r="B584" i="10"/>
  <c r="G583" i="10"/>
  <c r="F583" i="10"/>
  <c r="E583" i="10"/>
  <c r="D583" i="10"/>
  <c r="C583" i="10"/>
  <c r="B583" i="10"/>
  <c r="G582" i="10"/>
  <c r="F582" i="10"/>
  <c r="E582" i="10"/>
  <c r="D582" i="10"/>
  <c r="C582" i="10"/>
  <c r="B582" i="10"/>
  <c r="G581" i="10"/>
  <c r="F581" i="10"/>
  <c r="E581" i="10"/>
  <c r="D581" i="10"/>
  <c r="C581" i="10"/>
  <c r="B581" i="10"/>
  <c r="G580" i="10"/>
  <c r="F580" i="10"/>
  <c r="E580" i="10"/>
  <c r="D580" i="10"/>
  <c r="C580" i="10"/>
  <c r="B580" i="10"/>
  <c r="G579" i="10"/>
  <c r="F579" i="10"/>
  <c r="E579" i="10"/>
  <c r="D579" i="10"/>
  <c r="C579" i="10"/>
  <c r="B579" i="10"/>
  <c r="G578" i="10"/>
  <c r="F578" i="10"/>
  <c r="E578" i="10"/>
  <c r="D578" i="10"/>
  <c r="C578" i="10"/>
  <c r="B578" i="10"/>
  <c r="G577" i="10"/>
  <c r="F577" i="10"/>
  <c r="E577" i="10"/>
  <c r="D577" i="10"/>
  <c r="C577" i="10"/>
  <c r="B577" i="10"/>
  <c r="G576" i="10"/>
  <c r="F576" i="10"/>
  <c r="E576" i="10"/>
  <c r="D576" i="10"/>
  <c r="C576" i="10"/>
  <c r="B576" i="10"/>
  <c r="G575" i="10"/>
  <c r="F575" i="10"/>
  <c r="E575" i="10"/>
  <c r="D575" i="10"/>
  <c r="C575" i="10"/>
  <c r="B575" i="10"/>
  <c r="G574" i="10"/>
  <c r="F574" i="10"/>
  <c r="E574" i="10"/>
  <c r="D574" i="10"/>
  <c r="C574" i="10"/>
  <c r="B574" i="10"/>
  <c r="G573" i="10"/>
  <c r="F573" i="10"/>
  <c r="E573" i="10"/>
  <c r="D573" i="10"/>
  <c r="C573" i="10"/>
  <c r="B573" i="10"/>
  <c r="G572" i="10"/>
  <c r="F572" i="10"/>
  <c r="E572" i="10"/>
  <c r="D572" i="10"/>
  <c r="C572" i="10"/>
  <c r="B572" i="10"/>
  <c r="G571" i="10"/>
  <c r="F571" i="10"/>
  <c r="E571" i="10"/>
  <c r="D571" i="10"/>
  <c r="C571" i="10"/>
  <c r="B571" i="10"/>
  <c r="G570" i="10"/>
  <c r="F570" i="10"/>
  <c r="E570" i="10"/>
  <c r="D570" i="10"/>
  <c r="C570" i="10"/>
  <c r="B570" i="10"/>
  <c r="G569" i="10"/>
  <c r="F569" i="10"/>
  <c r="E569" i="10"/>
  <c r="D569" i="10"/>
  <c r="C569" i="10"/>
  <c r="B569" i="10"/>
  <c r="G568" i="10"/>
  <c r="F568" i="10"/>
  <c r="E568" i="10"/>
  <c r="D568" i="10"/>
  <c r="C568" i="10"/>
  <c r="B568" i="10"/>
  <c r="G567" i="10"/>
  <c r="F567" i="10"/>
  <c r="E567" i="10"/>
  <c r="D567" i="10"/>
  <c r="C567" i="10"/>
  <c r="B567" i="10"/>
  <c r="G566" i="10"/>
  <c r="F566" i="10"/>
  <c r="E566" i="10"/>
  <c r="D566" i="10"/>
  <c r="C566" i="10"/>
  <c r="B566" i="10"/>
  <c r="G565" i="10"/>
  <c r="F565" i="10"/>
  <c r="E565" i="10"/>
  <c r="D565" i="10"/>
  <c r="C565" i="10"/>
  <c r="B565" i="10"/>
  <c r="G564" i="10"/>
  <c r="F564" i="10"/>
  <c r="E564" i="10"/>
  <c r="D564" i="10"/>
  <c r="C564" i="10"/>
  <c r="B564" i="10"/>
  <c r="G563" i="10"/>
  <c r="F563" i="10"/>
  <c r="E563" i="10"/>
  <c r="D563" i="10"/>
  <c r="C563" i="10"/>
  <c r="B563" i="10"/>
  <c r="G562" i="10"/>
  <c r="F562" i="10"/>
  <c r="E562" i="10"/>
  <c r="D562" i="10"/>
  <c r="C562" i="10"/>
  <c r="B562" i="10"/>
  <c r="G561" i="10"/>
  <c r="F561" i="10"/>
  <c r="E561" i="10"/>
  <c r="D561" i="10"/>
  <c r="C561" i="10"/>
  <c r="B561" i="10"/>
  <c r="G560" i="10"/>
  <c r="F560" i="10"/>
  <c r="E560" i="10"/>
  <c r="D560" i="10"/>
  <c r="C560" i="10"/>
  <c r="B560" i="10"/>
  <c r="G559" i="10"/>
  <c r="F559" i="10"/>
  <c r="E559" i="10"/>
  <c r="D559" i="10"/>
  <c r="C559" i="10"/>
  <c r="B559" i="10"/>
  <c r="G558" i="10"/>
  <c r="F558" i="10"/>
  <c r="E558" i="10"/>
  <c r="D558" i="10"/>
  <c r="C558" i="10"/>
  <c r="B558" i="10"/>
  <c r="G557" i="10"/>
  <c r="F557" i="10"/>
  <c r="E557" i="10"/>
  <c r="D557" i="10"/>
  <c r="C557" i="10"/>
  <c r="B557" i="10"/>
  <c r="G556" i="10"/>
  <c r="F556" i="10"/>
  <c r="E556" i="10"/>
  <c r="D556" i="10"/>
  <c r="C556" i="10"/>
  <c r="B556" i="10"/>
  <c r="G555" i="10"/>
  <c r="F555" i="10"/>
  <c r="E555" i="10"/>
  <c r="D555" i="10"/>
  <c r="C555" i="10"/>
  <c r="B555" i="10"/>
  <c r="G554" i="10"/>
  <c r="F554" i="10"/>
  <c r="E554" i="10"/>
  <c r="D554" i="10"/>
  <c r="C554" i="10"/>
  <c r="B554" i="10"/>
  <c r="G553" i="10"/>
  <c r="F553" i="10"/>
  <c r="E553" i="10"/>
  <c r="D553" i="10"/>
  <c r="C553" i="10"/>
  <c r="B553" i="10"/>
  <c r="G552" i="10"/>
  <c r="F552" i="10"/>
  <c r="E552" i="10"/>
  <c r="D552" i="10"/>
  <c r="C552" i="10"/>
  <c r="B552" i="10"/>
  <c r="G551" i="10"/>
  <c r="F551" i="10"/>
  <c r="E551" i="10"/>
  <c r="D551" i="10"/>
  <c r="C551" i="10"/>
  <c r="B551" i="10"/>
  <c r="G550" i="10"/>
  <c r="F550" i="10"/>
  <c r="E550" i="10"/>
  <c r="D550" i="10"/>
  <c r="C550" i="10"/>
  <c r="B550" i="10"/>
  <c r="G549" i="10"/>
  <c r="F549" i="10"/>
  <c r="E549" i="10"/>
  <c r="D549" i="10"/>
  <c r="C549" i="10"/>
  <c r="B549" i="10"/>
  <c r="G548" i="10"/>
  <c r="F548" i="10"/>
  <c r="E548" i="10"/>
  <c r="D548" i="10"/>
  <c r="C548" i="10"/>
  <c r="B548" i="10"/>
  <c r="G547" i="10"/>
  <c r="F547" i="10"/>
  <c r="E547" i="10"/>
  <c r="D547" i="10"/>
  <c r="C547" i="10"/>
  <c r="B547" i="10"/>
  <c r="G546" i="10"/>
  <c r="F546" i="10"/>
  <c r="E546" i="10"/>
  <c r="D546" i="10"/>
  <c r="C546" i="10"/>
  <c r="B546" i="10"/>
  <c r="G545" i="10"/>
  <c r="F545" i="10"/>
  <c r="E545" i="10"/>
  <c r="D545" i="10"/>
  <c r="C545" i="10"/>
  <c r="B545" i="10"/>
  <c r="G544" i="10"/>
  <c r="F544" i="10"/>
  <c r="E544" i="10"/>
  <c r="D544" i="10"/>
  <c r="C544" i="10"/>
  <c r="B544" i="10"/>
  <c r="G543" i="10"/>
  <c r="F543" i="10"/>
  <c r="E543" i="10"/>
  <c r="D543" i="10"/>
  <c r="C543" i="10"/>
  <c r="B543" i="10"/>
  <c r="G542" i="10"/>
  <c r="F542" i="10"/>
  <c r="E542" i="10"/>
  <c r="D542" i="10"/>
  <c r="C542" i="10"/>
  <c r="B542" i="10"/>
  <c r="G541" i="10"/>
  <c r="F541" i="10"/>
  <c r="E541" i="10"/>
  <c r="D541" i="10"/>
  <c r="C541" i="10"/>
  <c r="B541" i="10"/>
  <c r="G540" i="10"/>
  <c r="F540" i="10"/>
  <c r="E540" i="10"/>
  <c r="D540" i="10"/>
  <c r="C540" i="10"/>
  <c r="B540" i="10"/>
  <c r="G539" i="10"/>
  <c r="F539" i="10"/>
  <c r="E539" i="10"/>
  <c r="D539" i="10"/>
  <c r="C539" i="10"/>
  <c r="B539" i="10"/>
  <c r="G538" i="10"/>
  <c r="F538" i="10"/>
  <c r="E538" i="10"/>
  <c r="D538" i="10"/>
  <c r="C538" i="10"/>
  <c r="B538" i="10"/>
  <c r="G537" i="10"/>
  <c r="F537" i="10"/>
  <c r="E537" i="10"/>
  <c r="D537" i="10"/>
  <c r="C537" i="10"/>
  <c r="B537" i="10"/>
  <c r="G536" i="10"/>
  <c r="F536" i="10"/>
  <c r="E536" i="10"/>
  <c r="D536" i="10"/>
  <c r="C536" i="10"/>
  <c r="B536" i="10"/>
  <c r="G535" i="10"/>
  <c r="F535" i="10"/>
  <c r="E535" i="10"/>
  <c r="D535" i="10"/>
  <c r="C535" i="10"/>
  <c r="B535" i="10"/>
  <c r="G534" i="10"/>
  <c r="F534" i="10"/>
  <c r="E534" i="10"/>
  <c r="D534" i="10"/>
  <c r="C534" i="10"/>
  <c r="B534" i="10"/>
  <c r="G533" i="10"/>
  <c r="F533" i="10"/>
  <c r="E533" i="10"/>
  <c r="D533" i="10"/>
  <c r="C533" i="10"/>
  <c r="B533" i="10"/>
  <c r="G532" i="10"/>
  <c r="F532" i="10"/>
  <c r="E532" i="10"/>
  <c r="D532" i="10"/>
  <c r="C532" i="10"/>
  <c r="B532" i="10"/>
  <c r="G531" i="10"/>
  <c r="F531" i="10"/>
  <c r="E531" i="10"/>
  <c r="D531" i="10"/>
  <c r="C531" i="10"/>
  <c r="B531" i="10"/>
  <c r="G530" i="10"/>
  <c r="F530" i="10"/>
  <c r="E530" i="10"/>
  <c r="D530" i="10"/>
  <c r="C530" i="10"/>
  <c r="B530" i="10"/>
  <c r="G529" i="10"/>
  <c r="F529" i="10"/>
  <c r="E529" i="10"/>
  <c r="D529" i="10"/>
  <c r="C529" i="10"/>
  <c r="B529" i="10"/>
  <c r="G528" i="10"/>
  <c r="F528" i="10"/>
  <c r="E528" i="10"/>
  <c r="D528" i="10"/>
  <c r="C528" i="10"/>
  <c r="B528" i="10"/>
  <c r="G527" i="10"/>
  <c r="F527" i="10"/>
  <c r="E527" i="10"/>
  <c r="D527" i="10"/>
  <c r="C527" i="10"/>
  <c r="B527" i="10"/>
  <c r="G526" i="10"/>
  <c r="F526" i="10"/>
  <c r="E526" i="10"/>
  <c r="D526" i="10"/>
  <c r="C526" i="10"/>
  <c r="B526" i="10"/>
  <c r="G525" i="10"/>
  <c r="F525" i="10"/>
  <c r="E525" i="10"/>
  <c r="D525" i="10"/>
  <c r="C525" i="10"/>
  <c r="B525" i="10"/>
  <c r="G524" i="10"/>
  <c r="F524" i="10"/>
  <c r="E524" i="10"/>
  <c r="D524" i="10"/>
  <c r="C524" i="10"/>
  <c r="B524" i="10"/>
  <c r="G523" i="10"/>
  <c r="F523" i="10"/>
  <c r="E523" i="10"/>
  <c r="D523" i="10"/>
  <c r="C523" i="10"/>
  <c r="B523" i="10"/>
  <c r="G522" i="10"/>
  <c r="F522" i="10"/>
  <c r="E522" i="10"/>
  <c r="D522" i="10"/>
  <c r="C522" i="10"/>
  <c r="B522" i="10"/>
  <c r="G521" i="10"/>
  <c r="F521" i="10"/>
  <c r="E521" i="10"/>
  <c r="D521" i="10"/>
  <c r="C521" i="10"/>
  <c r="B521" i="10"/>
  <c r="G520" i="10"/>
  <c r="F520" i="10"/>
  <c r="E520" i="10"/>
  <c r="D520" i="10"/>
  <c r="C520" i="10"/>
  <c r="B520" i="10"/>
  <c r="G519" i="10"/>
  <c r="F519" i="10"/>
  <c r="E519" i="10"/>
  <c r="D519" i="10"/>
  <c r="C519" i="10"/>
  <c r="B519" i="10"/>
  <c r="G518" i="10"/>
  <c r="F518" i="10"/>
  <c r="E518" i="10"/>
  <c r="D518" i="10"/>
  <c r="C518" i="10"/>
  <c r="B518" i="10"/>
  <c r="G517" i="10"/>
  <c r="F517" i="10"/>
  <c r="E517" i="10"/>
  <c r="D517" i="10"/>
  <c r="C517" i="10"/>
  <c r="B517" i="10"/>
  <c r="G516" i="10"/>
  <c r="F516" i="10"/>
  <c r="E516" i="10"/>
  <c r="D516" i="10"/>
  <c r="C516" i="10"/>
  <c r="B516" i="10"/>
  <c r="G515" i="10"/>
  <c r="F515" i="10"/>
  <c r="E515" i="10"/>
  <c r="D515" i="10"/>
  <c r="C515" i="10"/>
  <c r="B515" i="10"/>
  <c r="G514" i="10"/>
  <c r="F514" i="10"/>
  <c r="E514" i="10"/>
  <c r="D514" i="10"/>
  <c r="C514" i="10"/>
  <c r="B514" i="10"/>
  <c r="G513" i="10"/>
  <c r="F513" i="10"/>
  <c r="E513" i="10"/>
  <c r="D513" i="10"/>
  <c r="C513" i="10"/>
  <c r="B513" i="10"/>
  <c r="G512" i="10"/>
  <c r="F512" i="10"/>
  <c r="E512" i="10"/>
  <c r="D512" i="10"/>
  <c r="C512" i="10"/>
  <c r="B512" i="10"/>
  <c r="G511" i="10"/>
  <c r="F511" i="10"/>
  <c r="E511" i="10"/>
  <c r="D511" i="10"/>
  <c r="C511" i="10"/>
  <c r="B511" i="10"/>
  <c r="G510" i="10"/>
  <c r="F510" i="10"/>
  <c r="E510" i="10"/>
  <c r="D510" i="10"/>
  <c r="C510" i="10"/>
  <c r="B510" i="10"/>
  <c r="G509" i="10"/>
  <c r="F509" i="10"/>
  <c r="E509" i="10"/>
  <c r="D509" i="10"/>
  <c r="C509" i="10"/>
  <c r="B509" i="10"/>
  <c r="G508" i="10"/>
  <c r="F508" i="10"/>
  <c r="E508" i="10"/>
  <c r="D508" i="10"/>
  <c r="C508" i="10"/>
  <c r="B508" i="10"/>
  <c r="G507" i="10"/>
  <c r="F507" i="10"/>
  <c r="E507" i="10"/>
  <c r="D507" i="10"/>
  <c r="C507" i="10"/>
  <c r="B507" i="10"/>
  <c r="G506" i="10"/>
  <c r="F506" i="10"/>
  <c r="E506" i="10"/>
  <c r="D506" i="10"/>
  <c r="C506" i="10"/>
  <c r="B506" i="10"/>
  <c r="G505" i="10"/>
  <c r="F505" i="10"/>
  <c r="E505" i="10"/>
  <c r="D505" i="10"/>
  <c r="C505" i="10"/>
  <c r="B505" i="10"/>
  <c r="G504" i="10"/>
  <c r="F504" i="10"/>
  <c r="E504" i="10"/>
  <c r="D504" i="10"/>
  <c r="C504" i="10"/>
  <c r="B504" i="10"/>
  <c r="G503" i="10"/>
  <c r="F503" i="10"/>
  <c r="E503" i="10"/>
  <c r="D503" i="10"/>
  <c r="C503" i="10"/>
  <c r="B503" i="10"/>
  <c r="G502" i="10"/>
  <c r="F502" i="10"/>
  <c r="E502" i="10"/>
  <c r="D502" i="10"/>
  <c r="C502" i="10"/>
  <c r="B502" i="10"/>
  <c r="G501" i="10"/>
  <c r="F501" i="10"/>
  <c r="E501" i="10"/>
  <c r="D501" i="10"/>
  <c r="C501" i="10"/>
  <c r="B501" i="10"/>
  <c r="G500" i="10"/>
  <c r="F500" i="10"/>
  <c r="E500" i="10"/>
  <c r="D500" i="10"/>
  <c r="C500" i="10"/>
  <c r="B500" i="10"/>
  <c r="G499" i="10"/>
  <c r="F499" i="10"/>
  <c r="E499" i="10"/>
  <c r="D499" i="10"/>
  <c r="C499" i="10"/>
  <c r="B499" i="10"/>
  <c r="G498" i="10"/>
  <c r="F498" i="10"/>
  <c r="E498" i="10"/>
  <c r="D498" i="10"/>
  <c r="C498" i="10"/>
  <c r="B498" i="10"/>
  <c r="G497" i="10"/>
  <c r="F497" i="10"/>
  <c r="E497" i="10"/>
  <c r="D497" i="10"/>
  <c r="C497" i="10"/>
  <c r="B497" i="10"/>
  <c r="G496" i="10"/>
  <c r="F496" i="10"/>
  <c r="E496" i="10"/>
  <c r="D496" i="10"/>
  <c r="C496" i="10"/>
  <c r="B496" i="10"/>
  <c r="G495" i="10"/>
  <c r="F495" i="10"/>
  <c r="E495" i="10"/>
  <c r="D495" i="10"/>
  <c r="C495" i="10"/>
  <c r="B495" i="10"/>
  <c r="G494" i="10"/>
  <c r="F494" i="10"/>
  <c r="E494" i="10"/>
  <c r="D494" i="10"/>
  <c r="C494" i="10"/>
  <c r="B494" i="10"/>
  <c r="G493" i="10"/>
  <c r="F493" i="10"/>
  <c r="E493" i="10"/>
  <c r="D493" i="10"/>
  <c r="C493" i="10"/>
  <c r="B493" i="10"/>
  <c r="G492" i="10"/>
  <c r="F492" i="10"/>
  <c r="E492" i="10"/>
  <c r="D492" i="10"/>
  <c r="C492" i="10"/>
  <c r="B492" i="10"/>
  <c r="G491" i="10"/>
  <c r="F491" i="10"/>
  <c r="E491" i="10"/>
  <c r="D491" i="10"/>
  <c r="C491" i="10"/>
  <c r="B491" i="10"/>
  <c r="G490" i="10"/>
  <c r="F490" i="10"/>
  <c r="E490" i="10"/>
  <c r="D490" i="10"/>
  <c r="C490" i="10"/>
  <c r="B490" i="10"/>
  <c r="G489" i="10"/>
  <c r="F489" i="10"/>
  <c r="E489" i="10"/>
  <c r="D489" i="10"/>
  <c r="C489" i="10"/>
  <c r="B489" i="10"/>
  <c r="G488" i="10"/>
  <c r="F488" i="10"/>
  <c r="E488" i="10"/>
  <c r="D488" i="10"/>
  <c r="C488" i="10"/>
  <c r="B488" i="10"/>
  <c r="G487" i="10"/>
  <c r="F487" i="10"/>
  <c r="E487" i="10"/>
  <c r="D487" i="10"/>
  <c r="C487" i="10"/>
  <c r="B487" i="10"/>
  <c r="G486" i="10"/>
  <c r="F486" i="10"/>
  <c r="E486" i="10"/>
  <c r="D486" i="10"/>
  <c r="C486" i="10"/>
  <c r="B486" i="10"/>
  <c r="G485" i="10"/>
  <c r="F485" i="10"/>
  <c r="E485" i="10"/>
  <c r="D485" i="10"/>
  <c r="C485" i="10"/>
  <c r="B485" i="10"/>
  <c r="G484" i="10"/>
  <c r="F484" i="10"/>
  <c r="E484" i="10"/>
  <c r="D484" i="10"/>
  <c r="C484" i="10"/>
  <c r="B484" i="10"/>
  <c r="G483" i="10"/>
  <c r="F483" i="10"/>
  <c r="E483" i="10"/>
  <c r="D483" i="10"/>
  <c r="C483" i="10"/>
  <c r="B483" i="10"/>
  <c r="G482" i="10"/>
  <c r="F482" i="10"/>
  <c r="E482" i="10"/>
  <c r="D482" i="10"/>
  <c r="C482" i="10"/>
  <c r="B482" i="10"/>
  <c r="G481" i="10"/>
  <c r="F481" i="10"/>
  <c r="E481" i="10"/>
  <c r="D481" i="10"/>
  <c r="C481" i="10"/>
  <c r="B481" i="10"/>
  <c r="G480" i="10"/>
  <c r="F480" i="10"/>
  <c r="E480" i="10"/>
  <c r="D480" i="10"/>
  <c r="C480" i="10"/>
  <c r="B480" i="10"/>
  <c r="G479" i="10"/>
  <c r="F479" i="10"/>
  <c r="E479" i="10"/>
  <c r="D479" i="10"/>
  <c r="C479" i="10"/>
  <c r="B479" i="10"/>
  <c r="G478" i="10"/>
  <c r="F478" i="10"/>
  <c r="E478" i="10"/>
  <c r="D478" i="10"/>
  <c r="C478" i="10"/>
  <c r="B478" i="10"/>
  <c r="G477" i="10"/>
  <c r="F477" i="10"/>
  <c r="E477" i="10"/>
  <c r="D477" i="10"/>
  <c r="C477" i="10"/>
  <c r="B477" i="10"/>
  <c r="G476" i="10"/>
  <c r="F476" i="10"/>
  <c r="E476" i="10"/>
  <c r="D476" i="10"/>
  <c r="C476" i="10"/>
  <c r="B476" i="10"/>
  <c r="G475" i="10"/>
  <c r="F475" i="10"/>
  <c r="E475" i="10"/>
  <c r="D475" i="10"/>
  <c r="C475" i="10"/>
  <c r="B475" i="10"/>
  <c r="G474" i="10"/>
  <c r="F474" i="10"/>
  <c r="E474" i="10"/>
  <c r="D474" i="10"/>
  <c r="C474" i="10"/>
  <c r="B474" i="10"/>
  <c r="G473" i="10"/>
  <c r="F473" i="10"/>
  <c r="E473" i="10"/>
  <c r="D473" i="10"/>
  <c r="C473" i="10"/>
  <c r="B473" i="10"/>
  <c r="G472" i="10"/>
  <c r="F472" i="10"/>
  <c r="E472" i="10"/>
  <c r="D472" i="10"/>
  <c r="C472" i="10"/>
  <c r="B472" i="10"/>
  <c r="G471" i="10"/>
  <c r="F471" i="10"/>
  <c r="E471" i="10"/>
  <c r="D471" i="10"/>
  <c r="C471" i="10"/>
  <c r="B471" i="10"/>
  <c r="G470" i="10"/>
  <c r="F470" i="10"/>
  <c r="E470" i="10"/>
  <c r="D470" i="10"/>
  <c r="C470" i="10"/>
  <c r="B470" i="10"/>
  <c r="G469" i="10"/>
  <c r="F469" i="10"/>
  <c r="E469" i="10"/>
  <c r="D469" i="10"/>
  <c r="C469" i="10"/>
  <c r="B469" i="10"/>
  <c r="G468" i="10"/>
  <c r="F468" i="10"/>
  <c r="E468" i="10"/>
  <c r="D468" i="10"/>
  <c r="C468" i="10"/>
  <c r="B468" i="10"/>
  <c r="G467" i="10"/>
  <c r="F467" i="10"/>
  <c r="E467" i="10"/>
  <c r="D467" i="10"/>
  <c r="C467" i="10"/>
  <c r="B467" i="10"/>
  <c r="G466" i="10"/>
  <c r="F466" i="10"/>
  <c r="E466" i="10"/>
  <c r="D466" i="10"/>
  <c r="C466" i="10"/>
  <c r="B466" i="10"/>
  <c r="G465" i="10"/>
  <c r="F465" i="10"/>
  <c r="E465" i="10"/>
  <c r="D465" i="10"/>
  <c r="C465" i="10"/>
  <c r="B465" i="10"/>
  <c r="G464" i="10"/>
  <c r="F464" i="10"/>
  <c r="E464" i="10"/>
  <c r="D464" i="10"/>
  <c r="C464" i="10"/>
  <c r="B464" i="10"/>
  <c r="G463" i="10"/>
  <c r="F463" i="10"/>
  <c r="E463" i="10"/>
  <c r="D463" i="10"/>
  <c r="C463" i="10"/>
  <c r="B463" i="10"/>
  <c r="G462" i="10"/>
  <c r="F462" i="10"/>
  <c r="E462" i="10"/>
  <c r="D462" i="10"/>
  <c r="C462" i="10"/>
  <c r="B462" i="10"/>
  <c r="G461" i="10"/>
  <c r="F461" i="10"/>
  <c r="E461" i="10"/>
  <c r="D461" i="10"/>
  <c r="C461" i="10"/>
  <c r="B461" i="10"/>
  <c r="G460" i="10"/>
  <c r="F460" i="10"/>
  <c r="E460" i="10"/>
  <c r="D460" i="10"/>
  <c r="C460" i="10"/>
  <c r="B460" i="10"/>
  <c r="G459" i="10"/>
  <c r="F459" i="10"/>
  <c r="E459" i="10"/>
  <c r="D459" i="10"/>
  <c r="C459" i="10"/>
  <c r="B459" i="10"/>
  <c r="G458" i="10"/>
  <c r="F458" i="10"/>
  <c r="E458" i="10"/>
  <c r="D458" i="10"/>
  <c r="C458" i="10"/>
  <c r="B458" i="10"/>
  <c r="G457" i="10"/>
  <c r="F457" i="10"/>
  <c r="E457" i="10"/>
  <c r="D457" i="10"/>
  <c r="C457" i="10"/>
  <c r="B457" i="10"/>
  <c r="G456" i="10"/>
  <c r="F456" i="10"/>
  <c r="E456" i="10"/>
  <c r="D456" i="10"/>
  <c r="C456" i="10"/>
  <c r="B456" i="10"/>
  <c r="G455" i="10"/>
  <c r="F455" i="10"/>
  <c r="E455" i="10"/>
  <c r="D455" i="10"/>
  <c r="C455" i="10"/>
  <c r="B455" i="10"/>
  <c r="G454" i="10"/>
  <c r="F454" i="10"/>
  <c r="E454" i="10"/>
  <c r="D454" i="10"/>
  <c r="C454" i="10"/>
  <c r="B454" i="10"/>
  <c r="G453" i="10"/>
  <c r="F453" i="10"/>
  <c r="E453" i="10"/>
  <c r="D453" i="10"/>
  <c r="C453" i="10"/>
  <c r="B453" i="10"/>
  <c r="G452" i="10"/>
  <c r="F452" i="10"/>
  <c r="E452" i="10"/>
  <c r="D452" i="10"/>
  <c r="C452" i="10"/>
  <c r="B452" i="10"/>
  <c r="G451" i="10"/>
  <c r="F451" i="10"/>
  <c r="E451" i="10"/>
  <c r="D451" i="10"/>
  <c r="C451" i="10"/>
  <c r="B451" i="10"/>
  <c r="G450" i="10"/>
  <c r="F450" i="10"/>
  <c r="E450" i="10"/>
  <c r="D450" i="10"/>
  <c r="C450" i="10"/>
  <c r="B450" i="10"/>
  <c r="G449" i="10"/>
  <c r="F449" i="10"/>
  <c r="E449" i="10"/>
  <c r="D449" i="10"/>
  <c r="C449" i="10"/>
  <c r="B449" i="10"/>
  <c r="G448" i="10"/>
  <c r="F448" i="10"/>
  <c r="E448" i="10"/>
  <c r="D448" i="10"/>
  <c r="C448" i="10"/>
  <c r="B448" i="10"/>
  <c r="G447" i="10"/>
  <c r="F447" i="10"/>
  <c r="E447" i="10"/>
  <c r="D447" i="10"/>
  <c r="C447" i="10"/>
  <c r="B447" i="10"/>
  <c r="G446" i="10"/>
  <c r="F446" i="10"/>
  <c r="E446" i="10"/>
  <c r="D446" i="10"/>
  <c r="C446" i="10"/>
  <c r="B446" i="10"/>
  <c r="G445" i="10"/>
  <c r="F445" i="10"/>
  <c r="E445" i="10"/>
  <c r="D445" i="10"/>
  <c r="C445" i="10"/>
  <c r="B445" i="10"/>
  <c r="G444" i="10"/>
  <c r="F444" i="10"/>
  <c r="E444" i="10"/>
  <c r="D444" i="10"/>
  <c r="C444" i="10"/>
  <c r="B444" i="10"/>
  <c r="G443" i="10"/>
  <c r="F443" i="10"/>
  <c r="E443" i="10"/>
  <c r="D443" i="10"/>
  <c r="C443" i="10"/>
  <c r="B443" i="10"/>
  <c r="G442" i="10"/>
  <c r="F442" i="10"/>
  <c r="E442" i="10"/>
  <c r="D442" i="10"/>
  <c r="C442" i="10"/>
  <c r="B442" i="10"/>
  <c r="G441" i="10"/>
  <c r="F441" i="10"/>
  <c r="E441" i="10"/>
  <c r="D441" i="10"/>
  <c r="C441" i="10"/>
  <c r="B441" i="10"/>
  <c r="G440" i="10"/>
  <c r="F440" i="10"/>
  <c r="E440" i="10"/>
  <c r="D440" i="10"/>
  <c r="C440" i="10"/>
  <c r="B440" i="10"/>
  <c r="G439" i="10"/>
  <c r="F439" i="10"/>
  <c r="E439" i="10"/>
  <c r="D439" i="10"/>
  <c r="C439" i="10"/>
  <c r="B439" i="10"/>
  <c r="G438" i="10"/>
  <c r="F438" i="10"/>
  <c r="E438" i="10"/>
  <c r="D438" i="10"/>
  <c r="C438" i="10"/>
  <c r="B438" i="10"/>
  <c r="G437" i="10"/>
  <c r="F437" i="10"/>
  <c r="E437" i="10"/>
  <c r="D437" i="10"/>
  <c r="C437" i="10"/>
  <c r="B437" i="10"/>
  <c r="G436" i="10"/>
  <c r="F436" i="10"/>
  <c r="E436" i="10"/>
  <c r="D436" i="10"/>
  <c r="C436" i="10"/>
  <c r="B436" i="10"/>
  <c r="G435" i="10"/>
  <c r="F435" i="10"/>
  <c r="E435" i="10"/>
  <c r="D435" i="10"/>
  <c r="C435" i="10"/>
  <c r="B435" i="10"/>
  <c r="G434" i="10"/>
  <c r="F434" i="10"/>
  <c r="E434" i="10"/>
  <c r="D434" i="10"/>
  <c r="C434" i="10"/>
  <c r="B434" i="10"/>
  <c r="G433" i="10"/>
  <c r="F433" i="10"/>
  <c r="E433" i="10"/>
  <c r="D433" i="10"/>
  <c r="C433" i="10"/>
  <c r="B433" i="10"/>
  <c r="G432" i="10"/>
  <c r="F432" i="10"/>
  <c r="E432" i="10"/>
  <c r="D432" i="10"/>
  <c r="C432" i="10"/>
  <c r="B432" i="10"/>
  <c r="G431" i="10"/>
  <c r="F431" i="10"/>
  <c r="E431" i="10"/>
  <c r="D431" i="10"/>
  <c r="C431" i="10"/>
  <c r="B431" i="10"/>
  <c r="G430" i="10"/>
  <c r="F430" i="10"/>
  <c r="E430" i="10"/>
  <c r="D430" i="10"/>
  <c r="C430" i="10"/>
  <c r="B430" i="10"/>
  <c r="G429" i="10"/>
  <c r="F429" i="10"/>
  <c r="E429" i="10"/>
  <c r="D429" i="10"/>
  <c r="C429" i="10"/>
  <c r="B429" i="10"/>
  <c r="G428" i="10"/>
  <c r="F428" i="10"/>
  <c r="E428" i="10"/>
  <c r="D428" i="10"/>
  <c r="C428" i="10"/>
  <c r="B428" i="10"/>
  <c r="G427" i="10"/>
  <c r="F427" i="10"/>
  <c r="E427" i="10"/>
  <c r="D427" i="10"/>
  <c r="C427" i="10"/>
  <c r="B427" i="10"/>
  <c r="G426" i="10"/>
  <c r="F426" i="10"/>
  <c r="E426" i="10"/>
  <c r="D426" i="10"/>
  <c r="C426" i="10"/>
  <c r="B426" i="10"/>
  <c r="G425" i="10"/>
  <c r="F425" i="10"/>
  <c r="E425" i="10"/>
  <c r="D425" i="10"/>
  <c r="C425" i="10"/>
  <c r="B425" i="10"/>
  <c r="G424" i="10"/>
  <c r="F424" i="10"/>
  <c r="E424" i="10"/>
  <c r="D424" i="10"/>
  <c r="C424" i="10"/>
  <c r="B424" i="10"/>
  <c r="G423" i="10"/>
  <c r="F423" i="10"/>
  <c r="E423" i="10"/>
  <c r="D423" i="10"/>
  <c r="C423" i="10"/>
  <c r="B423" i="10"/>
  <c r="G422" i="10"/>
  <c r="F422" i="10"/>
  <c r="E422" i="10"/>
  <c r="D422" i="10"/>
  <c r="C422" i="10"/>
  <c r="B422" i="10"/>
  <c r="G421" i="10"/>
  <c r="F421" i="10"/>
  <c r="E421" i="10"/>
  <c r="D421" i="10"/>
  <c r="C421" i="10"/>
  <c r="B421" i="10"/>
  <c r="G420" i="10"/>
  <c r="F420" i="10"/>
  <c r="E420" i="10"/>
  <c r="D420" i="10"/>
  <c r="C420" i="10"/>
  <c r="B420" i="10"/>
  <c r="G419" i="10"/>
  <c r="F419" i="10"/>
  <c r="E419" i="10"/>
  <c r="D419" i="10"/>
  <c r="C419" i="10"/>
  <c r="B419" i="10"/>
  <c r="G418" i="10"/>
  <c r="F418" i="10"/>
  <c r="E418" i="10"/>
  <c r="D418" i="10"/>
  <c r="C418" i="10"/>
  <c r="B418" i="10"/>
  <c r="G417" i="10"/>
  <c r="F417" i="10"/>
  <c r="E417" i="10"/>
  <c r="D417" i="10"/>
  <c r="C417" i="10"/>
  <c r="B417" i="10"/>
  <c r="G416" i="10"/>
  <c r="F416" i="10"/>
  <c r="E416" i="10"/>
  <c r="D416" i="10"/>
  <c r="C416" i="10"/>
  <c r="B416" i="10"/>
  <c r="G415" i="10"/>
  <c r="F415" i="10"/>
  <c r="E415" i="10"/>
  <c r="D415" i="10"/>
  <c r="C415" i="10"/>
  <c r="B415" i="10"/>
  <c r="G414" i="10"/>
  <c r="F414" i="10"/>
  <c r="E414" i="10"/>
  <c r="D414" i="10"/>
  <c r="C414" i="10"/>
  <c r="B414" i="10"/>
  <c r="G413" i="10"/>
  <c r="F413" i="10"/>
  <c r="E413" i="10"/>
  <c r="D413" i="10"/>
  <c r="C413" i="10"/>
  <c r="B413" i="10"/>
  <c r="G412" i="10"/>
  <c r="F412" i="10"/>
  <c r="E412" i="10"/>
  <c r="D412" i="10"/>
  <c r="C412" i="10"/>
  <c r="B412" i="10"/>
  <c r="G411" i="10"/>
  <c r="F411" i="10"/>
  <c r="E411" i="10"/>
  <c r="D411" i="10"/>
  <c r="C411" i="10"/>
  <c r="B411" i="10"/>
  <c r="G410" i="10"/>
  <c r="F410" i="10"/>
  <c r="E410" i="10"/>
  <c r="D410" i="10"/>
  <c r="C410" i="10"/>
  <c r="B410" i="10"/>
  <c r="G409" i="10"/>
  <c r="F409" i="10"/>
  <c r="E409" i="10"/>
  <c r="D409" i="10"/>
  <c r="C409" i="10"/>
  <c r="B409" i="10"/>
  <c r="G408" i="10"/>
  <c r="F408" i="10"/>
  <c r="E408" i="10"/>
  <c r="D408" i="10"/>
  <c r="C408" i="10"/>
  <c r="B408" i="10"/>
  <c r="G407" i="10"/>
  <c r="F407" i="10"/>
  <c r="E407" i="10"/>
  <c r="D407" i="10"/>
  <c r="C407" i="10"/>
  <c r="B407" i="10"/>
  <c r="G406" i="10"/>
  <c r="F406" i="10"/>
  <c r="E406" i="10"/>
  <c r="D406" i="10"/>
  <c r="C406" i="10"/>
  <c r="B406" i="10"/>
  <c r="G405" i="10"/>
  <c r="F405" i="10"/>
  <c r="E405" i="10"/>
  <c r="D405" i="10"/>
  <c r="C405" i="10"/>
  <c r="B405" i="10"/>
  <c r="G404" i="10"/>
  <c r="F404" i="10"/>
  <c r="E404" i="10"/>
  <c r="D404" i="10"/>
  <c r="C404" i="10"/>
  <c r="B404" i="10"/>
  <c r="G403" i="10"/>
  <c r="F403" i="10"/>
  <c r="E403" i="10"/>
  <c r="D403" i="10"/>
  <c r="C403" i="10"/>
  <c r="B403" i="10"/>
  <c r="G402" i="10"/>
  <c r="F402" i="10"/>
  <c r="E402" i="10"/>
  <c r="D402" i="10"/>
  <c r="C402" i="10"/>
  <c r="B402" i="10"/>
  <c r="G401" i="10"/>
  <c r="F401" i="10"/>
  <c r="E401" i="10"/>
  <c r="D401" i="10"/>
  <c r="C401" i="10"/>
  <c r="B401" i="10"/>
  <c r="G400" i="10"/>
  <c r="F400" i="10"/>
  <c r="E400" i="10"/>
  <c r="D400" i="10"/>
  <c r="C400" i="10"/>
  <c r="B400" i="10"/>
  <c r="G399" i="10"/>
  <c r="F399" i="10"/>
  <c r="E399" i="10"/>
  <c r="D399" i="10"/>
  <c r="C399" i="10"/>
  <c r="B399" i="10"/>
  <c r="G398" i="10"/>
  <c r="F398" i="10"/>
  <c r="E398" i="10"/>
  <c r="D398" i="10"/>
  <c r="C398" i="10"/>
  <c r="B398" i="10"/>
  <c r="G397" i="10"/>
  <c r="F397" i="10"/>
  <c r="E397" i="10"/>
  <c r="D397" i="10"/>
  <c r="C397" i="10"/>
  <c r="B397" i="10"/>
  <c r="G396" i="10"/>
  <c r="F396" i="10"/>
  <c r="E396" i="10"/>
  <c r="D396" i="10"/>
  <c r="C396" i="10"/>
  <c r="B396" i="10"/>
  <c r="G395" i="10"/>
  <c r="F395" i="10"/>
  <c r="E395" i="10"/>
  <c r="D395" i="10"/>
  <c r="C395" i="10"/>
  <c r="B395" i="10"/>
  <c r="G394" i="10"/>
  <c r="F394" i="10"/>
  <c r="E394" i="10"/>
  <c r="D394" i="10"/>
  <c r="C394" i="10"/>
  <c r="B394" i="10"/>
  <c r="G393" i="10"/>
  <c r="F393" i="10"/>
  <c r="E393" i="10"/>
  <c r="D393" i="10"/>
  <c r="C393" i="10"/>
  <c r="B393" i="10"/>
  <c r="G392" i="10"/>
  <c r="F392" i="10"/>
  <c r="E392" i="10"/>
  <c r="D392" i="10"/>
  <c r="C392" i="10"/>
  <c r="B392" i="10"/>
  <c r="G391" i="10"/>
  <c r="F391" i="10"/>
  <c r="E391" i="10"/>
  <c r="D391" i="10"/>
  <c r="C391" i="10"/>
  <c r="B391" i="10"/>
  <c r="G390" i="10"/>
  <c r="F390" i="10"/>
  <c r="E390" i="10"/>
  <c r="D390" i="10"/>
  <c r="C390" i="10"/>
  <c r="B390" i="10"/>
  <c r="G389" i="10"/>
  <c r="F389" i="10"/>
  <c r="E389" i="10"/>
  <c r="D389" i="10"/>
  <c r="C389" i="10"/>
  <c r="B389" i="10"/>
  <c r="G388" i="10"/>
  <c r="F388" i="10"/>
  <c r="E388" i="10"/>
  <c r="D388" i="10"/>
  <c r="C388" i="10"/>
  <c r="B388" i="10"/>
  <c r="G387" i="10"/>
  <c r="F387" i="10"/>
  <c r="E387" i="10"/>
  <c r="D387" i="10"/>
  <c r="C387" i="10"/>
  <c r="B387" i="10"/>
  <c r="G386" i="10"/>
  <c r="F386" i="10"/>
  <c r="E386" i="10"/>
  <c r="D386" i="10"/>
  <c r="C386" i="10"/>
  <c r="B386" i="10"/>
  <c r="G385" i="10"/>
  <c r="F385" i="10"/>
  <c r="E385" i="10"/>
  <c r="D385" i="10"/>
  <c r="C385" i="10"/>
  <c r="B385" i="10"/>
  <c r="G384" i="10"/>
  <c r="F384" i="10"/>
  <c r="E384" i="10"/>
  <c r="D384" i="10"/>
  <c r="C384" i="10"/>
  <c r="B384" i="10"/>
  <c r="G383" i="10"/>
  <c r="F383" i="10"/>
  <c r="E383" i="10"/>
  <c r="D383" i="10"/>
  <c r="C383" i="10"/>
  <c r="B383" i="10"/>
  <c r="G382" i="10"/>
  <c r="F382" i="10"/>
  <c r="E382" i="10"/>
  <c r="D382" i="10"/>
  <c r="C382" i="10"/>
  <c r="B382" i="10"/>
  <c r="G381" i="10"/>
  <c r="F381" i="10"/>
  <c r="E381" i="10"/>
  <c r="D381" i="10"/>
  <c r="C381" i="10"/>
  <c r="B381" i="10"/>
  <c r="G380" i="10"/>
  <c r="F380" i="10"/>
  <c r="E380" i="10"/>
  <c r="D380" i="10"/>
  <c r="C380" i="10"/>
  <c r="B380" i="10"/>
  <c r="G379" i="10"/>
  <c r="F379" i="10"/>
  <c r="E379" i="10"/>
  <c r="D379" i="10"/>
  <c r="C379" i="10"/>
  <c r="B379" i="10"/>
  <c r="G378" i="10"/>
  <c r="F378" i="10"/>
  <c r="E378" i="10"/>
  <c r="D378" i="10"/>
  <c r="C378" i="10"/>
  <c r="B378" i="10"/>
  <c r="G377" i="10"/>
  <c r="F377" i="10"/>
  <c r="E377" i="10"/>
  <c r="D377" i="10"/>
  <c r="C377" i="10"/>
  <c r="B377" i="10"/>
  <c r="G376" i="10"/>
  <c r="F376" i="10"/>
  <c r="E376" i="10"/>
  <c r="D376" i="10"/>
  <c r="C376" i="10"/>
  <c r="B376" i="10"/>
  <c r="G375" i="10"/>
  <c r="F375" i="10"/>
  <c r="E375" i="10"/>
  <c r="D375" i="10"/>
  <c r="C375" i="10"/>
  <c r="B375" i="10"/>
  <c r="G374" i="10"/>
  <c r="F374" i="10"/>
  <c r="E374" i="10"/>
  <c r="D374" i="10"/>
  <c r="C374" i="10"/>
  <c r="B374" i="10"/>
  <c r="G373" i="10"/>
  <c r="F373" i="10"/>
  <c r="E373" i="10"/>
  <c r="D373" i="10"/>
  <c r="C373" i="10"/>
  <c r="B373" i="10"/>
  <c r="G372" i="10"/>
  <c r="F372" i="10"/>
  <c r="E372" i="10"/>
  <c r="D372" i="10"/>
  <c r="C372" i="10"/>
  <c r="B372" i="10"/>
  <c r="G371" i="10"/>
  <c r="F371" i="10"/>
  <c r="E371" i="10"/>
  <c r="D371" i="10"/>
  <c r="C371" i="10"/>
  <c r="B371" i="10"/>
  <c r="G370" i="10"/>
  <c r="F370" i="10"/>
  <c r="E370" i="10"/>
  <c r="D370" i="10"/>
  <c r="C370" i="10"/>
  <c r="B370" i="10"/>
  <c r="G369" i="10"/>
  <c r="F369" i="10"/>
  <c r="E369" i="10"/>
  <c r="D369" i="10"/>
  <c r="C369" i="10"/>
  <c r="B369" i="10"/>
  <c r="G368" i="10"/>
  <c r="F368" i="10"/>
  <c r="E368" i="10"/>
  <c r="D368" i="10"/>
  <c r="C368" i="10"/>
  <c r="B368" i="10"/>
  <c r="G367" i="10"/>
  <c r="F367" i="10"/>
  <c r="E367" i="10"/>
  <c r="D367" i="10"/>
  <c r="C367" i="10"/>
  <c r="B367" i="10"/>
  <c r="G366" i="10"/>
  <c r="F366" i="10"/>
  <c r="E366" i="10"/>
  <c r="D366" i="10"/>
  <c r="C366" i="10"/>
  <c r="B366" i="10"/>
  <c r="G365" i="10"/>
  <c r="F365" i="10"/>
  <c r="E365" i="10"/>
  <c r="D365" i="10"/>
  <c r="C365" i="10"/>
  <c r="B365" i="10"/>
  <c r="G364" i="10"/>
  <c r="F364" i="10"/>
  <c r="E364" i="10"/>
  <c r="D364" i="10"/>
  <c r="C364" i="10"/>
  <c r="B364" i="10"/>
  <c r="G363" i="10"/>
  <c r="F363" i="10"/>
  <c r="E363" i="10"/>
  <c r="D363" i="10"/>
  <c r="C363" i="10"/>
  <c r="B363" i="10"/>
  <c r="G362" i="10"/>
  <c r="F362" i="10"/>
  <c r="E362" i="10"/>
  <c r="D362" i="10"/>
  <c r="C362" i="10"/>
  <c r="B362" i="10"/>
  <c r="G361" i="10"/>
  <c r="F361" i="10"/>
  <c r="E361" i="10"/>
  <c r="D361" i="10"/>
  <c r="C361" i="10"/>
  <c r="B361" i="10"/>
  <c r="G360" i="10"/>
  <c r="F360" i="10"/>
  <c r="E360" i="10"/>
  <c r="D360" i="10"/>
  <c r="C360" i="10"/>
  <c r="B360" i="10"/>
  <c r="G359" i="10"/>
  <c r="F359" i="10"/>
  <c r="E359" i="10"/>
  <c r="D359" i="10"/>
  <c r="C359" i="10"/>
  <c r="B359" i="10"/>
  <c r="G358" i="10"/>
  <c r="F358" i="10"/>
  <c r="E358" i="10"/>
  <c r="D358" i="10"/>
  <c r="C358" i="10"/>
  <c r="B358" i="10"/>
  <c r="G357" i="10"/>
  <c r="F357" i="10"/>
  <c r="E357" i="10"/>
  <c r="D357" i="10"/>
  <c r="C357" i="10"/>
  <c r="B357" i="10"/>
  <c r="G356" i="10"/>
  <c r="F356" i="10"/>
  <c r="E356" i="10"/>
  <c r="D356" i="10"/>
  <c r="C356" i="10"/>
  <c r="B356" i="10"/>
  <c r="G355" i="10"/>
  <c r="F355" i="10"/>
  <c r="E355" i="10"/>
  <c r="D355" i="10"/>
  <c r="C355" i="10"/>
  <c r="B355" i="10"/>
  <c r="G354" i="10"/>
  <c r="F354" i="10"/>
  <c r="E354" i="10"/>
  <c r="D354" i="10"/>
  <c r="C354" i="10"/>
  <c r="B354" i="10"/>
  <c r="G353" i="10"/>
  <c r="F353" i="10"/>
  <c r="E353" i="10"/>
  <c r="D353" i="10"/>
  <c r="C353" i="10"/>
  <c r="B353" i="10"/>
  <c r="G352" i="10"/>
  <c r="F352" i="10"/>
  <c r="E352" i="10"/>
  <c r="D352" i="10"/>
  <c r="C352" i="10"/>
  <c r="B352" i="10"/>
  <c r="G351" i="10"/>
  <c r="F351" i="10"/>
  <c r="E351" i="10"/>
  <c r="D351" i="10"/>
  <c r="C351" i="10"/>
  <c r="B351" i="10"/>
  <c r="G350" i="10"/>
  <c r="F350" i="10"/>
  <c r="E350" i="10"/>
  <c r="D350" i="10"/>
  <c r="C350" i="10"/>
  <c r="B350" i="10"/>
  <c r="G349" i="10"/>
  <c r="F349" i="10"/>
  <c r="E349" i="10"/>
  <c r="D349" i="10"/>
  <c r="C349" i="10"/>
  <c r="B349" i="10"/>
  <c r="G348" i="10"/>
  <c r="F348" i="10"/>
  <c r="E348" i="10"/>
  <c r="D348" i="10"/>
  <c r="C348" i="10"/>
  <c r="B348" i="10"/>
  <c r="G347" i="10"/>
  <c r="F347" i="10"/>
  <c r="E347" i="10"/>
  <c r="D347" i="10"/>
  <c r="C347" i="10"/>
  <c r="B347" i="10"/>
  <c r="G346" i="10"/>
  <c r="F346" i="10"/>
  <c r="E346" i="10"/>
  <c r="D346" i="10"/>
  <c r="C346" i="10"/>
  <c r="B346" i="10"/>
  <c r="G345" i="10"/>
  <c r="F345" i="10"/>
  <c r="E345" i="10"/>
  <c r="D345" i="10"/>
  <c r="C345" i="10"/>
  <c r="B345" i="10"/>
  <c r="G344" i="10"/>
  <c r="F344" i="10"/>
  <c r="E344" i="10"/>
  <c r="D344" i="10"/>
  <c r="C344" i="10"/>
  <c r="B344" i="10"/>
  <c r="G343" i="10"/>
  <c r="F343" i="10"/>
  <c r="E343" i="10"/>
  <c r="D343" i="10"/>
  <c r="C343" i="10"/>
  <c r="B343" i="10"/>
  <c r="G342" i="10"/>
  <c r="F342" i="10"/>
  <c r="E342" i="10"/>
  <c r="D342" i="10"/>
  <c r="C342" i="10"/>
  <c r="B342" i="10"/>
  <c r="G341" i="10"/>
  <c r="F341" i="10"/>
  <c r="E341" i="10"/>
  <c r="D341" i="10"/>
  <c r="C341" i="10"/>
  <c r="B341" i="10"/>
  <c r="G340" i="10"/>
  <c r="F340" i="10"/>
  <c r="E340" i="10"/>
  <c r="D340" i="10"/>
  <c r="C340" i="10"/>
  <c r="B340" i="10"/>
  <c r="G339" i="10"/>
  <c r="F339" i="10"/>
  <c r="E339" i="10"/>
  <c r="D339" i="10"/>
  <c r="C339" i="10"/>
  <c r="B339" i="10"/>
  <c r="G338" i="10"/>
  <c r="F338" i="10"/>
  <c r="E338" i="10"/>
  <c r="D338" i="10"/>
  <c r="C338" i="10"/>
  <c r="B338" i="10"/>
  <c r="G337" i="10"/>
  <c r="F337" i="10"/>
  <c r="E337" i="10"/>
  <c r="D337" i="10"/>
  <c r="C337" i="10"/>
  <c r="B337" i="10"/>
  <c r="G336" i="10"/>
  <c r="F336" i="10"/>
  <c r="E336" i="10"/>
  <c r="D336" i="10"/>
  <c r="C336" i="10"/>
  <c r="B336" i="10"/>
  <c r="G335" i="10"/>
  <c r="F335" i="10"/>
  <c r="E335" i="10"/>
  <c r="D335" i="10"/>
  <c r="C335" i="10"/>
  <c r="B335" i="10"/>
  <c r="G334" i="10"/>
  <c r="F334" i="10"/>
  <c r="E334" i="10"/>
  <c r="D334" i="10"/>
  <c r="C334" i="10"/>
  <c r="B334" i="10"/>
  <c r="G333" i="10"/>
  <c r="F333" i="10"/>
  <c r="E333" i="10"/>
  <c r="D333" i="10"/>
  <c r="C333" i="10"/>
  <c r="B333" i="10"/>
  <c r="G332" i="10"/>
  <c r="F332" i="10"/>
  <c r="E332" i="10"/>
  <c r="D332" i="10"/>
  <c r="C332" i="10"/>
  <c r="B332" i="10"/>
  <c r="G331" i="10"/>
  <c r="F331" i="10"/>
  <c r="E331" i="10"/>
  <c r="D331" i="10"/>
  <c r="C331" i="10"/>
  <c r="B331" i="10"/>
  <c r="G330" i="10"/>
  <c r="F330" i="10"/>
  <c r="E330" i="10"/>
  <c r="D330" i="10"/>
  <c r="C330" i="10"/>
  <c r="B330" i="10"/>
  <c r="G329" i="10"/>
  <c r="F329" i="10"/>
  <c r="E329" i="10"/>
  <c r="D329" i="10"/>
  <c r="C329" i="10"/>
  <c r="B329" i="10"/>
  <c r="G328" i="10"/>
  <c r="F328" i="10"/>
  <c r="E328" i="10"/>
  <c r="D328" i="10"/>
  <c r="C328" i="10"/>
  <c r="B328" i="10"/>
  <c r="G327" i="10"/>
  <c r="F327" i="10"/>
  <c r="E327" i="10"/>
  <c r="D327" i="10"/>
  <c r="C327" i="10"/>
  <c r="B327" i="10"/>
  <c r="G326" i="10"/>
  <c r="F326" i="10"/>
  <c r="E326" i="10"/>
  <c r="D326" i="10"/>
  <c r="C326" i="10"/>
  <c r="B326" i="10"/>
  <c r="G325" i="10"/>
  <c r="F325" i="10"/>
  <c r="E325" i="10"/>
  <c r="D325" i="10"/>
  <c r="C325" i="10"/>
  <c r="B325" i="10"/>
  <c r="G324" i="10"/>
  <c r="F324" i="10"/>
  <c r="E324" i="10"/>
  <c r="D324" i="10"/>
  <c r="C324" i="10"/>
  <c r="B324" i="10"/>
  <c r="G323" i="10"/>
  <c r="F323" i="10"/>
  <c r="E323" i="10"/>
  <c r="D323" i="10"/>
  <c r="C323" i="10"/>
  <c r="B323" i="10"/>
  <c r="G322" i="10"/>
  <c r="F322" i="10"/>
  <c r="E322" i="10"/>
  <c r="D322" i="10"/>
  <c r="C322" i="10"/>
  <c r="B322" i="10"/>
  <c r="G321" i="10"/>
  <c r="F321" i="10"/>
  <c r="E321" i="10"/>
  <c r="D321" i="10"/>
  <c r="C321" i="10"/>
  <c r="B321" i="10"/>
  <c r="G320" i="10"/>
  <c r="F320" i="10"/>
  <c r="E320" i="10"/>
  <c r="D320" i="10"/>
  <c r="C320" i="10"/>
  <c r="B320" i="10"/>
  <c r="G319" i="10"/>
  <c r="F319" i="10"/>
  <c r="E319" i="10"/>
  <c r="D319" i="10"/>
  <c r="C319" i="10"/>
  <c r="B319" i="10"/>
  <c r="G318" i="10"/>
  <c r="F318" i="10"/>
  <c r="E318" i="10"/>
  <c r="D318" i="10"/>
  <c r="C318" i="10"/>
  <c r="B318" i="10"/>
  <c r="G317" i="10"/>
  <c r="F317" i="10"/>
  <c r="E317" i="10"/>
  <c r="D317" i="10"/>
  <c r="C317" i="10"/>
  <c r="B317" i="10"/>
  <c r="G316" i="10"/>
  <c r="F316" i="10"/>
  <c r="E316" i="10"/>
  <c r="D316" i="10"/>
  <c r="C316" i="10"/>
  <c r="B316" i="10"/>
  <c r="G315" i="10"/>
  <c r="F315" i="10"/>
  <c r="E315" i="10"/>
  <c r="D315" i="10"/>
  <c r="C315" i="10"/>
  <c r="B315" i="10"/>
  <c r="G314" i="10"/>
  <c r="F314" i="10"/>
  <c r="E314" i="10"/>
  <c r="D314" i="10"/>
  <c r="C314" i="10"/>
  <c r="B314" i="10"/>
  <c r="G313" i="10"/>
  <c r="F313" i="10"/>
  <c r="E313" i="10"/>
  <c r="D313" i="10"/>
  <c r="C313" i="10"/>
  <c r="B313" i="10"/>
  <c r="G312" i="10"/>
  <c r="F312" i="10"/>
  <c r="E312" i="10"/>
  <c r="D312" i="10"/>
  <c r="C312" i="10"/>
  <c r="B312" i="10"/>
  <c r="G311" i="10"/>
  <c r="F311" i="10"/>
  <c r="E311" i="10"/>
  <c r="D311" i="10"/>
  <c r="C311" i="10"/>
  <c r="B311" i="10"/>
  <c r="G310" i="10"/>
  <c r="F310" i="10"/>
  <c r="E310" i="10"/>
  <c r="D310" i="10"/>
  <c r="C310" i="10"/>
  <c r="B310" i="10"/>
  <c r="G309" i="10"/>
  <c r="F309" i="10"/>
  <c r="E309" i="10"/>
  <c r="D309" i="10"/>
  <c r="C309" i="10"/>
  <c r="B309" i="10"/>
  <c r="G308" i="10"/>
  <c r="F308" i="10"/>
  <c r="E308" i="10"/>
  <c r="D308" i="10"/>
  <c r="C308" i="10"/>
  <c r="B308" i="10"/>
  <c r="G307" i="10"/>
  <c r="F307" i="10"/>
  <c r="E307" i="10"/>
  <c r="D307" i="10"/>
  <c r="C307" i="10"/>
  <c r="B307" i="10"/>
  <c r="G306" i="10"/>
  <c r="F306" i="10"/>
  <c r="E306" i="10"/>
  <c r="D306" i="10"/>
  <c r="C306" i="10"/>
  <c r="B306" i="10"/>
  <c r="G305" i="10"/>
  <c r="F305" i="10"/>
  <c r="E305" i="10"/>
  <c r="D305" i="10"/>
  <c r="C305" i="10"/>
  <c r="B305" i="10"/>
  <c r="G304" i="10"/>
  <c r="F304" i="10"/>
  <c r="E304" i="10"/>
  <c r="D304" i="10"/>
  <c r="C304" i="10"/>
  <c r="B304" i="10"/>
  <c r="G303" i="10"/>
  <c r="F303" i="10"/>
  <c r="E303" i="10"/>
  <c r="D303" i="10"/>
  <c r="C303" i="10"/>
  <c r="B303" i="10"/>
  <c r="G302" i="10"/>
  <c r="F302" i="10"/>
  <c r="E302" i="10"/>
  <c r="D302" i="10"/>
  <c r="C302" i="10"/>
  <c r="B302" i="10"/>
  <c r="G301" i="10"/>
  <c r="F301" i="10"/>
  <c r="E301" i="10"/>
  <c r="D301" i="10"/>
  <c r="C301" i="10"/>
  <c r="B301" i="10"/>
  <c r="G300" i="10"/>
  <c r="F300" i="10"/>
  <c r="E300" i="10"/>
  <c r="D300" i="10"/>
  <c r="C300" i="10"/>
  <c r="B300" i="10"/>
  <c r="G299" i="10"/>
  <c r="F299" i="10"/>
  <c r="E299" i="10"/>
  <c r="D299" i="10"/>
  <c r="C299" i="10"/>
  <c r="B299" i="10"/>
  <c r="G298" i="10"/>
  <c r="F298" i="10"/>
  <c r="E298" i="10"/>
  <c r="D298" i="10"/>
  <c r="C298" i="10"/>
  <c r="B298" i="10"/>
  <c r="G297" i="10"/>
  <c r="F297" i="10"/>
  <c r="E297" i="10"/>
  <c r="D297" i="10"/>
  <c r="C297" i="10"/>
  <c r="B297" i="10"/>
  <c r="G296" i="10"/>
  <c r="F296" i="10"/>
  <c r="E296" i="10"/>
  <c r="D296" i="10"/>
  <c r="C296" i="10"/>
  <c r="B296" i="10"/>
  <c r="G295" i="10"/>
  <c r="F295" i="10"/>
  <c r="E295" i="10"/>
  <c r="D295" i="10"/>
  <c r="C295" i="10"/>
  <c r="B295" i="10"/>
  <c r="G294" i="10"/>
  <c r="F294" i="10"/>
  <c r="E294" i="10"/>
  <c r="D294" i="10"/>
  <c r="C294" i="10"/>
  <c r="B294" i="10"/>
  <c r="G293" i="10"/>
  <c r="F293" i="10"/>
  <c r="E293" i="10"/>
  <c r="D293" i="10"/>
  <c r="C293" i="10"/>
  <c r="B293" i="10"/>
  <c r="G292" i="10"/>
  <c r="F292" i="10"/>
  <c r="E292" i="10"/>
  <c r="D292" i="10"/>
  <c r="C292" i="10"/>
  <c r="B292" i="10"/>
  <c r="G291" i="10"/>
  <c r="F291" i="10"/>
  <c r="E291" i="10"/>
  <c r="D291" i="10"/>
  <c r="C291" i="10"/>
  <c r="B291" i="10"/>
  <c r="G290" i="10"/>
  <c r="F290" i="10"/>
  <c r="E290" i="10"/>
  <c r="D290" i="10"/>
  <c r="C290" i="10"/>
  <c r="B290" i="10"/>
  <c r="G289" i="10"/>
  <c r="F289" i="10"/>
  <c r="E289" i="10"/>
  <c r="D289" i="10"/>
  <c r="C289" i="10"/>
  <c r="B289" i="10"/>
  <c r="G288" i="10"/>
  <c r="F288" i="10"/>
  <c r="E288" i="10"/>
  <c r="D288" i="10"/>
  <c r="C288" i="10"/>
  <c r="B288" i="10"/>
  <c r="G287" i="10"/>
  <c r="F287" i="10"/>
  <c r="E287" i="10"/>
  <c r="D287" i="10"/>
  <c r="C287" i="10"/>
  <c r="B287" i="10"/>
  <c r="G286" i="10"/>
  <c r="F286" i="10"/>
  <c r="E286" i="10"/>
  <c r="D286" i="10"/>
  <c r="C286" i="10"/>
  <c r="B286" i="10"/>
  <c r="G285" i="10"/>
  <c r="F285" i="10"/>
  <c r="E285" i="10"/>
  <c r="D285" i="10"/>
  <c r="C285" i="10"/>
  <c r="B285" i="10"/>
  <c r="G284" i="10"/>
  <c r="F284" i="10"/>
  <c r="E284" i="10"/>
  <c r="D284" i="10"/>
  <c r="C284" i="10"/>
  <c r="B284" i="10"/>
  <c r="G283" i="10"/>
  <c r="F283" i="10"/>
  <c r="E283" i="10"/>
  <c r="D283" i="10"/>
  <c r="C283" i="10"/>
  <c r="B283" i="10"/>
  <c r="G282" i="10"/>
  <c r="F282" i="10"/>
  <c r="E282" i="10"/>
  <c r="D282" i="10"/>
  <c r="C282" i="10"/>
  <c r="B282" i="10"/>
  <c r="G281" i="10"/>
  <c r="F281" i="10"/>
  <c r="E281" i="10"/>
  <c r="D281" i="10"/>
  <c r="C281" i="10"/>
  <c r="B281" i="10"/>
  <c r="G280" i="10"/>
  <c r="F280" i="10"/>
  <c r="E280" i="10"/>
  <c r="D280" i="10"/>
  <c r="C280" i="10"/>
  <c r="B280" i="10"/>
  <c r="G279" i="10"/>
  <c r="F279" i="10"/>
  <c r="E279" i="10"/>
  <c r="D279" i="10"/>
  <c r="C279" i="10"/>
  <c r="B279" i="10"/>
  <c r="G278" i="10"/>
  <c r="F278" i="10"/>
  <c r="E278" i="10"/>
  <c r="D278" i="10"/>
  <c r="C278" i="10"/>
  <c r="B278" i="10"/>
  <c r="G277" i="10"/>
  <c r="F277" i="10"/>
  <c r="E277" i="10"/>
  <c r="D277" i="10"/>
  <c r="C277" i="10"/>
  <c r="B277" i="10"/>
  <c r="G276" i="10"/>
  <c r="F276" i="10"/>
  <c r="E276" i="10"/>
  <c r="D276" i="10"/>
  <c r="C276" i="10"/>
  <c r="B276" i="10"/>
  <c r="G275" i="10"/>
  <c r="F275" i="10"/>
  <c r="E275" i="10"/>
  <c r="D275" i="10"/>
  <c r="C275" i="10"/>
  <c r="B275" i="10"/>
  <c r="G274" i="10"/>
  <c r="F274" i="10"/>
  <c r="E274" i="10"/>
  <c r="D274" i="10"/>
  <c r="C274" i="10"/>
  <c r="B274" i="10"/>
  <c r="G273" i="10"/>
  <c r="F273" i="10"/>
  <c r="E273" i="10"/>
  <c r="D273" i="10"/>
  <c r="C273" i="10"/>
  <c r="B273" i="10"/>
  <c r="G272" i="10"/>
  <c r="F272" i="10"/>
  <c r="E272" i="10"/>
  <c r="D272" i="10"/>
  <c r="C272" i="10"/>
  <c r="B272" i="10"/>
  <c r="G271" i="10"/>
  <c r="F271" i="10"/>
  <c r="E271" i="10"/>
  <c r="D271" i="10"/>
  <c r="C271" i="10"/>
  <c r="B271" i="10"/>
  <c r="G270" i="10"/>
  <c r="F270" i="10"/>
  <c r="E270" i="10"/>
  <c r="D270" i="10"/>
  <c r="C270" i="10"/>
  <c r="B270" i="10"/>
  <c r="G269" i="10"/>
  <c r="F269" i="10"/>
  <c r="E269" i="10"/>
  <c r="D269" i="10"/>
  <c r="C269" i="10"/>
  <c r="B269" i="10"/>
  <c r="G268" i="10"/>
  <c r="F268" i="10"/>
  <c r="E268" i="10"/>
  <c r="D268" i="10"/>
  <c r="C268" i="10"/>
  <c r="B268" i="10"/>
  <c r="G267" i="10"/>
  <c r="F267" i="10"/>
  <c r="E267" i="10"/>
  <c r="D267" i="10"/>
  <c r="C267" i="10"/>
  <c r="B267" i="10"/>
  <c r="G266" i="10"/>
  <c r="F266" i="10"/>
  <c r="E266" i="10"/>
  <c r="D266" i="10"/>
  <c r="C266" i="10"/>
  <c r="B266" i="10"/>
  <c r="G265" i="10"/>
  <c r="F265" i="10"/>
  <c r="E265" i="10"/>
  <c r="D265" i="10"/>
  <c r="C265" i="10"/>
  <c r="B265" i="10"/>
  <c r="G264" i="10"/>
  <c r="F264" i="10"/>
  <c r="E264" i="10"/>
  <c r="D264" i="10"/>
  <c r="C264" i="10"/>
  <c r="B264" i="10"/>
  <c r="G263" i="10"/>
  <c r="F263" i="10"/>
  <c r="E263" i="10"/>
  <c r="D263" i="10"/>
  <c r="C263" i="10"/>
  <c r="B263" i="10"/>
  <c r="G262" i="10"/>
  <c r="F262" i="10"/>
  <c r="E262" i="10"/>
  <c r="D262" i="10"/>
  <c r="C262" i="10"/>
  <c r="B262" i="10"/>
  <c r="G261" i="10"/>
  <c r="F261" i="10"/>
  <c r="E261" i="10"/>
  <c r="D261" i="10"/>
  <c r="C261" i="10"/>
  <c r="B261" i="10"/>
  <c r="G260" i="10"/>
  <c r="F260" i="10"/>
  <c r="E260" i="10"/>
  <c r="D260" i="10"/>
  <c r="C260" i="10"/>
  <c r="B260" i="10"/>
  <c r="G259" i="10"/>
  <c r="F259" i="10"/>
  <c r="E259" i="10"/>
  <c r="D259" i="10"/>
  <c r="C259" i="10"/>
  <c r="B259" i="10"/>
  <c r="G258" i="10"/>
  <c r="F258" i="10"/>
  <c r="E258" i="10"/>
  <c r="D258" i="10"/>
  <c r="C258" i="10"/>
  <c r="B258" i="10"/>
  <c r="G257" i="10"/>
  <c r="F257" i="10"/>
  <c r="E257" i="10"/>
  <c r="D257" i="10"/>
  <c r="C257" i="10"/>
  <c r="B257" i="10"/>
  <c r="G256" i="10"/>
  <c r="F256" i="10"/>
  <c r="E256" i="10"/>
  <c r="D256" i="10"/>
  <c r="C256" i="10"/>
  <c r="B256" i="10"/>
  <c r="G255" i="10"/>
  <c r="F255" i="10"/>
  <c r="E255" i="10"/>
  <c r="D255" i="10"/>
  <c r="C255" i="10"/>
  <c r="B255" i="10"/>
  <c r="G254" i="10"/>
  <c r="F254" i="10"/>
  <c r="E254" i="10"/>
  <c r="D254" i="10"/>
  <c r="C254" i="10"/>
  <c r="B254" i="10"/>
  <c r="G253" i="10"/>
  <c r="F253" i="10"/>
  <c r="E253" i="10"/>
  <c r="D253" i="10"/>
  <c r="C253" i="10"/>
  <c r="B253" i="10"/>
  <c r="G252" i="10"/>
  <c r="F252" i="10"/>
  <c r="E252" i="10"/>
  <c r="D252" i="10"/>
  <c r="C252" i="10"/>
  <c r="B252" i="10"/>
  <c r="G251" i="10"/>
  <c r="F251" i="10"/>
  <c r="E251" i="10"/>
  <c r="D251" i="10"/>
  <c r="C251" i="10"/>
  <c r="B251" i="10"/>
  <c r="G250" i="10"/>
  <c r="F250" i="10"/>
  <c r="E250" i="10"/>
  <c r="D250" i="10"/>
  <c r="C250" i="10"/>
  <c r="B250" i="10"/>
  <c r="G249" i="10"/>
  <c r="F249" i="10"/>
  <c r="E249" i="10"/>
  <c r="D249" i="10"/>
  <c r="C249" i="10"/>
  <c r="B249" i="10"/>
  <c r="G248" i="10"/>
  <c r="F248" i="10"/>
  <c r="E248" i="10"/>
  <c r="D248" i="10"/>
  <c r="C248" i="10"/>
  <c r="B248" i="10"/>
  <c r="G247" i="10"/>
  <c r="F247" i="10"/>
  <c r="E247" i="10"/>
  <c r="D247" i="10"/>
  <c r="C247" i="10"/>
  <c r="B247" i="10"/>
  <c r="G246" i="10"/>
  <c r="F246" i="10"/>
  <c r="E246" i="10"/>
  <c r="D246" i="10"/>
  <c r="C246" i="10"/>
  <c r="B246" i="10"/>
  <c r="G245" i="10"/>
  <c r="F245" i="10"/>
  <c r="E245" i="10"/>
  <c r="D245" i="10"/>
  <c r="C245" i="10"/>
  <c r="B245" i="10"/>
  <c r="G244" i="10"/>
  <c r="F244" i="10"/>
  <c r="E244" i="10"/>
  <c r="D244" i="10"/>
  <c r="C244" i="10"/>
  <c r="B244" i="10"/>
  <c r="G243" i="10"/>
  <c r="F243" i="10"/>
  <c r="E243" i="10"/>
  <c r="D243" i="10"/>
  <c r="C243" i="10"/>
  <c r="B243" i="10"/>
  <c r="G242" i="10"/>
  <c r="F242" i="10"/>
  <c r="E242" i="10"/>
  <c r="D242" i="10"/>
  <c r="C242" i="10"/>
  <c r="B242" i="10"/>
  <c r="G241" i="10"/>
  <c r="F241" i="10"/>
  <c r="E241" i="10"/>
  <c r="D241" i="10"/>
  <c r="C241" i="10"/>
  <c r="B241" i="10"/>
  <c r="G240" i="10"/>
  <c r="F240" i="10"/>
  <c r="E240" i="10"/>
  <c r="D240" i="10"/>
  <c r="C240" i="10"/>
  <c r="B240" i="10"/>
  <c r="G239" i="10"/>
  <c r="F239" i="10"/>
  <c r="E239" i="10"/>
  <c r="D239" i="10"/>
  <c r="C239" i="10"/>
  <c r="B239" i="10"/>
  <c r="G238" i="10"/>
  <c r="F238" i="10"/>
  <c r="E238" i="10"/>
  <c r="D238" i="10"/>
  <c r="C238" i="10"/>
  <c r="B238" i="10"/>
  <c r="G237" i="10"/>
  <c r="F237" i="10"/>
  <c r="E237" i="10"/>
  <c r="D237" i="10"/>
  <c r="C237" i="10"/>
  <c r="B237" i="10"/>
  <c r="G236" i="10"/>
  <c r="F236" i="10"/>
  <c r="E236" i="10"/>
  <c r="D236" i="10"/>
  <c r="C236" i="10"/>
  <c r="B236" i="10"/>
  <c r="G235" i="10"/>
  <c r="F235" i="10"/>
  <c r="E235" i="10"/>
  <c r="D235" i="10"/>
  <c r="C235" i="10"/>
  <c r="B235" i="10"/>
  <c r="G234" i="10"/>
  <c r="F234" i="10"/>
  <c r="E234" i="10"/>
  <c r="D234" i="10"/>
  <c r="C234" i="10"/>
  <c r="B234" i="10"/>
  <c r="G233" i="10"/>
  <c r="F233" i="10"/>
  <c r="E233" i="10"/>
  <c r="D233" i="10"/>
  <c r="C233" i="10"/>
  <c r="B233" i="10"/>
  <c r="G232" i="10"/>
  <c r="F232" i="10"/>
  <c r="E232" i="10"/>
  <c r="D232" i="10"/>
  <c r="C232" i="10"/>
  <c r="B232" i="10"/>
  <c r="G231" i="10"/>
  <c r="F231" i="10"/>
  <c r="E231" i="10"/>
  <c r="D231" i="10"/>
  <c r="C231" i="10"/>
  <c r="B231" i="10"/>
  <c r="G230" i="10"/>
  <c r="F230" i="10"/>
  <c r="E230" i="10"/>
  <c r="D230" i="10"/>
  <c r="C230" i="10"/>
  <c r="B230" i="10"/>
  <c r="G229" i="10"/>
  <c r="F229" i="10"/>
  <c r="E229" i="10"/>
  <c r="D229" i="10"/>
  <c r="C229" i="10"/>
  <c r="B229" i="10"/>
  <c r="G228" i="10"/>
  <c r="F228" i="10"/>
  <c r="E228" i="10"/>
  <c r="D228" i="10"/>
  <c r="C228" i="10"/>
  <c r="B228" i="10"/>
  <c r="G227" i="10"/>
  <c r="F227" i="10"/>
  <c r="E227" i="10"/>
  <c r="D227" i="10"/>
  <c r="C227" i="10"/>
  <c r="B227" i="10"/>
  <c r="G226" i="10"/>
  <c r="F226" i="10"/>
  <c r="E226" i="10"/>
  <c r="D226" i="10"/>
  <c r="C226" i="10"/>
  <c r="B226" i="10"/>
  <c r="G225" i="10"/>
  <c r="F225" i="10"/>
  <c r="E225" i="10"/>
  <c r="D225" i="10"/>
  <c r="C225" i="10"/>
  <c r="B225" i="10"/>
  <c r="G224" i="10"/>
  <c r="F224" i="10"/>
  <c r="E224" i="10"/>
  <c r="D224" i="10"/>
  <c r="C224" i="10"/>
  <c r="B224" i="10"/>
  <c r="G223" i="10"/>
  <c r="F223" i="10"/>
  <c r="E223" i="10"/>
  <c r="D223" i="10"/>
  <c r="C223" i="10"/>
  <c r="B223" i="10"/>
  <c r="G222" i="10"/>
  <c r="F222" i="10"/>
  <c r="E222" i="10"/>
  <c r="D222" i="10"/>
  <c r="C222" i="10"/>
  <c r="B222" i="10"/>
  <c r="G221" i="10"/>
  <c r="F221" i="10"/>
  <c r="E221" i="10"/>
  <c r="D221" i="10"/>
  <c r="C221" i="10"/>
  <c r="B221" i="10"/>
  <c r="G220" i="10"/>
  <c r="F220" i="10"/>
  <c r="E220" i="10"/>
  <c r="D220" i="10"/>
  <c r="C220" i="10"/>
  <c r="B220" i="10"/>
  <c r="G219" i="10"/>
  <c r="F219" i="10"/>
  <c r="E219" i="10"/>
  <c r="D219" i="10"/>
  <c r="C219" i="10"/>
  <c r="B219" i="10"/>
  <c r="G218" i="10"/>
  <c r="F218" i="10"/>
  <c r="E218" i="10"/>
  <c r="D218" i="10"/>
  <c r="C218" i="10"/>
  <c r="B218" i="10"/>
  <c r="G217" i="10"/>
  <c r="F217" i="10"/>
  <c r="E217" i="10"/>
  <c r="D217" i="10"/>
  <c r="C217" i="10"/>
  <c r="B217" i="10"/>
  <c r="G216" i="10"/>
  <c r="F216" i="10"/>
  <c r="E216" i="10"/>
  <c r="D216" i="10"/>
  <c r="C216" i="10"/>
  <c r="B216" i="10"/>
  <c r="G215" i="10"/>
  <c r="F215" i="10"/>
  <c r="E215" i="10"/>
  <c r="D215" i="10"/>
  <c r="C215" i="10"/>
  <c r="B215" i="10"/>
  <c r="G214" i="10"/>
  <c r="F214" i="10"/>
  <c r="E214" i="10"/>
  <c r="D214" i="10"/>
  <c r="C214" i="10"/>
  <c r="B214" i="10"/>
  <c r="G213" i="10"/>
  <c r="F213" i="10"/>
  <c r="E213" i="10"/>
  <c r="D213" i="10"/>
  <c r="C213" i="10"/>
  <c r="B213" i="10"/>
  <c r="G212" i="10"/>
  <c r="F212" i="10"/>
  <c r="E212" i="10"/>
  <c r="D212" i="10"/>
  <c r="C212" i="10"/>
  <c r="B212" i="10"/>
  <c r="G211" i="10"/>
  <c r="F211" i="10"/>
  <c r="E211" i="10"/>
  <c r="D211" i="10"/>
  <c r="C211" i="10"/>
  <c r="B211" i="10"/>
  <c r="G210" i="10"/>
  <c r="F210" i="10"/>
  <c r="E210" i="10"/>
  <c r="D210" i="10"/>
  <c r="C210" i="10"/>
  <c r="B210" i="10"/>
  <c r="G209" i="10"/>
  <c r="F209" i="10"/>
  <c r="E209" i="10"/>
  <c r="D209" i="10"/>
  <c r="C209" i="10"/>
  <c r="B209" i="10"/>
  <c r="G208" i="10"/>
  <c r="F208" i="10"/>
  <c r="E208" i="10"/>
  <c r="D208" i="10"/>
  <c r="C208" i="10"/>
  <c r="B208" i="10"/>
  <c r="G207" i="10"/>
  <c r="F207" i="10"/>
  <c r="E207" i="10"/>
  <c r="D207" i="10"/>
  <c r="C207" i="10"/>
  <c r="B207" i="10"/>
  <c r="G206" i="10"/>
  <c r="F206" i="10"/>
  <c r="E206" i="10"/>
  <c r="D206" i="10"/>
  <c r="C206" i="10"/>
  <c r="B206" i="10"/>
  <c r="G205" i="10"/>
  <c r="F205" i="10"/>
  <c r="E205" i="10"/>
  <c r="D205" i="10"/>
  <c r="C205" i="10"/>
  <c r="B205" i="10"/>
  <c r="G204" i="10"/>
  <c r="F204" i="10"/>
  <c r="E204" i="10"/>
  <c r="D204" i="10"/>
  <c r="C204" i="10"/>
  <c r="B204" i="10"/>
  <c r="G203" i="10"/>
  <c r="F203" i="10"/>
  <c r="E203" i="10"/>
  <c r="D203" i="10"/>
  <c r="C203" i="10"/>
  <c r="B203" i="10"/>
  <c r="G202" i="10"/>
  <c r="F202" i="10"/>
  <c r="E202" i="10"/>
  <c r="D202" i="10"/>
  <c r="C202" i="10"/>
  <c r="B202" i="10"/>
  <c r="G201" i="10"/>
  <c r="F201" i="10"/>
  <c r="E201" i="10"/>
  <c r="D201" i="10"/>
  <c r="C201" i="10"/>
  <c r="B201" i="10"/>
  <c r="G200" i="10"/>
  <c r="F200" i="10"/>
  <c r="E200" i="10"/>
  <c r="D200" i="10"/>
  <c r="C200" i="10"/>
  <c r="B200" i="10"/>
  <c r="G199" i="10"/>
  <c r="F199" i="10"/>
  <c r="E199" i="10"/>
  <c r="D199" i="10"/>
  <c r="C199" i="10"/>
  <c r="B199" i="10"/>
  <c r="G198" i="10"/>
  <c r="F198" i="10"/>
  <c r="E198" i="10"/>
  <c r="D198" i="10"/>
  <c r="C198" i="10"/>
  <c r="B198" i="10"/>
  <c r="G197" i="10"/>
  <c r="F197" i="10"/>
  <c r="E197" i="10"/>
  <c r="D197" i="10"/>
  <c r="C197" i="10"/>
  <c r="B197" i="10"/>
  <c r="G196" i="10"/>
  <c r="F196" i="10"/>
  <c r="E196" i="10"/>
  <c r="D196" i="10"/>
  <c r="C196" i="10"/>
  <c r="B196" i="10"/>
  <c r="G195" i="10"/>
  <c r="F195" i="10"/>
  <c r="E195" i="10"/>
  <c r="D195" i="10"/>
  <c r="C195" i="10"/>
  <c r="B195" i="10"/>
  <c r="G194" i="10"/>
  <c r="F194" i="10"/>
  <c r="E194" i="10"/>
  <c r="D194" i="10"/>
  <c r="C194" i="10"/>
  <c r="B194" i="10"/>
  <c r="G193" i="10"/>
  <c r="F193" i="10"/>
  <c r="E193" i="10"/>
  <c r="D193" i="10"/>
  <c r="C193" i="10"/>
  <c r="B193" i="10"/>
  <c r="G192" i="10"/>
  <c r="F192" i="10"/>
  <c r="E192" i="10"/>
  <c r="D192" i="10"/>
  <c r="C192" i="10"/>
  <c r="B192" i="10"/>
  <c r="G191" i="10"/>
  <c r="F191" i="10"/>
  <c r="E191" i="10"/>
  <c r="D191" i="10"/>
  <c r="C191" i="10"/>
  <c r="B191" i="10"/>
  <c r="G190" i="10"/>
  <c r="F190" i="10"/>
  <c r="E190" i="10"/>
  <c r="D190" i="10"/>
  <c r="C190" i="10"/>
  <c r="B190" i="10"/>
  <c r="G189" i="10"/>
  <c r="F189" i="10"/>
  <c r="E189" i="10"/>
  <c r="D189" i="10"/>
  <c r="C189" i="10"/>
  <c r="B189" i="10"/>
  <c r="G188" i="10"/>
  <c r="F188" i="10"/>
  <c r="E188" i="10"/>
  <c r="D188" i="10"/>
  <c r="C188" i="10"/>
  <c r="B188" i="10"/>
  <c r="G187" i="10"/>
  <c r="F187" i="10"/>
  <c r="E187" i="10"/>
  <c r="D187" i="10"/>
  <c r="C187" i="10"/>
  <c r="B187" i="10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B18" i="10"/>
  <c r="D14" i="10"/>
  <c r="C14" i="10"/>
  <c r="B14" i="10"/>
  <c r="E10" i="10"/>
  <c r="D10" i="10"/>
  <c r="B10" i="10"/>
  <c r="B7" i="10"/>
  <c r="G278" i="9"/>
  <c r="F278" i="9"/>
  <c r="E278" i="9"/>
  <c r="D278" i="9"/>
  <c r="C278" i="9"/>
  <c r="B278" i="9"/>
  <c r="G277" i="9"/>
  <c r="F277" i="9"/>
  <c r="E277" i="9"/>
  <c r="D277" i="9"/>
  <c r="C277" i="9"/>
  <c r="B277" i="9"/>
  <c r="G276" i="9"/>
  <c r="F276" i="9"/>
  <c r="E276" i="9"/>
  <c r="D276" i="9"/>
  <c r="C276" i="9"/>
  <c r="B276" i="9"/>
  <c r="G275" i="9"/>
  <c r="F275" i="9"/>
  <c r="E275" i="9"/>
  <c r="D275" i="9"/>
  <c r="C275" i="9"/>
  <c r="B275" i="9"/>
  <c r="G274" i="9"/>
  <c r="F274" i="9"/>
  <c r="E274" i="9"/>
  <c r="D274" i="9"/>
  <c r="C274" i="9"/>
  <c r="B274" i="9"/>
  <c r="G273" i="9"/>
  <c r="F273" i="9"/>
  <c r="E273" i="9"/>
  <c r="D273" i="9"/>
  <c r="C273" i="9"/>
  <c r="B273" i="9"/>
  <c r="G272" i="9"/>
  <c r="F272" i="9"/>
  <c r="E272" i="9"/>
  <c r="D272" i="9"/>
  <c r="C272" i="9"/>
  <c r="B272" i="9"/>
  <c r="G271" i="9"/>
  <c r="F271" i="9"/>
  <c r="E271" i="9"/>
  <c r="D271" i="9"/>
  <c r="C271" i="9"/>
  <c r="B271" i="9"/>
  <c r="G270" i="9"/>
  <c r="F270" i="9"/>
  <c r="E270" i="9"/>
  <c r="D270" i="9"/>
  <c r="C270" i="9"/>
  <c r="B270" i="9"/>
  <c r="G269" i="9"/>
  <c r="F269" i="9"/>
  <c r="E269" i="9"/>
  <c r="D269" i="9"/>
  <c r="C269" i="9"/>
  <c r="B269" i="9"/>
  <c r="G268" i="9"/>
  <c r="F268" i="9"/>
  <c r="E268" i="9"/>
  <c r="D268" i="9"/>
  <c r="C268" i="9"/>
  <c r="B268" i="9"/>
  <c r="G267" i="9"/>
  <c r="F267" i="9"/>
  <c r="E267" i="9"/>
  <c r="D267" i="9"/>
  <c r="C267" i="9"/>
  <c r="B267" i="9"/>
  <c r="G266" i="9"/>
  <c r="F266" i="9"/>
  <c r="E266" i="9"/>
  <c r="D266" i="9"/>
  <c r="C266" i="9"/>
  <c r="B266" i="9"/>
  <c r="G265" i="9"/>
  <c r="F265" i="9"/>
  <c r="E265" i="9"/>
  <c r="D265" i="9"/>
  <c r="C265" i="9"/>
  <c r="B265" i="9"/>
  <c r="G264" i="9"/>
  <c r="F264" i="9"/>
  <c r="E264" i="9"/>
  <c r="D264" i="9"/>
  <c r="C264" i="9"/>
  <c r="B264" i="9"/>
  <c r="G263" i="9"/>
  <c r="F263" i="9"/>
  <c r="E263" i="9"/>
  <c r="D263" i="9"/>
  <c r="C263" i="9"/>
  <c r="B263" i="9"/>
  <c r="G262" i="9"/>
  <c r="F262" i="9"/>
  <c r="E262" i="9"/>
  <c r="D262" i="9"/>
  <c r="C262" i="9"/>
  <c r="B262" i="9"/>
  <c r="G261" i="9"/>
  <c r="F261" i="9"/>
  <c r="E261" i="9"/>
  <c r="D261" i="9"/>
  <c r="C261" i="9"/>
  <c r="B261" i="9"/>
  <c r="G260" i="9"/>
  <c r="F260" i="9"/>
  <c r="E260" i="9"/>
  <c r="D260" i="9"/>
  <c r="C260" i="9"/>
  <c r="B260" i="9"/>
  <c r="G259" i="9"/>
  <c r="F259" i="9"/>
  <c r="E259" i="9"/>
  <c r="D259" i="9"/>
  <c r="C259" i="9"/>
  <c r="B259" i="9"/>
  <c r="G258" i="9"/>
  <c r="F258" i="9"/>
  <c r="E258" i="9"/>
  <c r="D258" i="9"/>
  <c r="C258" i="9"/>
  <c r="B258" i="9"/>
  <c r="G257" i="9"/>
  <c r="F257" i="9"/>
  <c r="E257" i="9"/>
  <c r="D257" i="9"/>
  <c r="C257" i="9"/>
  <c r="B257" i="9"/>
  <c r="G256" i="9"/>
  <c r="F256" i="9"/>
  <c r="E256" i="9"/>
  <c r="D256" i="9"/>
  <c r="C256" i="9"/>
  <c r="B256" i="9"/>
  <c r="G255" i="9"/>
  <c r="F255" i="9"/>
  <c r="E255" i="9"/>
  <c r="D255" i="9"/>
  <c r="C255" i="9"/>
  <c r="B255" i="9"/>
  <c r="G254" i="9"/>
  <c r="F254" i="9"/>
  <c r="E254" i="9"/>
  <c r="D254" i="9"/>
  <c r="C254" i="9"/>
  <c r="B254" i="9"/>
  <c r="G253" i="9"/>
  <c r="F253" i="9"/>
  <c r="E253" i="9"/>
  <c r="D253" i="9"/>
  <c r="C253" i="9"/>
  <c r="B253" i="9"/>
  <c r="G252" i="9"/>
  <c r="F252" i="9"/>
  <c r="E252" i="9"/>
  <c r="D252" i="9"/>
  <c r="C252" i="9"/>
  <c r="B252" i="9"/>
  <c r="G251" i="9"/>
  <c r="F251" i="9"/>
  <c r="E251" i="9"/>
  <c r="D251" i="9"/>
  <c r="C251" i="9"/>
  <c r="B251" i="9"/>
  <c r="G250" i="9"/>
  <c r="F250" i="9"/>
  <c r="E250" i="9"/>
  <c r="D250" i="9"/>
  <c r="C250" i="9"/>
  <c r="B250" i="9"/>
  <c r="G249" i="9"/>
  <c r="F249" i="9"/>
  <c r="E249" i="9"/>
  <c r="D249" i="9"/>
  <c r="C249" i="9"/>
  <c r="B249" i="9"/>
  <c r="G248" i="9"/>
  <c r="F248" i="9"/>
  <c r="E248" i="9"/>
  <c r="D248" i="9"/>
  <c r="C248" i="9"/>
  <c r="B248" i="9"/>
  <c r="G247" i="9"/>
  <c r="F247" i="9"/>
  <c r="E247" i="9"/>
  <c r="D247" i="9"/>
  <c r="C247" i="9"/>
  <c r="B247" i="9"/>
  <c r="G246" i="9"/>
  <c r="F246" i="9"/>
  <c r="E246" i="9"/>
  <c r="D246" i="9"/>
  <c r="C246" i="9"/>
  <c r="B246" i="9"/>
  <c r="G245" i="9"/>
  <c r="F245" i="9"/>
  <c r="E245" i="9"/>
  <c r="D245" i="9"/>
  <c r="C245" i="9"/>
  <c r="B245" i="9"/>
  <c r="G244" i="9"/>
  <c r="F244" i="9"/>
  <c r="E244" i="9"/>
  <c r="D244" i="9"/>
  <c r="C244" i="9"/>
  <c r="B244" i="9"/>
  <c r="G243" i="9"/>
  <c r="F243" i="9"/>
  <c r="E243" i="9"/>
  <c r="D243" i="9"/>
  <c r="C243" i="9"/>
  <c r="B243" i="9"/>
  <c r="G242" i="9"/>
  <c r="F242" i="9"/>
  <c r="E242" i="9"/>
  <c r="D242" i="9"/>
  <c r="C242" i="9"/>
  <c r="B242" i="9"/>
  <c r="G241" i="9"/>
  <c r="F241" i="9"/>
  <c r="E241" i="9"/>
  <c r="D241" i="9"/>
  <c r="C241" i="9"/>
  <c r="B241" i="9"/>
  <c r="G240" i="9"/>
  <c r="F240" i="9"/>
  <c r="E240" i="9"/>
  <c r="D240" i="9"/>
  <c r="C240" i="9"/>
  <c r="B240" i="9"/>
  <c r="G239" i="9"/>
  <c r="F239" i="9"/>
  <c r="E239" i="9"/>
  <c r="D239" i="9"/>
  <c r="C239" i="9"/>
  <c r="B239" i="9"/>
  <c r="G238" i="9"/>
  <c r="F238" i="9"/>
  <c r="E238" i="9"/>
  <c r="D238" i="9"/>
  <c r="C238" i="9"/>
  <c r="B238" i="9"/>
  <c r="G237" i="9"/>
  <c r="F237" i="9"/>
  <c r="E237" i="9"/>
  <c r="D237" i="9"/>
  <c r="C237" i="9"/>
  <c r="B237" i="9"/>
  <c r="G236" i="9"/>
  <c r="F236" i="9"/>
  <c r="E236" i="9"/>
  <c r="D236" i="9"/>
  <c r="C236" i="9"/>
  <c r="B236" i="9"/>
  <c r="G235" i="9"/>
  <c r="F235" i="9"/>
  <c r="E235" i="9"/>
  <c r="D235" i="9"/>
  <c r="C235" i="9"/>
  <c r="B235" i="9"/>
  <c r="G234" i="9"/>
  <c r="F234" i="9"/>
  <c r="E234" i="9"/>
  <c r="D234" i="9"/>
  <c r="C234" i="9"/>
  <c r="B234" i="9"/>
  <c r="G233" i="9"/>
  <c r="F233" i="9"/>
  <c r="E233" i="9"/>
  <c r="D233" i="9"/>
  <c r="C233" i="9"/>
  <c r="B233" i="9"/>
  <c r="G232" i="9"/>
  <c r="F232" i="9"/>
  <c r="E232" i="9"/>
  <c r="D232" i="9"/>
  <c r="C232" i="9"/>
  <c r="B232" i="9"/>
  <c r="G231" i="9"/>
  <c r="F231" i="9"/>
  <c r="E231" i="9"/>
  <c r="D231" i="9"/>
  <c r="C231" i="9"/>
  <c r="B231" i="9"/>
  <c r="G230" i="9"/>
  <c r="F230" i="9"/>
  <c r="E230" i="9"/>
  <c r="D230" i="9"/>
  <c r="C230" i="9"/>
  <c r="B230" i="9"/>
  <c r="G229" i="9"/>
  <c r="F229" i="9"/>
  <c r="E229" i="9"/>
  <c r="D229" i="9"/>
  <c r="C229" i="9"/>
  <c r="B229" i="9"/>
  <c r="G228" i="9"/>
  <c r="F228" i="9"/>
  <c r="E228" i="9"/>
  <c r="D228" i="9"/>
  <c r="C228" i="9"/>
  <c r="B228" i="9"/>
  <c r="G227" i="9"/>
  <c r="F227" i="9"/>
  <c r="E227" i="9"/>
  <c r="D227" i="9"/>
  <c r="C227" i="9"/>
  <c r="B227" i="9"/>
  <c r="G226" i="9"/>
  <c r="F226" i="9"/>
  <c r="E226" i="9"/>
  <c r="D226" i="9"/>
  <c r="C226" i="9"/>
  <c r="B226" i="9"/>
  <c r="G225" i="9"/>
  <c r="F225" i="9"/>
  <c r="E225" i="9"/>
  <c r="D225" i="9"/>
  <c r="C225" i="9"/>
  <c r="B225" i="9"/>
  <c r="G224" i="9"/>
  <c r="F224" i="9"/>
  <c r="E224" i="9"/>
  <c r="D224" i="9"/>
  <c r="C224" i="9"/>
  <c r="B224" i="9"/>
  <c r="G223" i="9"/>
  <c r="F223" i="9"/>
  <c r="E223" i="9"/>
  <c r="D223" i="9"/>
  <c r="C223" i="9"/>
  <c r="B223" i="9"/>
  <c r="G222" i="9"/>
  <c r="F222" i="9"/>
  <c r="E222" i="9"/>
  <c r="D222" i="9"/>
  <c r="C222" i="9"/>
  <c r="B222" i="9"/>
  <c r="G221" i="9"/>
  <c r="F221" i="9"/>
  <c r="E221" i="9"/>
  <c r="D221" i="9"/>
  <c r="C221" i="9"/>
  <c r="B221" i="9"/>
  <c r="G220" i="9"/>
  <c r="F220" i="9"/>
  <c r="E220" i="9"/>
  <c r="D220" i="9"/>
  <c r="C220" i="9"/>
  <c r="B220" i="9"/>
  <c r="G219" i="9"/>
  <c r="F219" i="9"/>
  <c r="E219" i="9"/>
  <c r="D219" i="9"/>
  <c r="C219" i="9"/>
  <c r="B219" i="9"/>
  <c r="G218" i="9"/>
  <c r="F218" i="9"/>
  <c r="E218" i="9"/>
  <c r="D218" i="9"/>
  <c r="C218" i="9"/>
  <c r="B218" i="9"/>
  <c r="G217" i="9"/>
  <c r="F217" i="9"/>
  <c r="E217" i="9"/>
  <c r="D217" i="9"/>
  <c r="C217" i="9"/>
  <c r="B217" i="9"/>
  <c r="G216" i="9"/>
  <c r="F216" i="9"/>
  <c r="E216" i="9"/>
  <c r="D216" i="9"/>
  <c r="C216" i="9"/>
  <c r="B216" i="9"/>
  <c r="G215" i="9"/>
  <c r="F215" i="9"/>
  <c r="E215" i="9"/>
  <c r="D215" i="9"/>
  <c r="C215" i="9"/>
  <c r="B215" i="9"/>
  <c r="G214" i="9"/>
  <c r="F214" i="9"/>
  <c r="E214" i="9"/>
  <c r="D214" i="9"/>
  <c r="C214" i="9"/>
  <c r="B214" i="9"/>
  <c r="G213" i="9"/>
  <c r="F213" i="9"/>
  <c r="E213" i="9"/>
  <c r="D213" i="9"/>
  <c r="C213" i="9"/>
  <c r="B213" i="9"/>
  <c r="G212" i="9"/>
  <c r="F212" i="9"/>
  <c r="E212" i="9"/>
  <c r="D212" i="9"/>
  <c r="C212" i="9"/>
  <c r="B212" i="9"/>
  <c r="G211" i="9"/>
  <c r="F211" i="9"/>
  <c r="E211" i="9"/>
  <c r="D211" i="9"/>
  <c r="C211" i="9"/>
  <c r="B211" i="9"/>
  <c r="G210" i="9"/>
  <c r="F210" i="9"/>
  <c r="E210" i="9"/>
  <c r="D210" i="9"/>
  <c r="C210" i="9"/>
  <c r="B210" i="9"/>
  <c r="G209" i="9"/>
  <c r="F209" i="9"/>
  <c r="E209" i="9"/>
  <c r="D209" i="9"/>
  <c r="C209" i="9"/>
  <c r="B209" i="9"/>
  <c r="G208" i="9"/>
  <c r="F208" i="9"/>
  <c r="E208" i="9"/>
  <c r="D208" i="9"/>
  <c r="C208" i="9"/>
  <c r="B208" i="9"/>
  <c r="G207" i="9"/>
  <c r="F207" i="9"/>
  <c r="E207" i="9"/>
  <c r="D207" i="9"/>
  <c r="C207" i="9"/>
  <c r="B207" i="9"/>
  <c r="G206" i="9"/>
  <c r="F206" i="9"/>
  <c r="E206" i="9"/>
  <c r="D206" i="9"/>
  <c r="C206" i="9"/>
  <c r="B206" i="9"/>
  <c r="G205" i="9"/>
  <c r="F205" i="9"/>
  <c r="E205" i="9"/>
  <c r="D205" i="9"/>
  <c r="C205" i="9"/>
  <c r="B205" i="9"/>
  <c r="G204" i="9"/>
  <c r="F204" i="9"/>
  <c r="E204" i="9"/>
  <c r="D204" i="9"/>
  <c r="C204" i="9"/>
  <c r="B204" i="9"/>
  <c r="G203" i="9"/>
  <c r="F203" i="9"/>
  <c r="E203" i="9"/>
  <c r="D203" i="9"/>
  <c r="C203" i="9"/>
  <c r="B203" i="9"/>
  <c r="G202" i="9"/>
  <c r="F202" i="9"/>
  <c r="E202" i="9"/>
  <c r="D202" i="9"/>
  <c r="C202" i="9"/>
  <c r="B202" i="9"/>
  <c r="G201" i="9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F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B18" i="9"/>
  <c r="D14" i="9"/>
  <c r="C14" i="9"/>
  <c r="B14" i="9"/>
  <c r="E10" i="9"/>
  <c r="D10" i="9"/>
  <c r="B10" i="9"/>
  <c r="B7" i="9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B18" i="8"/>
  <c r="D14" i="8"/>
  <c r="C14" i="8"/>
  <c r="B14" i="8"/>
  <c r="E10" i="8"/>
  <c r="D10" i="8"/>
  <c r="B10" i="8"/>
  <c r="B7" i="8"/>
  <c r="G278" i="7"/>
  <c r="F278" i="7"/>
  <c r="E278" i="7"/>
  <c r="D278" i="7"/>
  <c r="C278" i="7"/>
  <c r="B278" i="7"/>
  <c r="G277" i="7"/>
  <c r="F277" i="7"/>
  <c r="E277" i="7"/>
  <c r="D277" i="7"/>
  <c r="C277" i="7"/>
  <c r="B277" i="7"/>
  <c r="G276" i="7"/>
  <c r="F276" i="7"/>
  <c r="E276" i="7"/>
  <c r="D276" i="7"/>
  <c r="C276" i="7"/>
  <c r="B276" i="7"/>
  <c r="G275" i="7"/>
  <c r="F275" i="7"/>
  <c r="E275" i="7"/>
  <c r="D275" i="7"/>
  <c r="C275" i="7"/>
  <c r="B275" i="7"/>
  <c r="G274" i="7"/>
  <c r="F274" i="7"/>
  <c r="E274" i="7"/>
  <c r="D274" i="7"/>
  <c r="C274" i="7"/>
  <c r="B274" i="7"/>
  <c r="G273" i="7"/>
  <c r="F273" i="7"/>
  <c r="E273" i="7"/>
  <c r="D273" i="7"/>
  <c r="C273" i="7"/>
  <c r="B273" i="7"/>
  <c r="G272" i="7"/>
  <c r="F272" i="7"/>
  <c r="E272" i="7"/>
  <c r="D272" i="7"/>
  <c r="C272" i="7"/>
  <c r="B272" i="7"/>
  <c r="G271" i="7"/>
  <c r="F271" i="7"/>
  <c r="E271" i="7"/>
  <c r="D271" i="7"/>
  <c r="C271" i="7"/>
  <c r="B271" i="7"/>
  <c r="G270" i="7"/>
  <c r="F270" i="7"/>
  <c r="E270" i="7"/>
  <c r="D270" i="7"/>
  <c r="C270" i="7"/>
  <c r="B270" i="7"/>
  <c r="G269" i="7"/>
  <c r="F269" i="7"/>
  <c r="E269" i="7"/>
  <c r="D269" i="7"/>
  <c r="C269" i="7"/>
  <c r="B269" i="7"/>
  <c r="G268" i="7"/>
  <c r="F268" i="7"/>
  <c r="E268" i="7"/>
  <c r="D268" i="7"/>
  <c r="C268" i="7"/>
  <c r="B268" i="7"/>
  <c r="G267" i="7"/>
  <c r="F267" i="7"/>
  <c r="E267" i="7"/>
  <c r="D267" i="7"/>
  <c r="C267" i="7"/>
  <c r="B267" i="7"/>
  <c r="G266" i="7"/>
  <c r="F266" i="7"/>
  <c r="E266" i="7"/>
  <c r="D266" i="7"/>
  <c r="C266" i="7"/>
  <c r="B266" i="7"/>
  <c r="G265" i="7"/>
  <c r="F265" i="7"/>
  <c r="E265" i="7"/>
  <c r="D265" i="7"/>
  <c r="C265" i="7"/>
  <c r="B265" i="7"/>
  <c r="G264" i="7"/>
  <c r="F264" i="7"/>
  <c r="E264" i="7"/>
  <c r="D264" i="7"/>
  <c r="C264" i="7"/>
  <c r="B264" i="7"/>
  <c r="G263" i="7"/>
  <c r="F263" i="7"/>
  <c r="E263" i="7"/>
  <c r="D263" i="7"/>
  <c r="C263" i="7"/>
  <c r="B263" i="7"/>
  <c r="G262" i="7"/>
  <c r="F262" i="7"/>
  <c r="E262" i="7"/>
  <c r="D262" i="7"/>
  <c r="C262" i="7"/>
  <c r="B262" i="7"/>
  <c r="G261" i="7"/>
  <c r="F261" i="7"/>
  <c r="E261" i="7"/>
  <c r="D261" i="7"/>
  <c r="C261" i="7"/>
  <c r="B261" i="7"/>
  <c r="G260" i="7"/>
  <c r="F260" i="7"/>
  <c r="E260" i="7"/>
  <c r="D260" i="7"/>
  <c r="C260" i="7"/>
  <c r="B260" i="7"/>
  <c r="G259" i="7"/>
  <c r="F259" i="7"/>
  <c r="E259" i="7"/>
  <c r="D259" i="7"/>
  <c r="C259" i="7"/>
  <c r="B259" i="7"/>
  <c r="G258" i="7"/>
  <c r="F258" i="7"/>
  <c r="E258" i="7"/>
  <c r="D258" i="7"/>
  <c r="C258" i="7"/>
  <c r="B258" i="7"/>
  <c r="G257" i="7"/>
  <c r="F257" i="7"/>
  <c r="E257" i="7"/>
  <c r="D257" i="7"/>
  <c r="C257" i="7"/>
  <c r="B257" i="7"/>
  <c r="G256" i="7"/>
  <c r="F256" i="7"/>
  <c r="E256" i="7"/>
  <c r="D256" i="7"/>
  <c r="C256" i="7"/>
  <c r="B256" i="7"/>
  <c r="G255" i="7"/>
  <c r="F255" i="7"/>
  <c r="E255" i="7"/>
  <c r="D255" i="7"/>
  <c r="C255" i="7"/>
  <c r="B255" i="7"/>
  <c r="G254" i="7"/>
  <c r="F254" i="7"/>
  <c r="E254" i="7"/>
  <c r="D254" i="7"/>
  <c r="C254" i="7"/>
  <c r="B254" i="7"/>
  <c r="G253" i="7"/>
  <c r="F253" i="7"/>
  <c r="E253" i="7"/>
  <c r="D253" i="7"/>
  <c r="C253" i="7"/>
  <c r="B253" i="7"/>
  <c r="G252" i="7"/>
  <c r="F252" i="7"/>
  <c r="E252" i="7"/>
  <c r="D252" i="7"/>
  <c r="C252" i="7"/>
  <c r="B252" i="7"/>
  <c r="G251" i="7"/>
  <c r="F251" i="7"/>
  <c r="E251" i="7"/>
  <c r="D251" i="7"/>
  <c r="C251" i="7"/>
  <c r="B251" i="7"/>
  <c r="G250" i="7"/>
  <c r="F250" i="7"/>
  <c r="E250" i="7"/>
  <c r="D250" i="7"/>
  <c r="C250" i="7"/>
  <c r="B250" i="7"/>
  <c r="G249" i="7"/>
  <c r="F249" i="7"/>
  <c r="E249" i="7"/>
  <c r="D249" i="7"/>
  <c r="C249" i="7"/>
  <c r="B249" i="7"/>
  <c r="G248" i="7"/>
  <c r="F248" i="7"/>
  <c r="E248" i="7"/>
  <c r="D248" i="7"/>
  <c r="C248" i="7"/>
  <c r="B248" i="7"/>
  <c r="G247" i="7"/>
  <c r="F247" i="7"/>
  <c r="E247" i="7"/>
  <c r="D247" i="7"/>
  <c r="C247" i="7"/>
  <c r="B247" i="7"/>
  <c r="G246" i="7"/>
  <c r="F246" i="7"/>
  <c r="E246" i="7"/>
  <c r="D246" i="7"/>
  <c r="C246" i="7"/>
  <c r="B246" i="7"/>
  <c r="G245" i="7"/>
  <c r="F245" i="7"/>
  <c r="E245" i="7"/>
  <c r="D245" i="7"/>
  <c r="C245" i="7"/>
  <c r="B245" i="7"/>
  <c r="G244" i="7"/>
  <c r="F244" i="7"/>
  <c r="E244" i="7"/>
  <c r="D244" i="7"/>
  <c r="C244" i="7"/>
  <c r="B244" i="7"/>
  <c r="G243" i="7"/>
  <c r="F243" i="7"/>
  <c r="E243" i="7"/>
  <c r="D243" i="7"/>
  <c r="C243" i="7"/>
  <c r="B243" i="7"/>
  <c r="G242" i="7"/>
  <c r="F242" i="7"/>
  <c r="E242" i="7"/>
  <c r="D242" i="7"/>
  <c r="C242" i="7"/>
  <c r="B242" i="7"/>
  <c r="G241" i="7"/>
  <c r="F241" i="7"/>
  <c r="E241" i="7"/>
  <c r="D241" i="7"/>
  <c r="C241" i="7"/>
  <c r="B241" i="7"/>
  <c r="G240" i="7"/>
  <c r="F240" i="7"/>
  <c r="E240" i="7"/>
  <c r="D240" i="7"/>
  <c r="C240" i="7"/>
  <c r="B240" i="7"/>
  <c r="G239" i="7"/>
  <c r="F239" i="7"/>
  <c r="E239" i="7"/>
  <c r="D239" i="7"/>
  <c r="C239" i="7"/>
  <c r="B239" i="7"/>
  <c r="G238" i="7"/>
  <c r="F238" i="7"/>
  <c r="E238" i="7"/>
  <c r="D238" i="7"/>
  <c r="C238" i="7"/>
  <c r="B238" i="7"/>
  <c r="G237" i="7"/>
  <c r="F237" i="7"/>
  <c r="E237" i="7"/>
  <c r="D237" i="7"/>
  <c r="C237" i="7"/>
  <c r="B237" i="7"/>
  <c r="G236" i="7"/>
  <c r="F236" i="7"/>
  <c r="E236" i="7"/>
  <c r="D236" i="7"/>
  <c r="C236" i="7"/>
  <c r="B236" i="7"/>
  <c r="G235" i="7"/>
  <c r="F235" i="7"/>
  <c r="E235" i="7"/>
  <c r="D235" i="7"/>
  <c r="C235" i="7"/>
  <c r="B235" i="7"/>
  <c r="G234" i="7"/>
  <c r="F234" i="7"/>
  <c r="E234" i="7"/>
  <c r="D234" i="7"/>
  <c r="C234" i="7"/>
  <c r="B234" i="7"/>
  <c r="G233" i="7"/>
  <c r="F233" i="7"/>
  <c r="E233" i="7"/>
  <c r="D233" i="7"/>
  <c r="C233" i="7"/>
  <c r="B233" i="7"/>
  <c r="G232" i="7"/>
  <c r="F232" i="7"/>
  <c r="E232" i="7"/>
  <c r="D232" i="7"/>
  <c r="C232" i="7"/>
  <c r="B232" i="7"/>
  <c r="G231" i="7"/>
  <c r="F231" i="7"/>
  <c r="E231" i="7"/>
  <c r="D231" i="7"/>
  <c r="C231" i="7"/>
  <c r="B231" i="7"/>
  <c r="G230" i="7"/>
  <c r="F230" i="7"/>
  <c r="E230" i="7"/>
  <c r="D230" i="7"/>
  <c r="C230" i="7"/>
  <c r="B230" i="7"/>
  <c r="G229" i="7"/>
  <c r="F229" i="7"/>
  <c r="E229" i="7"/>
  <c r="D229" i="7"/>
  <c r="C229" i="7"/>
  <c r="B229" i="7"/>
  <c r="G228" i="7"/>
  <c r="F228" i="7"/>
  <c r="E228" i="7"/>
  <c r="D228" i="7"/>
  <c r="C228" i="7"/>
  <c r="B228" i="7"/>
  <c r="G227" i="7"/>
  <c r="F227" i="7"/>
  <c r="E227" i="7"/>
  <c r="D227" i="7"/>
  <c r="C227" i="7"/>
  <c r="B227" i="7"/>
  <c r="G226" i="7"/>
  <c r="F226" i="7"/>
  <c r="E226" i="7"/>
  <c r="D226" i="7"/>
  <c r="C226" i="7"/>
  <c r="B226" i="7"/>
  <c r="G225" i="7"/>
  <c r="F225" i="7"/>
  <c r="E225" i="7"/>
  <c r="D225" i="7"/>
  <c r="C225" i="7"/>
  <c r="B225" i="7"/>
  <c r="G224" i="7"/>
  <c r="F224" i="7"/>
  <c r="E224" i="7"/>
  <c r="D224" i="7"/>
  <c r="C224" i="7"/>
  <c r="B224" i="7"/>
  <c r="G223" i="7"/>
  <c r="F223" i="7"/>
  <c r="E223" i="7"/>
  <c r="D223" i="7"/>
  <c r="C223" i="7"/>
  <c r="B223" i="7"/>
  <c r="G222" i="7"/>
  <c r="F222" i="7"/>
  <c r="E222" i="7"/>
  <c r="D222" i="7"/>
  <c r="C222" i="7"/>
  <c r="B222" i="7"/>
  <c r="G221" i="7"/>
  <c r="F221" i="7"/>
  <c r="E221" i="7"/>
  <c r="D221" i="7"/>
  <c r="C221" i="7"/>
  <c r="B221" i="7"/>
  <c r="G220" i="7"/>
  <c r="F220" i="7"/>
  <c r="E220" i="7"/>
  <c r="D220" i="7"/>
  <c r="C220" i="7"/>
  <c r="B220" i="7"/>
  <c r="G219" i="7"/>
  <c r="F219" i="7"/>
  <c r="E219" i="7"/>
  <c r="D219" i="7"/>
  <c r="C219" i="7"/>
  <c r="B219" i="7"/>
  <c r="G218" i="7"/>
  <c r="F218" i="7"/>
  <c r="E218" i="7"/>
  <c r="D218" i="7"/>
  <c r="C218" i="7"/>
  <c r="B218" i="7"/>
  <c r="G217" i="7"/>
  <c r="F217" i="7"/>
  <c r="E217" i="7"/>
  <c r="D217" i="7"/>
  <c r="C217" i="7"/>
  <c r="B217" i="7"/>
  <c r="G216" i="7"/>
  <c r="F216" i="7"/>
  <c r="E216" i="7"/>
  <c r="D216" i="7"/>
  <c r="C216" i="7"/>
  <c r="B216" i="7"/>
  <c r="G215" i="7"/>
  <c r="F215" i="7"/>
  <c r="E215" i="7"/>
  <c r="D215" i="7"/>
  <c r="C215" i="7"/>
  <c r="B215" i="7"/>
  <c r="G214" i="7"/>
  <c r="F214" i="7"/>
  <c r="E214" i="7"/>
  <c r="D214" i="7"/>
  <c r="C214" i="7"/>
  <c r="B214" i="7"/>
  <c r="G213" i="7"/>
  <c r="F213" i="7"/>
  <c r="E213" i="7"/>
  <c r="D213" i="7"/>
  <c r="C213" i="7"/>
  <c r="B213" i="7"/>
  <c r="G212" i="7"/>
  <c r="F212" i="7"/>
  <c r="E212" i="7"/>
  <c r="D212" i="7"/>
  <c r="C212" i="7"/>
  <c r="B212" i="7"/>
  <c r="G211" i="7"/>
  <c r="F211" i="7"/>
  <c r="E211" i="7"/>
  <c r="D211" i="7"/>
  <c r="C211" i="7"/>
  <c r="B211" i="7"/>
  <c r="G210" i="7"/>
  <c r="F210" i="7"/>
  <c r="E210" i="7"/>
  <c r="D210" i="7"/>
  <c r="C210" i="7"/>
  <c r="B210" i="7"/>
  <c r="G209" i="7"/>
  <c r="F209" i="7"/>
  <c r="E209" i="7"/>
  <c r="D209" i="7"/>
  <c r="C209" i="7"/>
  <c r="B209" i="7"/>
  <c r="G208" i="7"/>
  <c r="F208" i="7"/>
  <c r="E208" i="7"/>
  <c r="D208" i="7"/>
  <c r="C208" i="7"/>
  <c r="B208" i="7"/>
  <c r="G207" i="7"/>
  <c r="F207" i="7"/>
  <c r="E207" i="7"/>
  <c r="D207" i="7"/>
  <c r="C207" i="7"/>
  <c r="B207" i="7"/>
  <c r="G206" i="7"/>
  <c r="F206" i="7"/>
  <c r="E206" i="7"/>
  <c r="D206" i="7"/>
  <c r="C206" i="7"/>
  <c r="B206" i="7"/>
  <c r="G205" i="7"/>
  <c r="F205" i="7"/>
  <c r="E205" i="7"/>
  <c r="D205" i="7"/>
  <c r="C205" i="7"/>
  <c r="B205" i="7"/>
  <c r="G204" i="7"/>
  <c r="F204" i="7"/>
  <c r="E204" i="7"/>
  <c r="D204" i="7"/>
  <c r="C204" i="7"/>
  <c r="B204" i="7"/>
  <c r="G203" i="7"/>
  <c r="F203" i="7"/>
  <c r="E203" i="7"/>
  <c r="D203" i="7"/>
  <c r="C203" i="7"/>
  <c r="B203" i="7"/>
  <c r="G202" i="7"/>
  <c r="F202" i="7"/>
  <c r="E202" i="7"/>
  <c r="D202" i="7"/>
  <c r="C202" i="7"/>
  <c r="B202" i="7"/>
  <c r="G201" i="7"/>
  <c r="F201" i="7"/>
  <c r="E201" i="7"/>
  <c r="D201" i="7"/>
  <c r="C201" i="7"/>
  <c r="B201" i="7"/>
  <c r="G200" i="7"/>
  <c r="F200" i="7"/>
  <c r="E200" i="7"/>
  <c r="D200" i="7"/>
  <c r="C200" i="7"/>
  <c r="B200" i="7"/>
  <c r="G199" i="7"/>
  <c r="F199" i="7"/>
  <c r="E199" i="7"/>
  <c r="D199" i="7"/>
  <c r="C199" i="7"/>
  <c r="B199" i="7"/>
  <c r="G198" i="7"/>
  <c r="F198" i="7"/>
  <c r="E198" i="7"/>
  <c r="D198" i="7"/>
  <c r="C198" i="7"/>
  <c r="B198" i="7"/>
  <c r="G197" i="7"/>
  <c r="F197" i="7"/>
  <c r="E197" i="7"/>
  <c r="D197" i="7"/>
  <c r="C197" i="7"/>
  <c r="B197" i="7"/>
  <c r="G196" i="7"/>
  <c r="F196" i="7"/>
  <c r="E196" i="7"/>
  <c r="D196" i="7"/>
  <c r="C196" i="7"/>
  <c r="B196" i="7"/>
  <c r="G195" i="7"/>
  <c r="F195" i="7"/>
  <c r="E195" i="7"/>
  <c r="D195" i="7"/>
  <c r="C195" i="7"/>
  <c r="B195" i="7"/>
  <c r="G194" i="7"/>
  <c r="F194" i="7"/>
  <c r="E194" i="7"/>
  <c r="D194" i="7"/>
  <c r="C194" i="7"/>
  <c r="B194" i="7"/>
  <c r="G193" i="7"/>
  <c r="F193" i="7"/>
  <c r="E193" i="7"/>
  <c r="D193" i="7"/>
  <c r="C193" i="7"/>
  <c r="B193" i="7"/>
  <c r="G192" i="7"/>
  <c r="F192" i="7"/>
  <c r="E192" i="7"/>
  <c r="D192" i="7"/>
  <c r="C192" i="7"/>
  <c r="B192" i="7"/>
  <c r="G191" i="7"/>
  <c r="F191" i="7"/>
  <c r="E191" i="7"/>
  <c r="D191" i="7"/>
  <c r="C191" i="7"/>
  <c r="B191" i="7"/>
  <c r="G190" i="7"/>
  <c r="F190" i="7"/>
  <c r="E190" i="7"/>
  <c r="D190" i="7"/>
  <c r="C190" i="7"/>
  <c r="B190" i="7"/>
  <c r="G189" i="7"/>
  <c r="F189" i="7"/>
  <c r="E189" i="7"/>
  <c r="D189" i="7"/>
  <c r="C189" i="7"/>
  <c r="B189" i="7"/>
  <c r="G188" i="7"/>
  <c r="F188" i="7"/>
  <c r="E188" i="7"/>
  <c r="D188" i="7"/>
  <c r="C188" i="7"/>
  <c r="B188" i="7"/>
  <c r="G187" i="7"/>
  <c r="F187" i="7"/>
  <c r="E187" i="7"/>
  <c r="D187" i="7"/>
  <c r="C187" i="7"/>
  <c r="B187" i="7"/>
  <c r="G186" i="7"/>
  <c r="F186" i="7"/>
  <c r="E186" i="7"/>
  <c r="D186" i="7"/>
  <c r="C186" i="7"/>
  <c r="B186" i="7"/>
  <c r="G185" i="7"/>
  <c r="F185" i="7"/>
  <c r="E185" i="7"/>
  <c r="D185" i="7"/>
  <c r="C185" i="7"/>
  <c r="B185" i="7"/>
  <c r="G184" i="7"/>
  <c r="F184" i="7"/>
  <c r="E184" i="7"/>
  <c r="D184" i="7"/>
  <c r="C184" i="7"/>
  <c r="B184" i="7"/>
  <c r="G183" i="7"/>
  <c r="F183" i="7"/>
  <c r="E183" i="7"/>
  <c r="D183" i="7"/>
  <c r="C183" i="7"/>
  <c r="B183" i="7"/>
  <c r="G182" i="7"/>
  <c r="F182" i="7"/>
  <c r="E182" i="7"/>
  <c r="D182" i="7"/>
  <c r="C182" i="7"/>
  <c r="B182" i="7"/>
  <c r="G181" i="7"/>
  <c r="F181" i="7"/>
  <c r="E181" i="7"/>
  <c r="D181" i="7"/>
  <c r="C181" i="7"/>
  <c r="B181" i="7"/>
  <c r="G180" i="7"/>
  <c r="F180" i="7"/>
  <c r="E180" i="7"/>
  <c r="D180" i="7"/>
  <c r="C180" i="7"/>
  <c r="B180" i="7"/>
  <c r="G179" i="7"/>
  <c r="F179" i="7"/>
  <c r="E179" i="7"/>
  <c r="D179" i="7"/>
  <c r="C179" i="7"/>
  <c r="B179" i="7"/>
  <c r="G178" i="7"/>
  <c r="F178" i="7"/>
  <c r="E178" i="7"/>
  <c r="D178" i="7"/>
  <c r="C178" i="7"/>
  <c r="B178" i="7"/>
  <c r="G177" i="7"/>
  <c r="F177" i="7"/>
  <c r="E177" i="7"/>
  <c r="D177" i="7"/>
  <c r="C177" i="7"/>
  <c r="B177" i="7"/>
  <c r="G176" i="7"/>
  <c r="F176" i="7"/>
  <c r="E176" i="7"/>
  <c r="D176" i="7"/>
  <c r="C176" i="7"/>
  <c r="B176" i="7"/>
  <c r="G175" i="7"/>
  <c r="F175" i="7"/>
  <c r="E175" i="7"/>
  <c r="D175" i="7"/>
  <c r="C175" i="7"/>
  <c r="B175" i="7"/>
  <c r="G174" i="7"/>
  <c r="F174" i="7"/>
  <c r="E174" i="7"/>
  <c r="D174" i="7"/>
  <c r="C174" i="7"/>
  <c r="B174" i="7"/>
  <c r="G173" i="7"/>
  <c r="F173" i="7"/>
  <c r="E173" i="7"/>
  <c r="D173" i="7"/>
  <c r="C173" i="7"/>
  <c r="B173" i="7"/>
  <c r="G172" i="7"/>
  <c r="F172" i="7"/>
  <c r="E172" i="7"/>
  <c r="D172" i="7"/>
  <c r="C172" i="7"/>
  <c r="B172" i="7"/>
  <c r="G171" i="7"/>
  <c r="F171" i="7"/>
  <c r="E171" i="7"/>
  <c r="D171" i="7"/>
  <c r="C171" i="7"/>
  <c r="B171" i="7"/>
  <c r="G170" i="7"/>
  <c r="F170" i="7"/>
  <c r="E170" i="7"/>
  <c r="D170" i="7"/>
  <c r="C170" i="7"/>
  <c r="B170" i="7"/>
  <c r="G169" i="7"/>
  <c r="F169" i="7"/>
  <c r="E169" i="7"/>
  <c r="D169" i="7"/>
  <c r="C169" i="7"/>
  <c r="B169" i="7"/>
  <c r="G168" i="7"/>
  <c r="F168" i="7"/>
  <c r="E168" i="7"/>
  <c r="D168" i="7"/>
  <c r="C168" i="7"/>
  <c r="B168" i="7"/>
  <c r="G167" i="7"/>
  <c r="F167" i="7"/>
  <c r="E167" i="7"/>
  <c r="D167" i="7"/>
  <c r="C167" i="7"/>
  <c r="B167" i="7"/>
  <c r="G166" i="7"/>
  <c r="F166" i="7"/>
  <c r="E166" i="7"/>
  <c r="D166" i="7"/>
  <c r="C166" i="7"/>
  <c r="B166" i="7"/>
  <c r="G165" i="7"/>
  <c r="F165" i="7"/>
  <c r="E165" i="7"/>
  <c r="D165" i="7"/>
  <c r="C165" i="7"/>
  <c r="B165" i="7"/>
  <c r="G164" i="7"/>
  <c r="F164" i="7"/>
  <c r="E164" i="7"/>
  <c r="D164" i="7"/>
  <c r="C164" i="7"/>
  <c r="B164" i="7"/>
  <c r="G163" i="7"/>
  <c r="F163" i="7"/>
  <c r="E163" i="7"/>
  <c r="D163" i="7"/>
  <c r="C163" i="7"/>
  <c r="B163" i="7"/>
  <c r="G162" i="7"/>
  <c r="F162" i="7"/>
  <c r="E162" i="7"/>
  <c r="D162" i="7"/>
  <c r="C162" i="7"/>
  <c r="B162" i="7"/>
  <c r="G161" i="7"/>
  <c r="F161" i="7"/>
  <c r="E161" i="7"/>
  <c r="D161" i="7"/>
  <c r="C161" i="7"/>
  <c r="B161" i="7"/>
  <c r="G160" i="7"/>
  <c r="F160" i="7"/>
  <c r="E160" i="7"/>
  <c r="D160" i="7"/>
  <c r="C160" i="7"/>
  <c r="B160" i="7"/>
  <c r="G159" i="7"/>
  <c r="F159" i="7"/>
  <c r="E159" i="7"/>
  <c r="D159" i="7"/>
  <c r="C159" i="7"/>
  <c r="B159" i="7"/>
  <c r="G158" i="7"/>
  <c r="F158" i="7"/>
  <c r="E158" i="7"/>
  <c r="D158" i="7"/>
  <c r="C158" i="7"/>
  <c r="B158" i="7"/>
  <c r="G157" i="7"/>
  <c r="F157" i="7"/>
  <c r="E157" i="7"/>
  <c r="D157" i="7"/>
  <c r="C157" i="7"/>
  <c r="B157" i="7"/>
  <c r="G156" i="7"/>
  <c r="F156" i="7"/>
  <c r="E156" i="7"/>
  <c r="D156" i="7"/>
  <c r="C156" i="7"/>
  <c r="B156" i="7"/>
  <c r="G155" i="7"/>
  <c r="F155" i="7"/>
  <c r="E155" i="7"/>
  <c r="D155" i="7"/>
  <c r="C155" i="7"/>
  <c r="B155" i="7"/>
  <c r="G154" i="7"/>
  <c r="F154" i="7"/>
  <c r="E154" i="7"/>
  <c r="D154" i="7"/>
  <c r="C154" i="7"/>
  <c r="B154" i="7"/>
  <c r="G153" i="7"/>
  <c r="F153" i="7"/>
  <c r="E153" i="7"/>
  <c r="D153" i="7"/>
  <c r="C153" i="7"/>
  <c r="B153" i="7"/>
  <c r="G152" i="7"/>
  <c r="F152" i="7"/>
  <c r="E152" i="7"/>
  <c r="D152" i="7"/>
  <c r="C152" i="7"/>
  <c r="B152" i="7"/>
  <c r="G151" i="7"/>
  <c r="F151" i="7"/>
  <c r="E151" i="7"/>
  <c r="D151" i="7"/>
  <c r="C151" i="7"/>
  <c r="B151" i="7"/>
  <c r="G150" i="7"/>
  <c r="F150" i="7"/>
  <c r="E150" i="7"/>
  <c r="D150" i="7"/>
  <c r="C150" i="7"/>
  <c r="B150" i="7"/>
  <c r="G149" i="7"/>
  <c r="F149" i="7"/>
  <c r="E149" i="7"/>
  <c r="D149" i="7"/>
  <c r="C149" i="7"/>
  <c r="B149" i="7"/>
  <c r="G148" i="7"/>
  <c r="F148" i="7"/>
  <c r="E148" i="7"/>
  <c r="D148" i="7"/>
  <c r="C148" i="7"/>
  <c r="B148" i="7"/>
  <c r="G147" i="7"/>
  <c r="F147" i="7"/>
  <c r="E147" i="7"/>
  <c r="D147" i="7"/>
  <c r="C147" i="7"/>
  <c r="B147" i="7"/>
  <c r="G146" i="7"/>
  <c r="F146" i="7"/>
  <c r="E146" i="7"/>
  <c r="D146" i="7"/>
  <c r="C146" i="7"/>
  <c r="B146" i="7"/>
  <c r="G145" i="7"/>
  <c r="F145" i="7"/>
  <c r="E145" i="7"/>
  <c r="D145" i="7"/>
  <c r="C145" i="7"/>
  <c r="B145" i="7"/>
  <c r="G144" i="7"/>
  <c r="F144" i="7"/>
  <c r="E144" i="7"/>
  <c r="D144" i="7"/>
  <c r="C144" i="7"/>
  <c r="B144" i="7"/>
  <c r="G143" i="7"/>
  <c r="F143" i="7"/>
  <c r="E143" i="7"/>
  <c r="D143" i="7"/>
  <c r="C143" i="7"/>
  <c r="B143" i="7"/>
  <c r="G142" i="7"/>
  <c r="F142" i="7"/>
  <c r="E142" i="7"/>
  <c r="D142" i="7"/>
  <c r="C142" i="7"/>
  <c r="B142" i="7"/>
  <c r="G141" i="7"/>
  <c r="F141" i="7"/>
  <c r="E141" i="7"/>
  <c r="D141" i="7"/>
  <c r="C141" i="7"/>
  <c r="B141" i="7"/>
  <c r="G140" i="7"/>
  <c r="F140" i="7"/>
  <c r="E140" i="7"/>
  <c r="D140" i="7"/>
  <c r="C140" i="7"/>
  <c r="B140" i="7"/>
  <c r="G139" i="7"/>
  <c r="F139" i="7"/>
  <c r="E139" i="7"/>
  <c r="D139" i="7"/>
  <c r="C139" i="7"/>
  <c r="B139" i="7"/>
  <c r="G138" i="7"/>
  <c r="F138" i="7"/>
  <c r="E138" i="7"/>
  <c r="D138" i="7"/>
  <c r="C138" i="7"/>
  <c r="B138" i="7"/>
  <c r="G137" i="7"/>
  <c r="F137" i="7"/>
  <c r="E137" i="7"/>
  <c r="D137" i="7"/>
  <c r="C137" i="7"/>
  <c r="B137" i="7"/>
  <c r="G136" i="7"/>
  <c r="F136" i="7"/>
  <c r="E136" i="7"/>
  <c r="D136" i="7"/>
  <c r="C136" i="7"/>
  <c r="B136" i="7"/>
  <c r="G135" i="7"/>
  <c r="F135" i="7"/>
  <c r="E135" i="7"/>
  <c r="D135" i="7"/>
  <c r="C135" i="7"/>
  <c r="B135" i="7"/>
  <c r="G134" i="7"/>
  <c r="F134" i="7"/>
  <c r="E134" i="7"/>
  <c r="D134" i="7"/>
  <c r="C134" i="7"/>
  <c r="B134" i="7"/>
  <c r="G133" i="7"/>
  <c r="F133" i="7"/>
  <c r="E133" i="7"/>
  <c r="D133" i="7"/>
  <c r="C133" i="7"/>
  <c r="B133" i="7"/>
  <c r="G132" i="7"/>
  <c r="F132" i="7"/>
  <c r="E132" i="7"/>
  <c r="D132" i="7"/>
  <c r="C132" i="7"/>
  <c r="B132" i="7"/>
  <c r="G131" i="7"/>
  <c r="F131" i="7"/>
  <c r="E131" i="7"/>
  <c r="D131" i="7"/>
  <c r="C131" i="7"/>
  <c r="B131" i="7"/>
  <c r="G130" i="7"/>
  <c r="F130" i="7"/>
  <c r="E130" i="7"/>
  <c r="D130" i="7"/>
  <c r="C130" i="7"/>
  <c r="B130" i="7"/>
  <c r="G129" i="7"/>
  <c r="F129" i="7"/>
  <c r="E129" i="7"/>
  <c r="D129" i="7"/>
  <c r="C129" i="7"/>
  <c r="B129" i="7"/>
  <c r="G128" i="7"/>
  <c r="F128" i="7"/>
  <c r="E128" i="7"/>
  <c r="D128" i="7"/>
  <c r="C128" i="7"/>
  <c r="B128" i="7"/>
  <c r="G127" i="7"/>
  <c r="F127" i="7"/>
  <c r="E127" i="7"/>
  <c r="D127" i="7"/>
  <c r="C127" i="7"/>
  <c r="B127" i="7"/>
  <c r="G126" i="7"/>
  <c r="F126" i="7"/>
  <c r="E126" i="7"/>
  <c r="D126" i="7"/>
  <c r="C126" i="7"/>
  <c r="B126" i="7"/>
  <c r="G125" i="7"/>
  <c r="F125" i="7"/>
  <c r="E125" i="7"/>
  <c r="D125" i="7"/>
  <c r="C125" i="7"/>
  <c r="B125" i="7"/>
  <c r="G124" i="7"/>
  <c r="F124" i="7"/>
  <c r="E124" i="7"/>
  <c r="D124" i="7"/>
  <c r="C124" i="7"/>
  <c r="B124" i="7"/>
  <c r="G123" i="7"/>
  <c r="F123" i="7"/>
  <c r="E123" i="7"/>
  <c r="D123" i="7"/>
  <c r="C123" i="7"/>
  <c r="B123" i="7"/>
  <c r="G122" i="7"/>
  <c r="F122" i="7"/>
  <c r="E122" i="7"/>
  <c r="D122" i="7"/>
  <c r="C122" i="7"/>
  <c r="B122" i="7"/>
  <c r="G121" i="7"/>
  <c r="F121" i="7"/>
  <c r="E121" i="7"/>
  <c r="D121" i="7"/>
  <c r="C121" i="7"/>
  <c r="B121" i="7"/>
  <c r="G120" i="7"/>
  <c r="F120" i="7"/>
  <c r="E120" i="7"/>
  <c r="D120" i="7"/>
  <c r="C120" i="7"/>
  <c r="B120" i="7"/>
  <c r="G119" i="7"/>
  <c r="F119" i="7"/>
  <c r="E119" i="7"/>
  <c r="D119" i="7"/>
  <c r="C119" i="7"/>
  <c r="B119" i="7"/>
  <c r="G118" i="7"/>
  <c r="F118" i="7"/>
  <c r="E118" i="7"/>
  <c r="D118" i="7"/>
  <c r="C118" i="7"/>
  <c r="B118" i="7"/>
  <c r="G117" i="7"/>
  <c r="F117" i="7"/>
  <c r="E117" i="7"/>
  <c r="D117" i="7"/>
  <c r="C117" i="7"/>
  <c r="B117" i="7"/>
  <c r="G116" i="7"/>
  <c r="F116" i="7"/>
  <c r="E116" i="7"/>
  <c r="D116" i="7"/>
  <c r="C116" i="7"/>
  <c r="B116" i="7"/>
  <c r="G115" i="7"/>
  <c r="F115" i="7"/>
  <c r="E115" i="7"/>
  <c r="D115" i="7"/>
  <c r="C115" i="7"/>
  <c r="B115" i="7"/>
  <c r="G114" i="7"/>
  <c r="F114" i="7"/>
  <c r="E114" i="7"/>
  <c r="D114" i="7"/>
  <c r="C114" i="7"/>
  <c r="B114" i="7"/>
  <c r="G113" i="7"/>
  <c r="F113" i="7"/>
  <c r="E113" i="7"/>
  <c r="D113" i="7"/>
  <c r="C113" i="7"/>
  <c r="B113" i="7"/>
  <c r="G112" i="7"/>
  <c r="F112" i="7"/>
  <c r="E112" i="7"/>
  <c r="D112" i="7"/>
  <c r="C112" i="7"/>
  <c r="B112" i="7"/>
  <c r="G111" i="7"/>
  <c r="F111" i="7"/>
  <c r="E111" i="7"/>
  <c r="D111" i="7"/>
  <c r="C111" i="7"/>
  <c r="B111" i="7"/>
  <c r="G110" i="7"/>
  <c r="F110" i="7"/>
  <c r="E110" i="7"/>
  <c r="D110" i="7"/>
  <c r="C110" i="7"/>
  <c r="B110" i="7"/>
  <c r="G109" i="7"/>
  <c r="F109" i="7"/>
  <c r="E109" i="7"/>
  <c r="D109" i="7"/>
  <c r="C109" i="7"/>
  <c r="B109" i="7"/>
  <c r="G108" i="7"/>
  <c r="F108" i="7"/>
  <c r="E108" i="7"/>
  <c r="D108" i="7"/>
  <c r="C108" i="7"/>
  <c r="B108" i="7"/>
  <c r="G107" i="7"/>
  <c r="F107" i="7"/>
  <c r="E107" i="7"/>
  <c r="D107" i="7"/>
  <c r="C107" i="7"/>
  <c r="B107" i="7"/>
  <c r="G106" i="7"/>
  <c r="F106" i="7"/>
  <c r="E106" i="7"/>
  <c r="D106" i="7"/>
  <c r="C106" i="7"/>
  <c r="B106" i="7"/>
  <c r="G105" i="7"/>
  <c r="F105" i="7"/>
  <c r="E105" i="7"/>
  <c r="D105" i="7"/>
  <c r="C105" i="7"/>
  <c r="B105" i="7"/>
  <c r="G104" i="7"/>
  <c r="F104" i="7"/>
  <c r="E104" i="7"/>
  <c r="D104" i="7"/>
  <c r="C104" i="7"/>
  <c r="B104" i="7"/>
  <c r="G103" i="7"/>
  <c r="F103" i="7"/>
  <c r="E103" i="7"/>
  <c r="D103" i="7"/>
  <c r="C103" i="7"/>
  <c r="B103" i="7"/>
  <c r="G102" i="7"/>
  <c r="F102" i="7"/>
  <c r="E102" i="7"/>
  <c r="D102" i="7"/>
  <c r="C102" i="7"/>
  <c r="B102" i="7"/>
  <c r="G101" i="7"/>
  <c r="F101" i="7"/>
  <c r="E101" i="7"/>
  <c r="D101" i="7"/>
  <c r="C101" i="7"/>
  <c r="B101" i="7"/>
  <c r="G100" i="7"/>
  <c r="F100" i="7"/>
  <c r="E100" i="7"/>
  <c r="D100" i="7"/>
  <c r="C100" i="7"/>
  <c r="B100" i="7"/>
  <c r="G99" i="7"/>
  <c r="F99" i="7"/>
  <c r="E99" i="7"/>
  <c r="D99" i="7"/>
  <c r="C99" i="7"/>
  <c r="B99" i="7"/>
  <c r="G98" i="7"/>
  <c r="F98" i="7"/>
  <c r="E98" i="7"/>
  <c r="D98" i="7"/>
  <c r="C98" i="7"/>
  <c r="B98" i="7"/>
  <c r="G97" i="7"/>
  <c r="F97" i="7"/>
  <c r="E97" i="7"/>
  <c r="D97" i="7"/>
  <c r="C97" i="7"/>
  <c r="B97" i="7"/>
  <c r="G96" i="7"/>
  <c r="F96" i="7"/>
  <c r="E96" i="7"/>
  <c r="D96" i="7"/>
  <c r="C96" i="7"/>
  <c r="B96" i="7"/>
  <c r="G95" i="7"/>
  <c r="F95" i="7"/>
  <c r="E95" i="7"/>
  <c r="D95" i="7"/>
  <c r="C95" i="7"/>
  <c r="B95" i="7"/>
  <c r="G94" i="7"/>
  <c r="F94" i="7"/>
  <c r="E94" i="7"/>
  <c r="D94" i="7"/>
  <c r="C94" i="7"/>
  <c r="B94" i="7"/>
  <c r="G93" i="7"/>
  <c r="F93" i="7"/>
  <c r="E93" i="7"/>
  <c r="D93" i="7"/>
  <c r="C93" i="7"/>
  <c r="B93" i="7"/>
  <c r="G92" i="7"/>
  <c r="F92" i="7"/>
  <c r="E92" i="7"/>
  <c r="D92" i="7"/>
  <c r="C92" i="7"/>
  <c r="B92" i="7"/>
  <c r="G91" i="7"/>
  <c r="F91" i="7"/>
  <c r="E91" i="7"/>
  <c r="D91" i="7"/>
  <c r="C91" i="7"/>
  <c r="B91" i="7"/>
  <c r="G90" i="7"/>
  <c r="F90" i="7"/>
  <c r="E90" i="7"/>
  <c r="D90" i="7"/>
  <c r="C90" i="7"/>
  <c r="B90" i="7"/>
  <c r="G89" i="7"/>
  <c r="F89" i="7"/>
  <c r="E89" i="7"/>
  <c r="D89" i="7"/>
  <c r="C89" i="7"/>
  <c r="B89" i="7"/>
  <c r="G88" i="7"/>
  <c r="F88" i="7"/>
  <c r="E88" i="7"/>
  <c r="D88" i="7"/>
  <c r="C88" i="7"/>
  <c r="B88" i="7"/>
  <c r="G87" i="7"/>
  <c r="F87" i="7"/>
  <c r="E87" i="7"/>
  <c r="D87" i="7"/>
  <c r="C87" i="7"/>
  <c r="B87" i="7"/>
  <c r="G86" i="7"/>
  <c r="F86" i="7"/>
  <c r="E86" i="7"/>
  <c r="D86" i="7"/>
  <c r="C86" i="7"/>
  <c r="B86" i="7"/>
  <c r="G85" i="7"/>
  <c r="F85" i="7"/>
  <c r="E85" i="7"/>
  <c r="D85" i="7"/>
  <c r="C85" i="7"/>
  <c r="B85" i="7"/>
  <c r="G84" i="7"/>
  <c r="F84" i="7"/>
  <c r="E84" i="7"/>
  <c r="D84" i="7"/>
  <c r="C84" i="7"/>
  <c r="B84" i="7"/>
  <c r="G83" i="7"/>
  <c r="F83" i="7"/>
  <c r="E83" i="7"/>
  <c r="D83" i="7"/>
  <c r="C83" i="7"/>
  <c r="B83" i="7"/>
  <c r="G82" i="7"/>
  <c r="F82" i="7"/>
  <c r="E82" i="7"/>
  <c r="D82" i="7"/>
  <c r="C82" i="7"/>
  <c r="B82" i="7"/>
  <c r="G81" i="7"/>
  <c r="F81" i="7"/>
  <c r="E81" i="7"/>
  <c r="D81" i="7"/>
  <c r="C81" i="7"/>
  <c r="B81" i="7"/>
  <c r="G80" i="7"/>
  <c r="F80" i="7"/>
  <c r="E80" i="7"/>
  <c r="D80" i="7"/>
  <c r="C80" i="7"/>
  <c r="B80" i="7"/>
  <c r="G79" i="7"/>
  <c r="F79" i="7"/>
  <c r="E79" i="7"/>
  <c r="D79" i="7"/>
  <c r="C79" i="7"/>
  <c r="B79" i="7"/>
  <c r="G78" i="7"/>
  <c r="F78" i="7"/>
  <c r="E78" i="7"/>
  <c r="D78" i="7"/>
  <c r="C78" i="7"/>
  <c r="B78" i="7"/>
  <c r="G77" i="7"/>
  <c r="F77" i="7"/>
  <c r="E77" i="7"/>
  <c r="D77" i="7"/>
  <c r="C77" i="7"/>
  <c r="B77" i="7"/>
  <c r="G76" i="7"/>
  <c r="F76" i="7"/>
  <c r="E76" i="7"/>
  <c r="D76" i="7"/>
  <c r="C76" i="7"/>
  <c r="B76" i="7"/>
  <c r="G75" i="7"/>
  <c r="F75" i="7"/>
  <c r="E75" i="7"/>
  <c r="D75" i="7"/>
  <c r="C75" i="7"/>
  <c r="B75" i="7"/>
  <c r="G74" i="7"/>
  <c r="F74" i="7"/>
  <c r="E74" i="7"/>
  <c r="D74" i="7"/>
  <c r="C74" i="7"/>
  <c r="B74" i="7"/>
  <c r="G73" i="7"/>
  <c r="F73" i="7"/>
  <c r="E73" i="7"/>
  <c r="D73" i="7"/>
  <c r="C73" i="7"/>
  <c r="B73" i="7"/>
  <c r="G72" i="7"/>
  <c r="F72" i="7"/>
  <c r="E72" i="7"/>
  <c r="D72" i="7"/>
  <c r="C72" i="7"/>
  <c r="B72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8" i="7"/>
  <c r="F68" i="7"/>
  <c r="E68" i="7"/>
  <c r="D68" i="7"/>
  <c r="C68" i="7"/>
  <c r="B68" i="7"/>
  <c r="G67" i="7"/>
  <c r="F67" i="7"/>
  <c r="E67" i="7"/>
  <c r="D67" i="7"/>
  <c r="C67" i="7"/>
  <c r="B67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B62" i="7"/>
  <c r="G61" i="7"/>
  <c r="F61" i="7"/>
  <c r="E61" i="7"/>
  <c r="D61" i="7"/>
  <c r="C61" i="7"/>
  <c r="B61" i="7"/>
  <c r="G60" i="7"/>
  <c r="F60" i="7"/>
  <c r="E60" i="7"/>
  <c r="D60" i="7"/>
  <c r="C60" i="7"/>
  <c r="B60" i="7"/>
  <c r="G59" i="7"/>
  <c r="F59" i="7"/>
  <c r="E59" i="7"/>
  <c r="D59" i="7"/>
  <c r="C59" i="7"/>
  <c r="B59" i="7"/>
  <c r="G58" i="7"/>
  <c r="F58" i="7"/>
  <c r="E58" i="7"/>
  <c r="D58" i="7"/>
  <c r="C58" i="7"/>
  <c r="B58" i="7"/>
  <c r="G57" i="7"/>
  <c r="F57" i="7"/>
  <c r="E57" i="7"/>
  <c r="D57" i="7"/>
  <c r="C57" i="7"/>
  <c r="B57" i="7"/>
  <c r="G56" i="7"/>
  <c r="F56" i="7"/>
  <c r="E56" i="7"/>
  <c r="D56" i="7"/>
  <c r="C56" i="7"/>
  <c r="B56" i="7"/>
  <c r="G55" i="7"/>
  <c r="F55" i="7"/>
  <c r="E55" i="7"/>
  <c r="D55" i="7"/>
  <c r="C55" i="7"/>
  <c r="B55" i="7"/>
  <c r="G54" i="7"/>
  <c r="F54" i="7"/>
  <c r="E54" i="7"/>
  <c r="D54" i="7"/>
  <c r="C54" i="7"/>
  <c r="B54" i="7"/>
  <c r="G53" i="7"/>
  <c r="F53" i="7"/>
  <c r="E53" i="7"/>
  <c r="D53" i="7"/>
  <c r="C53" i="7"/>
  <c r="B53" i="7"/>
  <c r="G52" i="7"/>
  <c r="F52" i="7"/>
  <c r="E52" i="7"/>
  <c r="D52" i="7"/>
  <c r="C52" i="7"/>
  <c r="B52" i="7"/>
  <c r="G51" i="7"/>
  <c r="F51" i="7"/>
  <c r="E51" i="7"/>
  <c r="D51" i="7"/>
  <c r="C51" i="7"/>
  <c r="B51" i="7"/>
  <c r="G50" i="7"/>
  <c r="F50" i="7"/>
  <c r="E50" i="7"/>
  <c r="D50" i="7"/>
  <c r="C50" i="7"/>
  <c r="B50" i="7"/>
  <c r="G49" i="7"/>
  <c r="F49" i="7"/>
  <c r="E49" i="7"/>
  <c r="D49" i="7"/>
  <c r="C49" i="7"/>
  <c r="B49" i="7"/>
  <c r="G48" i="7"/>
  <c r="F48" i="7"/>
  <c r="E48" i="7"/>
  <c r="D48" i="7"/>
  <c r="C48" i="7"/>
  <c r="B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C27" i="7"/>
  <c r="B27" i="7"/>
  <c r="B18" i="7"/>
  <c r="D14" i="7"/>
  <c r="C14" i="7"/>
  <c r="B14" i="7"/>
  <c r="E10" i="7"/>
  <c r="D10" i="7"/>
  <c r="B10" i="7"/>
  <c r="B7" i="7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B18" i="6"/>
  <c r="D14" i="6"/>
  <c r="C14" i="6"/>
  <c r="B14" i="6"/>
  <c r="E10" i="6"/>
  <c r="D10" i="6"/>
  <c r="B10" i="6"/>
  <c r="B7" i="6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B18" i="5"/>
  <c r="D14" i="5"/>
  <c r="C14" i="5"/>
  <c r="B14" i="5"/>
  <c r="E10" i="5"/>
  <c r="D10" i="5"/>
  <c r="B10" i="5"/>
  <c r="B7" i="5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B18" i="4"/>
  <c r="D14" i="4"/>
  <c r="C14" i="4"/>
  <c r="B14" i="4"/>
  <c r="E10" i="4"/>
  <c r="D10" i="4"/>
  <c r="B10" i="4"/>
  <c r="B7" i="4"/>
  <c r="A57" i="3"/>
  <c r="A56" i="3"/>
  <c r="A55" i="3"/>
  <c r="A54" i="3"/>
  <c r="A49" i="3"/>
  <c r="A48" i="3"/>
  <c r="A47" i="3"/>
  <c r="A46" i="3"/>
  <c r="A45" i="3"/>
  <c r="A44" i="3"/>
  <c r="A43" i="3"/>
  <c r="A42" i="3"/>
  <c r="B36" i="3"/>
  <c r="A25" i="3"/>
  <c r="A24" i="3"/>
  <c r="A23" i="3"/>
  <c r="A22" i="3"/>
  <c r="A21" i="3"/>
  <c r="A20" i="3"/>
  <c r="A19" i="3"/>
  <c r="A16" i="3"/>
  <c r="B45" i="1" s="1"/>
  <c r="A15" i="3"/>
  <c r="A14" i="3"/>
  <c r="A13" i="3"/>
  <c r="A12" i="3"/>
  <c r="A11" i="3"/>
  <c r="A10" i="3"/>
  <c r="B39" i="1" s="1"/>
  <c r="A9" i="3"/>
  <c r="A8" i="3"/>
  <c r="B37" i="1" s="1"/>
  <c r="A7" i="3"/>
  <c r="A6" i="3"/>
  <c r="A5" i="3"/>
  <c r="O1" i="3"/>
  <c r="C1" i="3"/>
  <c r="C15" i="3" s="1"/>
  <c r="J55" i="2"/>
  <c r="I55" i="2"/>
  <c r="H55" i="2"/>
  <c r="L55" i="2" s="1"/>
  <c r="F55" i="2"/>
  <c r="J54" i="2"/>
  <c r="I54" i="2"/>
  <c r="H54" i="2"/>
  <c r="L54" i="2" s="1"/>
  <c r="F54" i="2"/>
  <c r="J53" i="2"/>
  <c r="I53" i="2"/>
  <c r="H53" i="2"/>
  <c r="L53" i="2" s="1"/>
  <c r="F53" i="2"/>
  <c r="J52" i="2"/>
  <c r="I52" i="2"/>
  <c r="H52" i="2"/>
  <c r="L52" i="2" s="1"/>
  <c r="F52" i="2"/>
  <c r="J51" i="2"/>
  <c r="I51" i="2"/>
  <c r="H51" i="2"/>
  <c r="L51" i="2" s="1"/>
  <c r="F51" i="2"/>
  <c r="J50" i="2"/>
  <c r="I50" i="2"/>
  <c r="H50" i="2"/>
  <c r="L50" i="2" s="1"/>
  <c r="F50" i="2"/>
  <c r="J49" i="2"/>
  <c r="I49" i="2"/>
  <c r="H49" i="2"/>
  <c r="L49" i="2" s="1"/>
  <c r="F49" i="2"/>
  <c r="J48" i="2"/>
  <c r="I48" i="2"/>
  <c r="H48" i="2"/>
  <c r="L48" i="2" s="1"/>
  <c r="F48" i="2"/>
  <c r="R46" i="2"/>
  <c r="J46" i="2"/>
  <c r="I46" i="2"/>
  <c r="H46" i="2"/>
  <c r="B49" i="3" s="1"/>
  <c r="F46" i="2"/>
  <c r="R45" i="2"/>
  <c r="J45" i="2"/>
  <c r="I45" i="2"/>
  <c r="H45" i="2"/>
  <c r="B48" i="3" s="1"/>
  <c r="F45" i="2"/>
  <c r="R44" i="2"/>
  <c r="Q44" i="2"/>
  <c r="L44" i="2"/>
  <c r="J44" i="2"/>
  <c r="I44" i="2"/>
  <c r="H44" i="2"/>
  <c r="B47" i="3" s="1"/>
  <c r="F44" i="2"/>
  <c r="R43" i="2"/>
  <c r="Q43" i="2"/>
  <c r="P43" i="2"/>
  <c r="L43" i="2"/>
  <c r="J43" i="2"/>
  <c r="I43" i="2"/>
  <c r="H43" i="2"/>
  <c r="B46" i="3" s="1"/>
  <c r="F43" i="2"/>
  <c r="R42" i="2"/>
  <c r="L42" i="2"/>
  <c r="J42" i="2"/>
  <c r="I42" i="2"/>
  <c r="H42" i="2"/>
  <c r="B45" i="3" s="1"/>
  <c r="F42" i="2"/>
  <c r="R41" i="2"/>
  <c r="Q41" i="2"/>
  <c r="J41" i="2"/>
  <c r="I41" i="2"/>
  <c r="H41" i="2"/>
  <c r="B44" i="3" s="1"/>
  <c r="F41" i="2"/>
  <c r="R40" i="2"/>
  <c r="Q40" i="2"/>
  <c r="J40" i="2"/>
  <c r="I40" i="2"/>
  <c r="H40" i="2"/>
  <c r="B43" i="3" s="1"/>
  <c r="F40" i="2"/>
  <c r="R39" i="2"/>
  <c r="Q39" i="2"/>
  <c r="J39" i="2"/>
  <c r="I39" i="2"/>
  <c r="H39" i="2"/>
  <c r="B42" i="3" s="1"/>
  <c r="F39" i="2"/>
  <c r="R38" i="2"/>
  <c r="Q38" i="2"/>
  <c r="J38" i="2"/>
  <c r="I38" i="2"/>
  <c r="H38" i="2"/>
  <c r="L38" i="2" s="1"/>
  <c r="F38" i="2"/>
  <c r="R37" i="2"/>
  <c r="J37" i="2"/>
  <c r="I37" i="2"/>
  <c r="H37" i="2"/>
  <c r="L37" i="2" s="1"/>
  <c r="F37" i="2"/>
  <c r="J36" i="2"/>
  <c r="I36" i="2"/>
  <c r="H36" i="2"/>
  <c r="L36" i="2" s="1"/>
  <c r="F36" i="2"/>
  <c r="Q33" i="2"/>
  <c r="J33" i="2"/>
  <c r="I33" i="2"/>
  <c r="H33" i="2"/>
  <c r="B25" i="3" s="1"/>
  <c r="F33" i="2"/>
  <c r="R32" i="2"/>
  <c r="J32" i="2"/>
  <c r="I32" i="2"/>
  <c r="H32" i="2"/>
  <c r="B24" i="3" s="1"/>
  <c r="F32" i="2"/>
  <c r="R31" i="2"/>
  <c r="J31" i="2"/>
  <c r="I31" i="2"/>
  <c r="H31" i="2"/>
  <c r="L31" i="2" s="1"/>
  <c r="F31" i="2"/>
  <c r="R30" i="2"/>
  <c r="Q30" i="2"/>
  <c r="J30" i="2"/>
  <c r="I30" i="2"/>
  <c r="H30" i="2"/>
  <c r="B22" i="3" s="1"/>
  <c r="D23" i="1" s="1"/>
  <c r="F30" i="2"/>
  <c r="R29" i="2"/>
  <c r="Q29" i="2"/>
  <c r="L29" i="2"/>
  <c r="J29" i="2"/>
  <c r="I29" i="2"/>
  <c r="H29" i="2"/>
  <c r="B21" i="3" s="1"/>
  <c r="F29" i="2"/>
  <c r="R28" i="2"/>
  <c r="Q28" i="2"/>
  <c r="L28" i="2"/>
  <c r="J28" i="2"/>
  <c r="I28" i="2"/>
  <c r="H28" i="2"/>
  <c r="B20" i="3" s="1"/>
  <c r="F28" i="2"/>
  <c r="R27" i="2"/>
  <c r="Q27" i="2"/>
  <c r="J27" i="2"/>
  <c r="I27" i="2"/>
  <c r="H27" i="2"/>
  <c r="B19" i="3" s="1"/>
  <c r="F27" i="2"/>
  <c r="J26" i="2"/>
  <c r="I26" i="2"/>
  <c r="H26" i="2"/>
  <c r="B33" i="3" s="1"/>
  <c r="F26" i="2"/>
  <c r="R25" i="2"/>
  <c r="Q25" i="2"/>
  <c r="J25" i="2"/>
  <c r="I25" i="2"/>
  <c r="H25" i="2"/>
  <c r="B32" i="3" s="1"/>
  <c r="F25" i="2"/>
  <c r="R24" i="2"/>
  <c r="Q24" i="2"/>
  <c r="J24" i="2"/>
  <c r="I24" i="2"/>
  <c r="H24" i="2"/>
  <c r="B31" i="3" s="1"/>
  <c r="F24" i="2"/>
  <c r="R23" i="2"/>
  <c r="J23" i="2"/>
  <c r="I23" i="2"/>
  <c r="H23" i="2"/>
  <c r="F23" i="2"/>
  <c r="J22" i="2"/>
  <c r="I22" i="2"/>
  <c r="H22" i="2"/>
  <c r="B29" i="3" s="1"/>
  <c r="F22" i="2"/>
  <c r="L21" i="2"/>
  <c r="J21" i="2"/>
  <c r="I21" i="2"/>
  <c r="H21" i="2"/>
  <c r="B16" i="3" s="1"/>
  <c r="F21" i="2"/>
  <c r="J20" i="2"/>
  <c r="I20" i="2"/>
  <c r="H20" i="2"/>
  <c r="B15" i="3" s="1"/>
  <c r="F20" i="2"/>
  <c r="J19" i="2"/>
  <c r="I19" i="2"/>
  <c r="H19" i="2"/>
  <c r="B14" i="3" s="1"/>
  <c r="F19" i="2"/>
  <c r="J18" i="2"/>
  <c r="I18" i="2"/>
  <c r="H18" i="2"/>
  <c r="B13" i="3" s="1"/>
  <c r="F18" i="2"/>
  <c r="J17" i="2"/>
  <c r="I17" i="2"/>
  <c r="H17" i="2"/>
  <c r="B12" i="3" s="1"/>
  <c r="F17" i="2"/>
  <c r="J16" i="2"/>
  <c r="I16" i="2"/>
  <c r="H16" i="2"/>
  <c r="F16" i="2"/>
  <c r="J15" i="2"/>
  <c r="I15" i="2"/>
  <c r="H15" i="2"/>
  <c r="L15" i="2" s="1"/>
  <c r="F15" i="2"/>
  <c r="J14" i="2"/>
  <c r="I14" i="2"/>
  <c r="H14" i="2"/>
  <c r="L14" i="2" s="1"/>
  <c r="F14" i="2"/>
  <c r="R13" i="2"/>
  <c r="Q13" i="2"/>
  <c r="J13" i="2"/>
  <c r="I13" i="2"/>
  <c r="H13" i="2"/>
  <c r="B8" i="3" s="1"/>
  <c r="F13" i="2"/>
  <c r="R12" i="2"/>
  <c r="Q12" i="2"/>
  <c r="L12" i="2"/>
  <c r="J12" i="2"/>
  <c r="I12" i="2"/>
  <c r="H12" i="2"/>
  <c r="B7" i="3" s="1"/>
  <c r="F12" i="2"/>
  <c r="R11" i="2"/>
  <c r="Q11" i="2"/>
  <c r="J11" i="2"/>
  <c r="I11" i="2"/>
  <c r="H11" i="2"/>
  <c r="F11" i="2"/>
  <c r="J10" i="2"/>
  <c r="I10" i="2"/>
  <c r="H10" i="2"/>
  <c r="L10" i="2" s="1"/>
  <c r="F10" i="2"/>
  <c r="O9" i="2"/>
  <c r="J9" i="2"/>
  <c r="I9" i="2"/>
  <c r="H9" i="2"/>
  <c r="L9" i="2" s="1"/>
  <c r="F9" i="2"/>
  <c r="F6" i="2"/>
  <c r="B44" i="1"/>
  <c r="B43" i="1"/>
  <c r="B42" i="1"/>
  <c r="B41" i="1"/>
  <c r="B40" i="1"/>
  <c r="B38" i="1"/>
  <c r="E37" i="1"/>
  <c r="E36" i="1"/>
  <c r="B36" i="1"/>
  <c r="E35" i="1"/>
  <c r="B35" i="1"/>
  <c r="E34" i="1"/>
  <c r="B34" i="1"/>
  <c r="C33" i="1"/>
  <c r="H26" i="1"/>
  <c r="B26" i="1"/>
  <c r="H25" i="1"/>
  <c r="B25" i="1"/>
  <c r="H24" i="1"/>
  <c r="B24" i="1"/>
  <c r="H23" i="1"/>
  <c r="H22" i="1"/>
  <c r="B22" i="1"/>
  <c r="H21" i="1"/>
  <c r="B21" i="1"/>
  <c r="H20" i="1"/>
  <c r="B20" i="1"/>
  <c r="H19" i="1"/>
  <c r="E19" i="1"/>
  <c r="D19" i="1"/>
  <c r="I18" i="1"/>
  <c r="H18" i="1"/>
  <c r="H11" i="1"/>
  <c r="H10" i="1"/>
  <c r="I9" i="1"/>
  <c r="H9" i="1"/>
  <c r="C8" i="1"/>
  <c r="H3" i="1"/>
  <c r="C31" i="1" s="1"/>
  <c r="C3" i="1"/>
  <c r="C2" i="1"/>
  <c r="L46" i="2" l="1"/>
  <c r="P13" i="2"/>
  <c r="P30" i="2"/>
  <c r="P42" i="2"/>
  <c r="P23" i="2"/>
  <c r="S27" i="2"/>
  <c r="O27" i="2" s="1"/>
  <c r="O42" i="3"/>
  <c r="U42" i="3" s="1"/>
  <c r="Y42" i="3" s="1"/>
  <c r="L40" i="2"/>
  <c r="L13" i="2"/>
  <c r="O43" i="3"/>
  <c r="U43" i="3" s="1"/>
  <c r="Y43" i="3" s="1"/>
  <c r="D1" i="3"/>
  <c r="D44" i="3" s="1"/>
  <c r="R44" i="3" s="1"/>
  <c r="V44" i="3" s="1"/>
  <c r="G1" i="3"/>
  <c r="G8" i="3" s="1"/>
  <c r="O16" i="3"/>
  <c r="U16" i="3" s="1"/>
  <c r="Y16" i="3" s="1"/>
  <c r="Q36" i="2"/>
  <c r="O25" i="2"/>
  <c r="O46" i="3"/>
  <c r="B5" i="3"/>
  <c r="C20" i="3"/>
  <c r="L19" i="2"/>
  <c r="L24" i="2"/>
  <c r="L25" i="2"/>
  <c r="L30" i="2"/>
  <c r="O30" i="3"/>
  <c r="O11" i="2"/>
  <c r="O12" i="2"/>
  <c r="P28" i="2"/>
  <c r="O28" i="2" s="1"/>
  <c r="P38" i="2"/>
  <c r="O38" i="2" s="1"/>
  <c r="P41" i="2"/>
  <c r="E1" i="3"/>
  <c r="E49" i="3" s="1"/>
  <c r="O7" i="3"/>
  <c r="U7" i="3" s="1"/>
  <c r="Y7" i="3" s="1"/>
  <c r="O42" i="2"/>
  <c r="Q10" i="2"/>
  <c r="H1" i="3"/>
  <c r="H49" i="3" s="1"/>
  <c r="C5" i="3"/>
  <c r="C14" i="3"/>
  <c r="C31" i="3"/>
  <c r="O24" i="2"/>
  <c r="S23" i="2"/>
  <c r="S29" i="2"/>
  <c r="O29" i="2" s="1"/>
  <c r="C44" i="3"/>
  <c r="S40" i="2"/>
  <c r="O40" i="2" s="1"/>
  <c r="S41" i="2"/>
  <c r="O21" i="3"/>
  <c r="U21" i="3" s="1"/>
  <c r="Y21" i="3" s="1"/>
  <c r="O32" i="3"/>
  <c r="S13" i="2"/>
  <c r="O13" i="2" s="1"/>
  <c r="Q22" i="2"/>
  <c r="S30" i="2"/>
  <c r="O23" i="2"/>
  <c r="S31" i="2"/>
  <c r="I1" i="3"/>
  <c r="I45" i="3" s="1"/>
  <c r="T45" i="3" s="1"/>
  <c r="J1" i="3"/>
  <c r="B9" i="3"/>
  <c r="C11" i="3"/>
  <c r="C19" i="3"/>
  <c r="O23" i="3"/>
  <c r="L17" i="2"/>
  <c r="L1" i="3"/>
  <c r="L5" i="3" s="1"/>
  <c r="G6" i="3"/>
  <c r="C9" i="3"/>
  <c r="O11" i="3"/>
  <c r="O9" i="3"/>
  <c r="C7" i="3"/>
  <c r="O8" i="3"/>
  <c r="O6" i="3"/>
  <c r="C25" i="3"/>
  <c r="R33" i="2"/>
  <c r="P32" i="2"/>
  <c r="S45" i="2"/>
  <c r="O47" i="3"/>
  <c r="U47" i="3" s="1"/>
  <c r="Y47" i="3" s="1"/>
  <c r="P44" i="2"/>
  <c r="Q31" i="2"/>
  <c r="Q37" i="2"/>
  <c r="O37" i="2" s="1"/>
  <c r="O43" i="2"/>
  <c r="C48" i="3"/>
  <c r="M1" i="3"/>
  <c r="M14" i="3" s="1"/>
  <c r="O15" i="3"/>
  <c r="U15" i="3" s="1"/>
  <c r="Y15" i="3" s="1"/>
  <c r="O19" i="3"/>
  <c r="U19" i="3" s="1"/>
  <c r="Y19" i="3" s="1"/>
  <c r="G22" i="3"/>
  <c r="C45" i="3"/>
  <c r="O31" i="3"/>
  <c r="O22" i="3"/>
  <c r="U22" i="3" s="1"/>
  <c r="Y22" i="3" s="1"/>
  <c r="O5" i="3"/>
  <c r="R36" i="2"/>
  <c r="O12" i="3"/>
  <c r="U12" i="3" s="1"/>
  <c r="Y12" i="3" s="1"/>
  <c r="U32" i="3"/>
  <c r="Y32" i="3" s="1"/>
  <c r="O39" i="2"/>
  <c r="U46" i="3"/>
  <c r="Y46" i="3" s="1"/>
  <c r="S22" i="2"/>
  <c r="S10" i="2"/>
  <c r="S36" i="2"/>
  <c r="J49" i="3"/>
  <c r="J45" i="3"/>
  <c r="J25" i="3"/>
  <c r="J21" i="3"/>
  <c r="J15" i="3"/>
  <c r="J11" i="3"/>
  <c r="J48" i="3"/>
  <c r="J44" i="3"/>
  <c r="J24" i="3"/>
  <c r="J20" i="3"/>
  <c r="J14" i="3"/>
  <c r="J33" i="3"/>
  <c r="J31" i="3"/>
  <c r="J46" i="3"/>
  <c r="J42" i="3"/>
  <c r="J30" i="3"/>
  <c r="J22" i="3"/>
  <c r="J16" i="3"/>
  <c r="J12" i="3"/>
  <c r="J8" i="3"/>
  <c r="J47" i="3"/>
  <c r="J43" i="3"/>
  <c r="J32" i="3"/>
  <c r="J5" i="3"/>
  <c r="J19" i="3"/>
  <c r="J10" i="3"/>
  <c r="J7" i="3"/>
  <c r="J6" i="3"/>
  <c r="O13" i="3"/>
  <c r="U13" i="3" s="1"/>
  <c r="Y13" i="3" s="1"/>
  <c r="B23" i="1"/>
  <c r="M29" i="3"/>
  <c r="F31" i="1"/>
  <c r="R10" i="2"/>
  <c r="R22" i="2"/>
  <c r="D20" i="3"/>
  <c r="R20" i="3" s="1"/>
  <c r="V20" i="3" s="1"/>
  <c r="D23" i="3"/>
  <c r="D29" i="3"/>
  <c r="R29" i="3" s="1"/>
  <c r="V29" i="3" s="1"/>
  <c r="D15" i="3"/>
  <c r="R15" i="3" s="1"/>
  <c r="V15" i="3" s="1"/>
  <c r="D22" i="3"/>
  <c r="R22" i="3" s="1"/>
  <c r="V22" i="3" s="1"/>
  <c r="D9" i="3"/>
  <c r="G9" i="3"/>
  <c r="I25" i="3"/>
  <c r="T25" i="3" s="1"/>
  <c r="X25" i="3" s="1"/>
  <c r="I30" i="3"/>
  <c r="G42" i="3"/>
  <c r="B11" i="3"/>
  <c r="L16" i="2"/>
  <c r="L48" i="3"/>
  <c r="L14" i="3"/>
  <c r="L23" i="3"/>
  <c r="L29" i="3"/>
  <c r="L21" i="3"/>
  <c r="L10" i="3"/>
  <c r="L30" i="3"/>
  <c r="M31" i="3"/>
  <c r="M46" i="3"/>
  <c r="M49" i="3"/>
  <c r="M15" i="3"/>
  <c r="M11" i="3"/>
  <c r="M43" i="3"/>
  <c r="M23" i="3"/>
  <c r="M20" i="3"/>
  <c r="C17" i="1"/>
  <c r="D20" i="1"/>
  <c r="L32" i="2"/>
  <c r="L33" i="2"/>
  <c r="E33" i="3"/>
  <c r="E30" i="3"/>
  <c r="E45" i="3"/>
  <c r="E10" i="3"/>
  <c r="E6" i="3"/>
  <c r="E47" i="3"/>
  <c r="E16" i="3"/>
  <c r="C6" i="3"/>
  <c r="E7" i="3"/>
  <c r="J9" i="3"/>
  <c r="I11" i="3"/>
  <c r="C13" i="3"/>
  <c r="E20" i="3"/>
  <c r="I42" i="3"/>
  <c r="T42" i="3" s="1"/>
  <c r="D25" i="1"/>
  <c r="M10" i="3"/>
  <c r="D22" i="1"/>
  <c r="B6" i="3"/>
  <c r="L11" i="2"/>
  <c r="L18" i="2"/>
  <c r="B30" i="3"/>
  <c r="L23" i="2"/>
  <c r="U31" i="3"/>
  <c r="Y31" i="3" s="1"/>
  <c r="D21" i="1"/>
  <c r="P33" i="2"/>
  <c r="L39" i="2"/>
  <c r="G31" i="3"/>
  <c r="G29" i="3"/>
  <c r="G49" i="3"/>
  <c r="G45" i="3"/>
  <c r="G25" i="3"/>
  <c r="G48" i="3"/>
  <c r="G44" i="3"/>
  <c r="G24" i="3"/>
  <c r="G20" i="3"/>
  <c r="G14" i="3"/>
  <c r="G10" i="3"/>
  <c r="G33" i="3"/>
  <c r="G23" i="3"/>
  <c r="G15" i="3"/>
  <c r="G12" i="3"/>
  <c r="G7" i="3"/>
  <c r="G47" i="3"/>
  <c r="G21" i="3"/>
  <c r="G16" i="3"/>
  <c r="G43" i="3"/>
  <c r="G32" i="3"/>
  <c r="G19" i="3"/>
  <c r="G11" i="3"/>
  <c r="G5" i="3"/>
  <c r="D6" i="3"/>
  <c r="I8" i="3"/>
  <c r="T8" i="3" s="1"/>
  <c r="X8" i="3" s="1"/>
  <c r="C10" i="3"/>
  <c r="I12" i="3"/>
  <c r="T12" i="3" s="1"/>
  <c r="X12" i="3" s="1"/>
  <c r="G13" i="3"/>
  <c r="M47" i="3"/>
  <c r="Q32" i="2"/>
  <c r="Q46" i="2"/>
  <c r="O46" i="2" s="1"/>
  <c r="P36" i="2"/>
  <c r="P22" i="2"/>
  <c r="P10" i="2"/>
  <c r="H2" i="1"/>
  <c r="I16" i="1" s="1"/>
  <c r="H1" i="1"/>
  <c r="D26" i="1"/>
  <c r="U8" i="3"/>
  <c r="Y8" i="3" s="1"/>
  <c r="L20" i="2"/>
  <c r="S32" i="2"/>
  <c r="S33" i="2"/>
  <c r="I29" i="3"/>
  <c r="T29" i="3" s="1"/>
  <c r="X29" i="3" s="1"/>
  <c r="I44" i="3"/>
  <c r="I24" i="3"/>
  <c r="T24" i="3" s="1"/>
  <c r="X24" i="3" s="1"/>
  <c r="I47" i="3"/>
  <c r="T47" i="3" s="1"/>
  <c r="I32" i="3"/>
  <c r="T32" i="3" s="1"/>
  <c r="X32" i="3" s="1"/>
  <c r="I23" i="3"/>
  <c r="I19" i="3"/>
  <c r="T19" i="3" s="1"/>
  <c r="X19" i="3" s="1"/>
  <c r="I9" i="3"/>
  <c r="I31" i="3"/>
  <c r="T31" i="3" s="1"/>
  <c r="X31" i="3" s="1"/>
  <c r="I33" i="3"/>
  <c r="T33" i="3" s="1"/>
  <c r="X33" i="3" s="1"/>
  <c r="I22" i="3"/>
  <c r="T22" i="3" s="1"/>
  <c r="X22" i="3" s="1"/>
  <c r="I6" i="3"/>
  <c r="M8" i="3"/>
  <c r="M13" i="3"/>
  <c r="I14" i="3"/>
  <c r="T14" i="3" s="1"/>
  <c r="X14" i="3" s="1"/>
  <c r="M24" i="3"/>
  <c r="J29" i="3"/>
  <c r="M44" i="3"/>
  <c r="L22" i="2"/>
  <c r="L26" i="2"/>
  <c r="S44" i="2"/>
  <c r="O44" i="2" s="1"/>
  <c r="Q45" i="2"/>
  <c r="F1" i="3"/>
  <c r="N1" i="3"/>
  <c r="C8" i="3"/>
  <c r="C21" i="3"/>
  <c r="C24" i="3"/>
  <c r="T44" i="3"/>
  <c r="H12" i="3"/>
  <c r="B10" i="3"/>
  <c r="B23" i="3"/>
  <c r="C23" i="3"/>
  <c r="L27" i="2"/>
  <c r="L41" i="2"/>
  <c r="L45" i="2"/>
  <c r="C33" i="3"/>
  <c r="C47" i="3"/>
  <c r="C43" i="3"/>
  <c r="C32" i="3"/>
  <c r="C46" i="3"/>
  <c r="C42" i="3"/>
  <c r="C30" i="3"/>
  <c r="C22" i="3"/>
  <c r="C16" i="3"/>
  <c r="C12" i="3"/>
  <c r="C29" i="3"/>
  <c r="K1" i="3"/>
  <c r="C49" i="3"/>
  <c r="O33" i="3"/>
  <c r="U33" i="3" s="1"/>
  <c r="Y33" i="3" s="1"/>
  <c r="O10" i="3"/>
  <c r="O14" i="3"/>
  <c r="U14" i="3" s="1"/>
  <c r="Y14" i="3" s="1"/>
  <c r="O20" i="3"/>
  <c r="U20" i="3" s="1"/>
  <c r="Y20" i="3" s="1"/>
  <c r="O24" i="3"/>
  <c r="U24" i="3" s="1"/>
  <c r="Y24" i="3" s="1"/>
  <c r="O44" i="3"/>
  <c r="U44" i="3" s="1"/>
  <c r="Y44" i="3" s="1"/>
  <c r="O48" i="3"/>
  <c r="U48" i="3" s="1"/>
  <c r="Y48" i="3" s="1"/>
  <c r="O25" i="3"/>
  <c r="U25" i="3" s="1"/>
  <c r="Y25" i="3" s="1"/>
  <c r="O45" i="3"/>
  <c r="U45" i="3" s="1"/>
  <c r="Y45" i="3" s="1"/>
  <c r="O49" i="3"/>
  <c r="U49" i="3" s="1"/>
  <c r="Y49" i="3" s="1"/>
  <c r="O29" i="3"/>
  <c r="U29" i="3" s="1"/>
  <c r="L7" i="3" l="1"/>
  <c r="L31" i="3"/>
  <c r="L20" i="3"/>
  <c r="E13" i="3"/>
  <c r="E46" i="3"/>
  <c r="L8" i="3"/>
  <c r="L15" i="3"/>
  <c r="L19" i="3"/>
  <c r="L44" i="3"/>
  <c r="D11" i="3"/>
  <c r="D19" i="3"/>
  <c r="R19" i="3" s="1"/>
  <c r="V19" i="3" s="1"/>
  <c r="G30" i="3"/>
  <c r="L33" i="3"/>
  <c r="L42" i="3"/>
  <c r="L32" i="3"/>
  <c r="D46" i="3"/>
  <c r="R46" i="3" s="1"/>
  <c r="V46" i="3" s="1"/>
  <c r="E5" i="3"/>
  <c r="L9" i="3"/>
  <c r="E32" i="3"/>
  <c r="E11" i="3"/>
  <c r="L22" i="3"/>
  <c r="L45" i="3"/>
  <c r="L43" i="3"/>
  <c r="D33" i="3"/>
  <c r="D25" i="3"/>
  <c r="R25" i="3" s="1"/>
  <c r="V25" i="3" s="1"/>
  <c r="D43" i="3"/>
  <c r="L6" i="3"/>
  <c r="L25" i="3"/>
  <c r="D16" i="3"/>
  <c r="R16" i="3" s="1"/>
  <c r="V16" i="3" s="1"/>
  <c r="D21" i="3"/>
  <c r="R21" i="3" s="1"/>
  <c r="V21" i="3" s="1"/>
  <c r="D32" i="3"/>
  <c r="H47" i="3"/>
  <c r="E43" i="3"/>
  <c r="E21" i="3"/>
  <c r="L46" i="3"/>
  <c r="L49" i="3"/>
  <c r="L47" i="3"/>
  <c r="D5" i="3"/>
  <c r="D45" i="3"/>
  <c r="R45" i="3" s="1"/>
  <c r="V45" i="3" s="1"/>
  <c r="D14" i="3"/>
  <c r="R14" i="3" s="1"/>
  <c r="V14" i="3" s="1"/>
  <c r="U5" i="3"/>
  <c r="Y5" i="3" s="1"/>
  <c r="O32" i="2"/>
  <c r="D24" i="3"/>
  <c r="R24" i="3" s="1"/>
  <c r="V24" i="3" s="1"/>
  <c r="L12" i="3"/>
  <c r="D42" i="3"/>
  <c r="R42" i="3" s="1"/>
  <c r="V42" i="3" s="1"/>
  <c r="D31" i="3"/>
  <c r="R31" i="3" s="1"/>
  <c r="V31" i="3" s="1"/>
  <c r="L16" i="3"/>
  <c r="E8" i="3"/>
  <c r="E42" i="3"/>
  <c r="L11" i="3"/>
  <c r="L13" i="3"/>
  <c r="L24" i="3"/>
  <c r="D12" i="3"/>
  <c r="R12" i="3" s="1"/>
  <c r="V12" i="3" s="1"/>
  <c r="D7" i="3"/>
  <c r="R7" i="3" s="1"/>
  <c r="V7" i="3" s="1"/>
  <c r="D13" i="3"/>
  <c r="R13" i="3" s="1"/>
  <c r="V13" i="3" s="1"/>
  <c r="Z13" i="3" s="1"/>
  <c r="C42" i="1" s="1"/>
  <c r="D48" i="3"/>
  <c r="O31" i="2"/>
  <c r="O30" i="2"/>
  <c r="I15" i="3"/>
  <c r="T15" i="3" s="1"/>
  <c r="X15" i="3" s="1"/>
  <c r="I46" i="3"/>
  <c r="T46" i="3" s="1"/>
  <c r="I23" i="1" s="1"/>
  <c r="I43" i="3"/>
  <c r="T43" i="3" s="1"/>
  <c r="O10" i="2"/>
  <c r="E12" i="3"/>
  <c r="E24" i="3"/>
  <c r="E15" i="3"/>
  <c r="E31" i="3"/>
  <c r="I21" i="3"/>
  <c r="T21" i="3" s="1"/>
  <c r="X21" i="3" s="1"/>
  <c r="D30" i="3"/>
  <c r="D49" i="3"/>
  <c r="R49" i="3" s="1"/>
  <c r="V49" i="3" s="1"/>
  <c r="D47" i="3"/>
  <c r="U9" i="3"/>
  <c r="Y9" i="3" s="1"/>
  <c r="G46" i="3"/>
  <c r="O36" i="2"/>
  <c r="E25" i="3"/>
  <c r="R9" i="3"/>
  <c r="V9" i="3" s="1"/>
  <c r="T9" i="3"/>
  <c r="X9" i="3" s="1"/>
  <c r="O45" i="2"/>
  <c r="I7" i="3"/>
  <c r="T7" i="3" s="1"/>
  <c r="X7" i="3" s="1"/>
  <c r="I13" i="3"/>
  <c r="T13" i="3" s="1"/>
  <c r="X13" i="3" s="1"/>
  <c r="I48" i="3"/>
  <c r="T48" i="3" s="1"/>
  <c r="E19" i="3"/>
  <c r="E44" i="3"/>
  <c r="D8" i="3"/>
  <c r="R8" i="3" s="1"/>
  <c r="V8" i="3" s="1"/>
  <c r="Z8" i="3" s="1"/>
  <c r="C37" i="1" s="1"/>
  <c r="D10" i="3"/>
  <c r="R10" i="3" s="1"/>
  <c r="V10" i="3" s="1"/>
  <c r="H23" i="3"/>
  <c r="H25" i="3"/>
  <c r="H46" i="3"/>
  <c r="H43" i="3"/>
  <c r="O22" i="2"/>
  <c r="M12" i="3"/>
  <c r="M16" i="3"/>
  <c r="M42" i="3"/>
  <c r="O41" i="2"/>
  <c r="H31" i="3"/>
  <c r="H7" i="3"/>
  <c r="H44" i="3"/>
  <c r="H16" i="3"/>
  <c r="M48" i="3"/>
  <c r="M9" i="3"/>
  <c r="M19" i="3"/>
  <c r="H10" i="3"/>
  <c r="H33" i="3"/>
  <c r="H9" i="3"/>
  <c r="H11" i="3"/>
  <c r="H22" i="3"/>
  <c r="M7" i="3"/>
  <c r="M21" i="3"/>
  <c r="M33" i="3"/>
  <c r="J23" i="3"/>
  <c r="J13" i="3"/>
  <c r="H6" i="3"/>
  <c r="H48" i="3"/>
  <c r="H29" i="3"/>
  <c r="H13" i="3"/>
  <c r="H15" i="3"/>
  <c r="H30" i="3"/>
  <c r="M22" i="3"/>
  <c r="M25" i="3"/>
  <c r="I20" i="3"/>
  <c r="T20" i="3" s="1"/>
  <c r="X20" i="3" s="1"/>
  <c r="I49" i="3"/>
  <c r="T49" i="3" s="1"/>
  <c r="I5" i="3"/>
  <c r="T5" i="3" s="1"/>
  <c r="X5" i="3" s="1"/>
  <c r="I10" i="3"/>
  <c r="T10" i="3" s="1"/>
  <c r="X10" i="3" s="1"/>
  <c r="I16" i="3"/>
  <c r="T16" i="3" s="1"/>
  <c r="X16" i="3" s="1"/>
  <c r="H5" i="3"/>
  <c r="H20" i="3"/>
  <c r="H19" i="3"/>
  <c r="H21" i="3"/>
  <c r="H42" i="3"/>
  <c r="H14" i="3"/>
  <c r="O33" i="2"/>
  <c r="M32" i="3"/>
  <c r="M45" i="3"/>
  <c r="H8" i="3"/>
  <c r="H24" i="3"/>
  <c r="H32" i="3"/>
  <c r="H45" i="3"/>
  <c r="M6" i="3"/>
  <c r="M5" i="3"/>
  <c r="M30" i="3"/>
  <c r="E29" i="3"/>
  <c r="E9" i="3"/>
  <c r="E22" i="3"/>
  <c r="E48" i="3"/>
  <c r="E14" i="3"/>
  <c r="E23" i="3"/>
  <c r="Y29" i="3"/>
  <c r="B37" i="3"/>
  <c r="I10" i="1" s="1"/>
  <c r="X46" i="3"/>
  <c r="X43" i="3"/>
  <c r="I20" i="1"/>
  <c r="K33" i="3"/>
  <c r="P33" i="3" s="1"/>
  <c r="Q33" i="3" s="1"/>
  <c r="K47" i="3"/>
  <c r="K43" i="3"/>
  <c r="K32" i="3"/>
  <c r="K46" i="3"/>
  <c r="K42" i="3"/>
  <c r="K30" i="3"/>
  <c r="K22" i="3"/>
  <c r="K16" i="3"/>
  <c r="K12" i="3"/>
  <c r="K29" i="3"/>
  <c r="K44" i="3"/>
  <c r="K25" i="3"/>
  <c r="K13" i="3"/>
  <c r="K9" i="3"/>
  <c r="K24" i="3"/>
  <c r="K19" i="3"/>
  <c r="K14" i="3"/>
  <c r="K11" i="3"/>
  <c r="K6" i="3"/>
  <c r="K31" i="3"/>
  <c r="K49" i="3"/>
  <c r="K20" i="3"/>
  <c r="K8" i="3"/>
  <c r="K10" i="3"/>
  <c r="K45" i="3"/>
  <c r="K21" i="3"/>
  <c r="K5" i="3"/>
  <c r="K48" i="3"/>
  <c r="K23" i="3"/>
  <c r="K15" i="3"/>
  <c r="K7" i="3"/>
  <c r="F47" i="3"/>
  <c r="S47" i="3" s="1"/>
  <c r="W47" i="3" s="1"/>
  <c r="F43" i="3"/>
  <c r="S43" i="3" s="1"/>
  <c r="W43" i="3" s="1"/>
  <c r="F32" i="3"/>
  <c r="S32" i="3" s="1"/>
  <c r="W32" i="3" s="1"/>
  <c r="F23" i="3"/>
  <c r="S23" i="3" s="1"/>
  <c r="W23" i="3" s="1"/>
  <c r="F19" i="3"/>
  <c r="S19" i="3" s="1"/>
  <c r="W19" i="3" s="1"/>
  <c r="F13" i="3"/>
  <c r="S13" i="3" s="1"/>
  <c r="W13" i="3" s="1"/>
  <c r="F46" i="3"/>
  <c r="S46" i="3" s="1"/>
  <c r="W46" i="3" s="1"/>
  <c r="Z46" i="3" s="1"/>
  <c r="F42" i="3"/>
  <c r="S42" i="3" s="1"/>
  <c r="W42" i="3" s="1"/>
  <c r="F30" i="3"/>
  <c r="S30" i="3" s="1"/>
  <c r="W30" i="3" s="1"/>
  <c r="F22" i="3"/>
  <c r="F16" i="3"/>
  <c r="S16" i="3" s="1"/>
  <c r="W16" i="3" s="1"/>
  <c r="F12" i="3"/>
  <c r="S12" i="3" s="1"/>
  <c r="W12" i="3" s="1"/>
  <c r="F29" i="3"/>
  <c r="S29" i="3" s="1"/>
  <c r="W29" i="3" s="1"/>
  <c r="F48" i="3"/>
  <c r="S48" i="3" s="1"/>
  <c r="W48" i="3" s="1"/>
  <c r="F44" i="3"/>
  <c r="S44" i="3" s="1"/>
  <c r="W44" i="3" s="1"/>
  <c r="F24" i="3"/>
  <c r="S24" i="3" s="1"/>
  <c r="W24" i="3" s="1"/>
  <c r="Z24" i="3" s="1"/>
  <c r="F20" i="3"/>
  <c r="F14" i="3"/>
  <c r="S14" i="3" s="1"/>
  <c r="W14" i="3" s="1"/>
  <c r="Z14" i="3" s="1"/>
  <c r="C43" i="1" s="1"/>
  <c r="F10" i="3"/>
  <c r="F6" i="3"/>
  <c r="S6" i="3" s="1"/>
  <c r="W6" i="3" s="1"/>
  <c r="F45" i="3"/>
  <c r="S45" i="3" s="1"/>
  <c r="W45" i="3" s="1"/>
  <c r="F25" i="3"/>
  <c r="F33" i="3"/>
  <c r="S33" i="3" s="1"/>
  <c r="W33" i="3" s="1"/>
  <c r="F9" i="3"/>
  <c r="S9" i="3" s="1"/>
  <c r="W9" i="3" s="1"/>
  <c r="F21" i="3"/>
  <c r="S21" i="3" s="1"/>
  <c r="W21" i="3" s="1"/>
  <c r="Z21" i="3" s="1"/>
  <c r="F31" i="3"/>
  <c r="S31" i="3" s="1"/>
  <c r="W31" i="3" s="1"/>
  <c r="F49" i="3"/>
  <c r="S49" i="3" s="1"/>
  <c r="W49" i="3" s="1"/>
  <c r="F7" i="3"/>
  <c r="S7" i="3" s="1"/>
  <c r="W7" i="3" s="1"/>
  <c r="F11" i="3"/>
  <c r="S11" i="3" s="1"/>
  <c r="W11" i="3" s="1"/>
  <c r="F8" i="3"/>
  <c r="S8" i="3" s="1"/>
  <c r="W8" i="3" s="1"/>
  <c r="F5" i="3"/>
  <c r="S5" i="3" s="1"/>
  <c r="W5" i="3" s="1"/>
  <c r="F15" i="3"/>
  <c r="S15" i="3" s="1"/>
  <c r="W15" i="3" s="1"/>
  <c r="Z15" i="3" s="1"/>
  <c r="C44" i="1" s="1"/>
  <c r="X47" i="3"/>
  <c r="I24" i="1"/>
  <c r="T6" i="3"/>
  <c r="X6" i="3" s="1"/>
  <c r="R6" i="3"/>
  <c r="V6" i="3" s="1"/>
  <c r="U6" i="3"/>
  <c r="Y6" i="3" s="1"/>
  <c r="R5" i="3"/>
  <c r="V5" i="3" s="1"/>
  <c r="X49" i="3"/>
  <c r="I26" i="1"/>
  <c r="R43" i="3"/>
  <c r="V43" i="3" s="1"/>
  <c r="U30" i="3"/>
  <c r="R30" i="3"/>
  <c r="V30" i="3" s="1"/>
  <c r="T30" i="3"/>
  <c r="X30" i="3" s="1"/>
  <c r="R47" i="3"/>
  <c r="V47" i="3" s="1"/>
  <c r="R32" i="3"/>
  <c r="V32" i="3" s="1"/>
  <c r="X42" i="3"/>
  <c r="I19" i="1"/>
  <c r="T23" i="3"/>
  <c r="X23" i="3" s="1"/>
  <c r="R23" i="3"/>
  <c r="V23" i="3" s="1"/>
  <c r="D24" i="1"/>
  <c r="U23" i="3"/>
  <c r="Y23" i="3" s="1"/>
  <c r="R48" i="3"/>
  <c r="V48" i="3" s="1"/>
  <c r="X44" i="3"/>
  <c r="I21" i="1"/>
  <c r="U10" i="3"/>
  <c r="Y10" i="3" s="1"/>
  <c r="X48" i="3"/>
  <c r="I25" i="1"/>
  <c r="Z19" i="3"/>
  <c r="R33" i="3"/>
  <c r="V33" i="3" s="1"/>
  <c r="Z33" i="3" s="1"/>
  <c r="F34" i="1" s="1"/>
  <c r="N47" i="3"/>
  <c r="N43" i="3"/>
  <c r="N32" i="3"/>
  <c r="N23" i="3"/>
  <c r="P23" i="3" s="1"/>
  <c r="N19" i="3"/>
  <c r="N13" i="3"/>
  <c r="N46" i="3"/>
  <c r="N42" i="3"/>
  <c r="N30" i="3"/>
  <c r="N22" i="3"/>
  <c r="N16" i="3"/>
  <c r="N12" i="3"/>
  <c r="N29" i="3"/>
  <c r="N48" i="3"/>
  <c r="N44" i="3"/>
  <c r="N24" i="3"/>
  <c r="N20" i="3"/>
  <c r="N14" i="3"/>
  <c r="N10" i="3"/>
  <c r="N6" i="3"/>
  <c r="N33" i="3"/>
  <c r="N21" i="3"/>
  <c r="N31" i="3"/>
  <c r="N8" i="3"/>
  <c r="N49" i="3"/>
  <c r="N45" i="3"/>
  <c r="N15" i="3"/>
  <c r="N9" i="3"/>
  <c r="N11" i="3"/>
  <c r="N7" i="3"/>
  <c r="N25" i="3"/>
  <c r="N5" i="3"/>
  <c r="X45" i="3"/>
  <c r="I22" i="1"/>
  <c r="Z12" i="3"/>
  <c r="C41" i="1" s="1"/>
  <c r="R11" i="3"/>
  <c r="V11" i="3" s="1"/>
  <c r="U11" i="3"/>
  <c r="Y11" i="3" s="1"/>
  <c r="T11" i="3"/>
  <c r="X11" i="3" s="1"/>
  <c r="P11" i="3"/>
  <c r="Q11" i="3" s="1"/>
  <c r="D40" i="1" s="1"/>
  <c r="P8" i="3" l="1"/>
  <c r="Q8" i="3" s="1"/>
  <c r="D37" i="1" s="1"/>
  <c r="Z31" i="3"/>
  <c r="P48" i="3"/>
  <c r="Q48" i="3" s="1"/>
  <c r="P47" i="3"/>
  <c r="Q47" i="3" s="1"/>
  <c r="Z49" i="3"/>
  <c r="P10" i="3"/>
  <c r="Q10" i="3" s="1"/>
  <c r="D39" i="1" s="1"/>
  <c r="Z16" i="3"/>
  <c r="C45" i="1" s="1"/>
  <c r="Z29" i="3"/>
  <c r="C9" i="1" s="1"/>
  <c r="P29" i="3"/>
  <c r="Q29" i="3" s="1"/>
  <c r="G34" i="1" s="1"/>
  <c r="Z5" i="3"/>
  <c r="C34" i="1" s="1"/>
  <c r="P13" i="3"/>
  <c r="Q13" i="3" s="1"/>
  <c r="D42" i="1" s="1"/>
  <c r="Z45" i="3"/>
  <c r="Z9" i="3"/>
  <c r="C38" i="1" s="1"/>
  <c r="Z44" i="3"/>
  <c r="P31" i="3"/>
  <c r="Q31" i="3" s="1"/>
  <c r="G36" i="1" s="1"/>
  <c r="P44" i="3"/>
  <c r="Q44" i="3" s="1"/>
  <c r="Z7" i="3"/>
  <c r="C36" i="1" s="1"/>
  <c r="P5" i="3"/>
  <c r="Q5" i="3" s="1"/>
  <c r="D34" i="1" s="1"/>
  <c r="S10" i="3"/>
  <c r="W10" i="3" s="1"/>
  <c r="Z10" i="3" s="1"/>
  <c r="C39" i="1" s="1"/>
  <c r="Z47" i="3"/>
  <c r="P6" i="3"/>
  <c r="Q6" i="3" s="1"/>
  <c r="D35" i="1" s="1"/>
  <c r="P46" i="3"/>
  <c r="Q46" i="3" s="1"/>
  <c r="Z42" i="3"/>
  <c r="P19" i="3"/>
  <c r="E20" i="1" s="1"/>
  <c r="P16" i="3"/>
  <c r="Q16" i="3" s="1"/>
  <c r="D45" i="1" s="1"/>
  <c r="P32" i="3"/>
  <c r="Q32" i="3" s="1"/>
  <c r="G37" i="1" s="1"/>
  <c r="P14" i="3"/>
  <c r="Q14" i="3" s="1"/>
  <c r="D43" i="1" s="1"/>
  <c r="P43" i="3"/>
  <c r="Q43" i="3" s="1"/>
  <c r="P49" i="3"/>
  <c r="Q49" i="3" s="1"/>
  <c r="P30" i="3"/>
  <c r="Q30" i="3" s="1"/>
  <c r="G35" i="1" s="1"/>
  <c r="Z32" i="3"/>
  <c r="F37" i="1" s="1"/>
  <c r="Z43" i="3"/>
  <c r="E24" i="1"/>
  <c r="Q23" i="3"/>
  <c r="C24" i="1" s="1"/>
  <c r="F36" i="1"/>
  <c r="C11" i="1"/>
  <c r="S20" i="3"/>
  <c r="W20" i="3" s="1"/>
  <c r="Z20" i="3" s="1"/>
  <c r="P20" i="3"/>
  <c r="P9" i="3"/>
  <c r="Q9" i="3" s="1"/>
  <c r="D38" i="1" s="1"/>
  <c r="B38" i="3"/>
  <c r="I11" i="1" s="1"/>
  <c r="Y30" i="3"/>
  <c r="Z30" i="3" s="1"/>
  <c r="Z48" i="3"/>
  <c r="Z6" i="3"/>
  <c r="C35" i="1" s="1"/>
  <c r="S25" i="3"/>
  <c r="W25" i="3" s="1"/>
  <c r="Z25" i="3" s="1"/>
  <c r="P25" i="3"/>
  <c r="P42" i="3"/>
  <c r="Q42" i="3" s="1"/>
  <c r="Z23" i="3"/>
  <c r="P15" i="3"/>
  <c r="Q15" i="3" s="1"/>
  <c r="D44" i="1" s="1"/>
  <c r="P21" i="3"/>
  <c r="Z11" i="3"/>
  <c r="C40" i="1" s="1"/>
  <c r="P7" i="3"/>
  <c r="Q7" i="3" s="1"/>
  <c r="D36" i="1" s="1"/>
  <c r="P12" i="3"/>
  <c r="Q12" i="3" s="1"/>
  <c r="D41" i="1" s="1"/>
  <c r="P45" i="3"/>
  <c r="Q45" i="3" s="1"/>
  <c r="P22" i="3"/>
  <c r="S22" i="3"/>
  <c r="W22" i="3" s="1"/>
  <c r="Z22" i="3" s="1"/>
  <c r="P24" i="3"/>
  <c r="C12" i="1" l="1"/>
  <c r="Q19" i="3"/>
  <c r="C20" i="1" s="1"/>
  <c r="E26" i="1"/>
  <c r="Q25" i="3"/>
  <c r="C26" i="1" s="1"/>
  <c r="F35" i="1"/>
  <c r="C10" i="1"/>
  <c r="E25" i="1"/>
  <c r="Q24" i="3"/>
  <c r="C25" i="1" s="1"/>
  <c r="E22" i="1"/>
  <c r="Q21" i="3"/>
  <c r="C22" i="1" s="1"/>
  <c r="E23" i="1"/>
  <c r="Q22" i="3"/>
  <c r="C23" i="1" s="1"/>
  <c r="E21" i="1"/>
  <c r="Q20" i="3"/>
  <c r="C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0" authorId="0" shapeId="0" xr:uid="{00000000-0006-0000-0100-000002000000}">
      <text>
        <r>
          <rPr>
            <sz val="10"/>
            <color rgb="FF000000"/>
            <rFont val="Arial"/>
            <scheme val="minor"/>
          </rPr>
          <t>20년 이상 국채 만기 채권</t>
        </r>
      </text>
    </comment>
    <comment ref="F33" authorId="0" shapeId="0" xr:uid="{00000000-0006-0000-0100-000001000000}">
      <text>
        <r>
          <rPr>
            <sz val="10"/>
            <color rgb="FF000000"/>
            <rFont val="Arial"/>
            <scheme val="minor"/>
          </rPr>
          <t>주식과 채권이 둘다 무너질때는 원자재가 빛나는 경우가 있다</t>
        </r>
      </text>
    </comment>
    <comment ref="F41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받는 이자와 연금이 인플레이션과 연동되는 채권
</t>
        </r>
      </text>
    </comment>
    <comment ref="F43" authorId="0" shapeId="0" xr:uid="{00000000-0006-0000-0100-000004000000}">
      <text>
        <r>
          <rPr>
            <sz val="10"/>
            <color rgb="FF000000"/>
            <rFont val="Arial"/>
            <scheme val="minor"/>
          </rPr>
          <t>신용이 높은 회사채권</t>
        </r>
      </text>
    </comment>
    <comment ref="F44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신용이 낮은 회사채권
</t>
        </r>
      </text>
    </comment>
  </commentList>
</comments>
</file>

<file path=xl/sharedStrings.xml><?xml version="1.0" encoding="utf-8"?>
<sst xmlns="http://schemas.openxmlformats.org/spreadsheetml/2006/main" count="821" uniqueCount="329">
  <si>
    <t>안내
B열에 추적할 주식의 종목코드를 입력합니다.
H열에 평가금액을 추적할 주식의 수량을 입력합니다.</t>
  </si>
  <si>
    <t>현재가</t>
  </si>
  <si>
    <t>제공:</t>
  </si>
  <si>
    <t>Google Finance</t>
  </si>
  <si>
    <t>관심종목</t>
  </si>
  <si>
    <t>평가금액</t>
  </si>
  <si>
    <t>전략 명</t>
  </si>
  <si>
    <t>투자비율</t>
  </si>
  <si>
    <t>포트폴리오 명</t>
  </si>
  <si>
    <t>종목코드</t>
  </si>
  <si>
    <t>거래소
(선택사항)</t>
  </si>
  <si>
    <t>종목명</t>
  </si>
  <si>
    <t>전일대비</t>
  </si>
  <si>
    <t>등락률(%)</t>
  </si>
  <si>
    <t>주식수</t>
  </si>
  <si>
    <t>종목 합계</t>
  </si>
  <si>
    <t>모멘텀스코어</t>
  </si>
  <si>
    <t>1개월수익률</t>
  </si>
  <si>
    <t>3개월수익률</t>
  </si>
  <si>
    <t>6개월수익률</t>
  </si>
  <si>
    <t>12개월수익률</t>
  </si>
  <si>
    <t>12개월 이동평균</t>
  </si>
  <si>
    <t>현재가격/
12개월이동평균</t>
  </si>
  <si>
    <t>NASDAQ</t>
  </si>
  <si>
    <t>BAA
공격자산</t>
  </si>
  <si>
    <t>SPY</t>
  </si>
  <si>
    <t>QQQ</t>
  </si>
  <si>
    <t>IWM</t>
  </si>
  <si>
    <t>VGK</t>
  </si>
  <si>
    <t>전체 투자금</t>
  </si>
  <si>
    <t>채권</t>
  </si>
  <si>
    <t>EWJ</t>
  </si>
  <si>
    <t>VWO</t>
  </si>
  <si>
    <t>VEA</t>
  </si>
  <si>
    <t>한국 개별주 퀀트</t>
  </si>
  <si>
    <t>VNQ</t>
  </si>
  <si>
    <t>안내
셀 B4에 종목코드를 입력합니다.</t>
  </si>
  <si>
    <t>변형 듀얼모멘텀</t>
  </si>
  <si>
    <t>DBC</t>
  </si>
  <si>
    <t>동적자산배분</t>
  </si>
  <si>
    <r>
      <rPr>
        <b/>
        <sz val="11"/>
        <color rgb="FFF5773D"/>
        <rFont val="Arial"/>
        <scheme val="minor"/>
      </rPr>
      <t>ㅣ</t>
    </r>
    <r>
      <rPr>
        <sz val="11"/>
        <color rgb="FF000000"/>
        <rFont val="Arial"/>
        <scheme val="minor"/>
      </rPr>
      <t>BAA중도형_공격자산 12종목</t>
    </r>
  </si>
  <si>
    <t>spy</t>
  </si>
  <si>
    <t>BAA</t>
  </si>
  <si>
    <t>&lt;&lt; 종목코드 입력</t>
  </si>
  <si>
    <t>GLD</t>
  </si>
  <si>
    <t>&lt;&lt; 필요한 경우 거래소 입력(예: NASDAQ, NYSE)</t>
  </si>
  <si>
    <t>LQD</t>
  </si>
  <si>
    <t>HYG</t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</si>
  <si>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BAA</t>
    </r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</si>
  <si>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변형 듀얼모멘텀</t>
    </r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</si>
  <si>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채권 동적자산배분</t>
    </r>
  </si>
  <si>
    <t xml:space="preserve">Q. 카나리아 자산 중 "0"이하인 모멘텀 스코어가 있나요?
</t>
  </si>
  <si>
    <t>BAA
카나리아</t>
  </si>
  <si>
    <t xml:space="preserve">Step1. 공격자산 수익률이 모두 "0"이상인 경우,
수익률이 높은 자산에 100%투자합니다
</t>
  </si>
  <si>
    <t>미국 주식</t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</si>
  <si>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BAA중도형_카나리아 자산</t>
    </r>
  </si>
  <si>
    <t>구간</t>
  </si>
  <si>
    <t>시가총액</t>
  </si>
  <si>
    <t>PER</t>
  </si>
  <si>
    <t>베타계수</t>
  </si>
  <si>
    <t>현재</t>
  </si>
  <si>
    <t>전 날</t>
  </si>
  <si>
    <t>1개월 전</t>
  </si>
  <si>
    <t>2개월 전</t>
  </si>
  <si>
    <t>3개월 전</t>
  </si>
  <si>
    <t>4개월 전</t>
  </si>
  <si>
    <t>5개월 전</t>
  </si>
  <si>
    <t>6개월 전</t>
  </si>
  <si>
    <t>7개월 전</t>
  </si>
  <si>
    <t>8개월 전</t>
  </si>
  <si>
    <t>9개월 전</t>
  </si>
  <si>
    <t>10개월 전</t>
  </si>
  <si>
    <t>11개월 전</t>
  </si>
  <si>
    <t>12개월 전</t>
  </si>
  <si>
    <t xml:space="preserve">모멘텀 스코어가 0이하인 ETF가 하나라도 있으면 공격자산 투자중단-&gt;안전자산으로 이동 </t>
  </si>
  <si>
    <t>EFA</t>
  </si>
  <si>
    <t>현재가격/12개월 이동평균</t>
  </si>
  <si>
    <t>선진국 주식</t>
  </si>
  <si>
    <t>1개월 수익률</t>
  </si>
  <si>
    <t>3개월 수익률</t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</si>
  <si>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변형 듀얼모멘텀_공격자산</t>
    </r>
  </si>
  <si>
    <t>6개월 수익률</t>
  </si>
  <si>
    <t>최근 1년 수익률</t>
  </si>
  <si>
    <t>1개월 수익률*12</t>
  </si>
  <si>
    <t>12 Months</t>
  </si>
  <si>
    <t>3개월 수익률*4</t>
  </si>
  <si>
    <t>6개월 수익률*2</t>
  </si>
  <si>
    <t>12개월 수익률*1</t>
  </si>
  <si>
    <t>모멘텀 스코어</t>
  </si>
  <si>
    <t>EEM</t>
  </si>
  <si>
    <t>개발도상국</t>
  </si>
  <si>
    <t>AGG</t>
  </si>
  <si>
    <t>혼합채권</t>
  </si>
  <si>
    <t xml:space="preserve">Step2. SPY의 수익률이 "0"이하인 경우, 
안전자산 중 수익률 높은 채권 3개를 매수합니다
But, 수익률이 "0" 이하인 자산은 현금보유
</t>
  </si>
  <si>
    <r>
      <rPr>
        <b/>
        <i/>
        <u/>
        <sz val="10"/>
        <color rgb="FF000000"/>
        <rFont val="Roboto"/>
      </rPr>
      <t xml:space="preserve"> </t>
    </r>
    <r>
      <rPr>
        <b/>
        <i/>
        <u/>
        <sz val="11"/>
        <color rgb="FF000000"/>
        <rFont val="Roboto"/>
      </rPr>
      <t xml:space="preserve"> A-1. 네, "0" 이하가 있어요</t>
    </r>
    <r>
      <rPr>
        <b/>
        <i/>
        <u/>
        <sz val="10"/>
        <color rgb="FF666666"/>
        <rFont val="Roboto"/>
      </rPr>
      <t xml:space="preserve">
 </t>
    </r>
  </si>
  <si>
    <t>BAA
안전자산</t>
  </si>
  <si>
    <t>공격자산 투자중단! ↓아래있는 안전자산의 최근수익률이 높은 3개 자산에 투자합니다
But,(현재가격&lt;12개월 이동평균)이면 현금으로 보유</t>
  </si>
  <si>
    <t>미국회사채</t>
  </si>
  <si>
    <t>종목당 투자금액</t>
  </si>
  <si>
    <t>종목당 투자액</t>
  </si>
  <si>
    <t>현재가격/12개월 이동평균이 높은 3개에 투자
But,현재가격이 이동평균보다 낮으면 현금으로 보유</t>
  </si>
  <si>
    <t>IEF</t>
  </si>
  <si>
    <t>미국중기국채</t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</si>
  <si>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변형 듀얼모멘텀_안전자산</t>
    </r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</si>
  <si>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BAA 안전자산</t>
    </r>
  </si>
  <si>
    <t>BIL</t>
  </si>
  <si>
    <t>미국초단기채권</t>
  </si>
  <si>
    <t>216 9002</t>
  </si>
  <si>
    <t>현재/12개월이평</t>
  </si>
  <si>
    <t>TLT</t>
  </si>
  <si>
    <t>미국장기국채</t>
  </si>
  <si>
    <t>TIP</t>
  </si>
  <si>
    <t>미국물가연동채</t>
  </si>
  <si>
    <t>BND</t>
  </si>
  <si>
    <t>미국잡채권</t>
  </si>
  <si>
    <t>원자재</t>
  </si>
  <si>
    <t>변형듀얼모멘텀</t>
  </si>
  <si>
    <t>공격자산</t>
  </si>
  <si>
    <t xml:space="preserve">둘중 높은자산에 투자
But, 1년 수익이 0 이하면 </t>
  </si>
  <si>
    <r>
      <rPr>
        <b/>
        <i/>
        <u/>
        <sz val="10"/>
        <color rgb="FF000000"/>
        <rFont val="Roboto"/>
      </rPr>
      <t xml:space="preserve">  A-2. 모두  "0" 보다 커요(BAA중도형)</t>
    </r>
    <r>
      <rPr>
        <b/>
        <i/>
        <u/>
        <sz val="10"/>
        <color rgb="FF000000"/>
        <rFont val="Roboto"/>
      </rPr>
      <t xml:space="preserve">
</t>
    </r>
  </si>
  <si>
    <r>
      <rPr>
        <b/>
        <i/>
        <u/>
        <sz val="11"/>
        <color rgb="FF000000"/>
        <rFont val="Roboto"/>
      </rPr>
      <t xml:space="preserve">  A-2. 모두  "0" 보다 커요(BAA공격형)</t>
    </r>
    <r>
      <rPr>
        <b/>
        <i/>
        <u/>
        <sz val="10"/>
        <color rgb="FF000000"/>
        <rFont val="Roboto"/>
      </rPr>
      <t xml:space="preserve">
</t>
    </r>
  </si>
  <si>
    <t>안전자산
8개 채권</t>
  </si>
  <si>
    <t>SHY</t>
  </si>
  <si>
    <t>미국단기국채</t>
  </si>
  <si>
    <t>↓아래있는 [BAA중도형_공격자산 12종목] 또는 [BAA공격형]중 모멘텀 스코어가 높은 6개 자산에 투자합니다</t>
  </si>
  <si>
    <t>6개월 최고수익 3개 채권매수
But, 3개 채권중 0이하인 자산은 현금으로 보유</t>
  </si>
  <si>
    <t>BAA 공격형 투자는 최근수익률이 높은 1개 자산에 몰빵! 합니다</t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</si>
  <si>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BAA 중도형_공격자산 12종목</t>
    </r>
  </si>
  <si>
    <r>
      <rPr>
        <b/>
        <sz val="10"/>
        <color rgb="FF000000"/>
        <rFont val="Roboto"/>
      </rPr>
      <t>ㅣ</t>
    </r>
    <r>
      <rPr>
        <sz val="10"/>
        <color rgb="FF000000"/>
        <rFont val="Roboto"/>
      </rPr>
      <t>BAA공격형(수익↑, MDD↑)</t>
    </r>
  </si>
  <si>
    <t>미국하이일드</t>
  </si>
  <si>
    <t>BWX</t>
  </si>
  <si>
    <t>국제채권</t>
  </si>
  <si>
    <t>EMB</t>
  </si>
  <si>
    <t>개도국채권</t>
  </si>
  <si>
    <t>vea</t>
  </si>
  <si>
    <t>vnq</t>
  </si>
  <si>
    <t>6 Months</t>
  </si>
  <si>
    <r>
      <rPr>
        <b/>
        <sz val="11"/>
        <color rgb="FFF5773D"/>
        <rFont val="Arial"/>
        <scheme val="minor"/>
      </rPr>
      <t>ㅣ</t>
    </r>
    <r>
      <rPr>
        <sz val="11"/>
        <color rgb="FF000000"/>
        <rFont val="Arial"/>
        <scheme val="minor"/>
      </rPr>
      <t>BAA중도형_안전자산</t>
    </r>
  </si>
  <si>
    <r>
      <rPr>
        <b/>
        <sz val="11"/>
        <color rgb="FFF5773D"/>
        <rFont val="Arial"/>
        <scheme val="minor"/>
      </rPr>
      <t>ㅣ</t>
    </r>
    <r>
      <rPr>
        <sz val="11"/>
        <color rgb="FF000000"/>
        <rFont val="Arial"/>
        <scheme val="minor"/>
      </rPr>
      <t>카나리아 자산군</t>
    </r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</si>
  <si>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변형듀얼모멘텀_공격자산</t>
    </r>
  </si>
  <si>
    <r>
      <rPr>
        <b/>
        <sz val="10"/>
        <color rgb="FFF5773D"/>
        <rFont val="Roboto"/>
      </rPr>
      <t>ㅣ</t>
    </r>
    <r>
      <rPr>
        <sz val="10"/>
        <color rgb="FF000000"/>
        <rFont val="Roboto"/>
      </rPr>
      <t>변형듀얼모멘텀_안전자산</t>
    </r>
  </si>
  <si>
    <t>ewj</t>
  </si>
  <si>
    <t>iwm</t>
  </si>
  <si>
    <t>vgk</t>
  </si>
  <si>
    <t>AAPL</t>
  </si>
  <si>
    <t>36 Months</t>
  </si>
  <si>
    <t>dbc</t>
  </si>
  <si>
    <t>bnd</t>
  </si>
  <si>
    <t>emb</t>
  </si>
  <si>
    <t>bwx</t>
  </si>
  <si>
    <t>hyg</t>
  </si>
  <si>
    <t>tip</t>
  </si>
  <si>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</si>
  <si>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</si>
  <si>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</si>
  <si>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</si>
  <si>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</si>
  <si>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</si>
  <si>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</si>
  <si>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김용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</si>
  <si>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</si>
  <si>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</si>
  <si>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</si>
  <si>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</si>
  <si>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</si>
  <si>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</si>
  <si>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</si>
  <si>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</si>
  <si>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</si>
  <si>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</si>
  <si>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</si>
  <si>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</si>
  <si>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</si>
  <si>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</si>
  <si>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</si>
  <si>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</si>
  <si>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</si>
  <si>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</si>
  <si>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</si>
  <si>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</si>
  <si>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금융수입</t>
  </si>
  <si>
    <t>급여</t>
  </si>
  <si>
    <t>기타수입</t>
  </si>
  <si>
    <t>사업수입</t>
  </si>
  <si>
    <t>상여금</t>
  </si>
  <si>
    <t>미분류</t>
  </si>
  <si>
    <t>월수입 총계</t>
  </si>
  <si>
    <t>필수</t>
    <phoneticPr fontId="67" type="noConversion"/>
  </si>
  <si>
    <t>경조/선물</t>
  </si>
  <si>
    <t>선택</t>
    <phoneticPr fontId="67" type="noConversion"/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</si>
  <si>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</si>
  <si>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</si>
  <si>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</si>
  <si>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</si>
  <si>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</si>
  <si>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</si>
  <si>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</si>
  <si>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</si>
  <si>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</si>
  <si>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</si>
  <si>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</si>
  <si>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</si>
  <si>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자녀/육아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</si>
  <si>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</si>
  <si>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</si>
  <si>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</si>
  <si>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</si>
  <si>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</si>
  <si>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</si>
  <si>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</si>
  <si>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</si>
  <si>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</si>
  <si>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</si>
  <si>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</si>
  <si>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</si>
  <si>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</si>
  <si>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AMA+급여 MMDA</t>
  </si>
  <si>
    <t>장기대출</t>
  </si>
  <si>
    <t>하나은행 마이너스 통장</t>
  </si>
  <si>
    <t>AMA+급여 저축예금</t>
  </si>
  <si>
    <t>가계일반자금대출(분할상환)-하나 아파트론(혼합금리형)</t>
  </si>
  <si>
    <t>MY 입출금통장</t>
  </si>
  <si>
    <t>NH주거래우대통장(비대면실명확인)</t>
  </si>
  <si>
    <t>2020년 2학기 일반상환학자금_등록금</t>
  </si>
  <si>
    <t>넘버엔 통장</t>
  </si>
  <si>
    <t>2021년 2학기 일반상환학자금_등록금</t>
  </si>
  <si>
    <t>달달 하나 통장</t>
  </si>
  <si>
    <t>2020년 1학기 일반상환학자금_등록금</t>
  </si>
  <si>
    <t>샐러리맨리치예금(스페셜플러스예금)</t>
  </si>
  <si>
    <t>2021년 1학기 일반상환학자금_등록금</t>
  </si>
  <si>
    <t>입출금통장</t>
  </si>
  <si>
    <t>저축예금</t>
  </si>
  <si>
    <t>저축예금(iM스마트통장)</t>
  </si>
  <si>
    <t>신탁 자산</t>
  </si>
  <si>
    <t>현금 자산</t>
  </si>
  <si>
    <t>현금</t>
  </si>
  <si>
    <t>저축성 자산</t>
  </si>
  <si>
    <t>전자금융 자산</t>
  </si>
  <si>
    <t>네이버페이 머니 - here****</t>
  </si>
  <si>
    <t>카카오페이 머니 - 010*****399</t>
  </si>
  <si>
    <t>토스머니</t>
  </si>
  <si>
    <t>투자성 자산</t>
  </si>
  <si>
    <t>키움똑똑한4차산업혁명ETF분할매수증권투자신탁[혼합-재간접형] Ce</t>
  </si>
  <si>
    <t>퀄컴</t>
  </si>
  <si>
    <t>케이뱅크</t>
  </si>
  <si>
    <t>TIGER 200</t>
  </si>
  <si>
    <t>ACE AI반도체TOP3+</t>
  </si>
  <si>
    <t>TIGER 소프트웨어</t>
  </si>
  <si>
    <t>비트마인 이머전 테크놀로지스</t>
  </si>
  <si>
    <t>스트래티지</t>
  </si>
  <si>
    <t>이더리움 2배 ETF</t>
  </si>
  <si>
    <t>메타 플랫폼스(페이스북)</t>
  </si>
  <si>
    <t>SK하이닉스</t>
  </si>
  <si>
    <t>삼성전자</t>
  </si>
  <si>
    <t>팔란티어 테크</t>
  </si>
  <si>
    <t>CMA</t>
  </si>
  <si>
    <t>CMA-MMW</t>
  </si>
  <si>
    <t>CMA계좌</t>
  </si>
  <si>
    <t>종합매매</t>
  </si>
  <si>
    <t>통합증거금</t>
  </si>
  <si>
    <t>미니금고</t>
  </si>
  <si>
    <t>위탁계좌</t>
  </si>
  <si>
    <t>종합</t>
  </si>
  <si>
    <t>종합계좌</t>
  </si>
  <si>
    <t>종합위탁</t>
  </si>
  <si>
    <t>중개형ISA</t>
  </si>
  <si>
    <t>100세연금저축펀드</t>
  </si>
  <si>
    <t>CMA_NOTE</t>
  </si>
  <si>
    <t>기본계좌</t>
  </si>
  <si>
    <t>위탁종합</t>
  </si>
  <si>
    <t>부동산</t>
  </si>
  <si>
    <t>김포집</t>
  </si>
  <si>
    <t>동산</t>
  </si>
  <si>
    <t>BMW 3시리즈(6세대)</t>
  </si>
  <si>
    <t>기타 실물 자산</t>
  </si>
  <si>
    <t>보험 자산</t>
  </si>
  <si>
    <t>무배당퍼펙트스타종합보험(Hi1204)기본플랜</t>
  </si>
  <si>
    <t>캐롯자동차보험 개인용</t>
  </si>
  <si>
    <t>연금 자산</t>
  </si>
  <si>
    <t>(주)엘지에너지솔루션_DC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</si>
  <si>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</si>
  <si>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</si>
  <si>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</si>
  <si>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</si>
  <si>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</si>
  <si>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</si>
  <si>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</si>
  <si>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</si>
  <si>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</si>
  <si>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</si>
  <si>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</si>
  <si>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</si>
  <si>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</si>
  <si>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한화손보(구 캐롯손보)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</si>
  <si>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</si>
  <si>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</si>
  <si>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</si>
  <si>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</si>
  <si>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</si>
  <si>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</si>
  <si>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</si>
  <si>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</si>
  <si>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</si>
  <si>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수익률</t>
  </si>
  <si>
    <t>가입일자</t>
  </si>
  <si>
    <t>펀드</t>
  </si>
  <si>
    <t>카카오페이 증권</t>
  </si>
  <si>
    <t>주식</t>
  </si>
  <si>
    <t>NH투자증권</t>
  </si>
  <si>
    <t>키움증권</t>
  </si>
  <si>
    <t>보유상품개수</t>
  </si>
  <si>
    <t>총 투자 원금</t>
  </si>
  <si>
    <t>총 평가 금액</t>
  </si>
  <si>
    <t>총 수익률</t>
  </si>
  <si>
    <t>총 15개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</si>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</sst>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mmmm&quot; &quot;d&quot;, &quot;yyyy"/>
    <numFmt numFmtId="177" formatCode="#,##0.00;\-#,##0.00;\-"/>
    <numFmt numFmtId="178" formatCode="\+0.00;\-0.00;&quot;-&quot;"/>
    <numFmt numFmtId="179" formatCode="\+0.00%;\-0.00%;\-"/>
    <numFmt numFmtId="180" formatCode="#,##0.00;#\-##0.00;\-"/>
    <numFmt numFmtId="181" formatCode="[$₩]#,##0"/>
    <numFmt numFmtId="182" formatCode="\+#,##0.00;#\-##0.00;#,\-"/>
    <numFmt numFmtId="183" formatCode="#,##0,,&quot;M&quot;"/>
    <numFmt numFmtId="184" formatCode="mmm&quot; &quot;d&quot;, &quot;yyyy"/>
    <numFmt numFmtId="185" formatCode="0.000"/>
    <numFmt numFmtId="186" formatCode="0.0000"/>
    <numFmt numFmtId="187" formatCode="yyyy\-mm\-dd"/>
    <numFmt numFmtId="188" formatCode="#,##0.00\ &quot;%&quot;\ "/>
  </numFmts>
  <fonts count="7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Roboto"/>
    </font>
    <font>
      <b/>
      <i/>
      <sz val="10"/>
      <color rgb="FFFFFFFF"/>
      <name val="Roboto"/>
    </font>
    <font>
      <sz val="10"/>
      <color rgb="FF000000"/>
      <name val="Arial"/>
      <scheme val="minor"/>
    </font>
    <font>
      <b/>
      <sz val="8"/>
      <color rgb="FFFFFFFF"/>
      <name val="Roboto"/>
    </font>
    <font>
      <u/>
      <sz val="10"/>
      <color rgb="FFFFFFFF"/>
      <name val="Roboto"/>
    </font>
    <font>
      <sz val="18"/>
      <color theme="1"/>
      <name val="Roboto"/>
    </font>
    <font>
      <sz val="9"/>
      <color rgb="FF666666"/>
      <name val="Roboto"/>
    </font>
    <font>
      <sz val="10"/>
      <color theme="1"/>
      <name val="Roboto"/>
    </font>
    <font>
      <sz val="24"/>
      <color theme="1"/>
      <name val="Roboto"/>
    </font>
    <font>
      <b/>
      <sz val="10"/>
      <color theme="1"/>
      <name val="Roboto"/>
    </font>
    <font>
      <b/>
      <sz val="10"/>
      <color rgb="FF999999"/>
      <name val="Roboto"/>
    </font>
    <font>
      <sz val="10"/>
      <color theme="1"/>
      <name val="Roboto"/>
    </font>
    <font>
      <sz val="10"/>
      <color rgb="FFFFFFFF"/>
      <name val="Arial"/>
      <scheme val="minor"/>
    </font>
    <font>
      <sz val="11"/>
      <color rgb="FF7E3794"/>
      <name val="Inconsolata"/>
    </font>
    <font>
      <sz val="10"/>
      <name val="Arial"/>
    </font>
    <font>
      <sz val="10"/>
      <color rgb="FFFFFFFF"/>
      <name val="Roboto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8"/>
      <color rgb="FFFFFFFF"/>
      <name val="Inconsolata"/>
    </font>
    <font>
      <sz val="10"/>
      <color rgb="FFB7B7B7"/>
      <name val="Arial"/>
      <scheme val="minor"/>
    </font>
    <font>
      <u/>
      <sz val="10"/>
      <color rgb="FFFFFFFF"/>
      <name val="Roboto"/>
    </font>
    <font>
      <sz val="11"/>
      <color rgb="FF000000"/>
      <name val="Inconsolata"/>
    </font>
    <font>
      <sz val="10"/>
      <color rgb="FFB7B7B7"/>
      <name val="Roboto"/>
    </font>
    <font>
      <sz val="36"/>
      <color theme="1"/>
      <name val="Roboto"/>
    </font>
    <font>
      <sz val="14"/>
      <color theme="1"/>
      <name val="Roboto"/>
    </font>
    <font>
      <sz val="11"/>
      <color rgb="FF11A9CC"/>
      <name val="Inconsolata"/>
    </font>
    <font>
      <b/>
      <i/>
      <u/>
      <sz val="11"/>
      <color rgb="FF000000"/>
      <name val="Inconsolata"/>
    </font>
    <font>
      <sz val="10"/>
      <color rgb="FF000000"/>
      <name val="Inconsolata"/>
    </font>
    <font>
      <b/>
      <i/>
      <u/>
      <sz val="11"/>
      <color rgb="FF000000"/>
      <name val="Inconsolata"/>
    </font>
    <font>
      <b/>
      <i/>
      <u/>
      <sz val="11"/>
      <color rgb="FF000000"/>
      <name val="Inconsolata"/>
    </font>
    <font>
      <b/>
      <i/>
      <u/>
      <sz val="11"/>
      <color rgb="FF000000"/>
      <name val="Inconsolata"/>
    </font>
    <font>
      <sz val="10"/>
      <color rgb="FF666666"/>
      <name val="Arial"/>
      <scheme val="minor"/>
    </font>
    <font>
      <sz val="12"/>
      <color theme="1"/>
      <name val="Roboto"/>
    </font>
    <font>
      <sz val="10"/>
      <color rgb="FFFFFFFF"/>
      <name val="Roboto"/>
    </font>
    <font>
      <b/>
      <sz val="10"/>
      <color theme="1"/>
      <name val="Roboto"/>
    </font>
    <font>
      <b/>
      <i/>
      <u/>
      <sz val="11"/>
      <color rgb="FF000000"/>
      <name val="Inconsolata"/>
    </font>
    <font>
      <sz val="10"/>
      <color rgb="FF999999"/>
      <name val="Arial"/>
      <scheme val="minor"/>
    </font>
    <font>
      <b/>
      <i/>
      <u/>
      <sz val="10"/>
      <color rgb="FF000000"/>
      <name val="Roboto"/>
    </font>
    <font>
      <b/>
      <i/>
      <u/>
      <sz val="11"/>
      <color rgb="FF000000"/>
      <name val="Inconsolata"/>
    </font>
    <font>
      <sz val="9"/>
      <color rgb="FF666666"/>
      <name val="Inconsolata"/>
    </font>
    <font>
      <sz val="9"/>
      <color rgb="FF000000"/>
      <name val="Inconsolata"/>
    </font>
    <font>
      <sz val="10"/>
      <color rgb="FF7E3794"/>
      <name val="Inconsolata"/>
    </font>
    <font>
      <sz val="7"/>
      <color rgb="FFFFFFFF"/>
      <name val="Roboto"/>
    </font>
    <font>
      <sz val="10"/>
      <color rgb="FF000000"/>
      <name val="Roboto"/>
    </font>
    <font>
      <sz val="11"/>
      <color rgb="FFFFFFFF"/>
      <name val="Inconsolata"/>
    </font>
    <font>
      <sz val="11"/>
      <color rgb="FFF7981D"/>
      <name val="Inconsolata"/>
    </font>
    <font>
      <sz val="10"/>
      <color rgb="FF11A9CC"/>
      <name val="Roboto"/>
    </font>
    <font>
      <b/>
      <i/>
      <u/>
      <sz val="10"/>
      <color rgb="FF000000"/>
      <name val="Roboto"/>
    </font>
    <font>
      <b/>
      <i/>
      <u/>
      <sz val="10"/>
      <color rgb="FF000000"/>
      <name val="Roboto"/>
    </font>
    <font>
      <sz val="10"/>
      <color rgb="FF666666"/>
      <name val="Roboto"/>
    </font>
    <font>
      <sz val="9"/>
      <color rgb="FF434343"/>
      <name val="Inconsolata"/>
    </font>
    <font>
      <sz val="9"/>
      <color rgb="FF434343"/>
      <name val="Arial"/>
    </font>
    <font>
      <sz val="10"/>
      <color rgb="FF666666"/>
      <name val="Inconsolata"/>
    </font>
    <font>
      <sz val="8"/>
      <color rgb="FFFFFFFF"/>
      <name val="Roboto"/>
    </font>
    <font>
      <sz val="10"/>
      <color rgb="FF666666"/>
      <name val="Roboto"/>
    </font>
    <font>
      <sz val="11"/>
      <color rgb="FF666666"/>
      <name val="Inconsolata"/>
    </font>
    <font>
      <sz val="11"/>
      <color rgb="FF999999"/>
      <name val="Inconsolata"/>
    </font>
    <font>
      <b/>
      <sz val="11"/>
      <color rgb="FFF5773D"/>
      <name val="Arial"/>
      <scheme val="minor"/>
    </font>
    <font>
      <sz val="11"/>
      <color rgb="FF000000"/>
      <name val="Arial"/>
      <scheme val="minor"/>
    </font>
    <font>
      <b/>
      <sz val="10"/>
      <color rgb="FFF5773D"/>
      <name val="Roboto"/>
    </font>
    <font>
      <b/>
      <i/>
      <u/>
      <sz val="11"/>
      <color rgb="FF000000"/>
      <name val="Roboto"/>
    </font>
    <font>
      <b/>
      <i/>
      <u/>
      <sz val="10"/>
      <color rgb="FF666666"/>
      <name val="Roboto"/>
    </font>
    <font>
      <b/>
      <sz val="10"/>
      <color rgb="FF000000"/>
      <name val="Roboto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  <fill>
      <patternFill patternType="solid">
        <fgColor rgb="FFF5773D"/>
        <bgColor rgb="FFF5773D"/>
      </patternFill>
    </fill>
    <fill>
      <patternFill patternType="solid">
        <fgColor rgb="FFB7B7B7"/>
        <bgColor rgb="FFB7B7B7"/>
      </patternFill>
    </fill>
    <fill>
      <patternFill patternType="solid">
        <fgColor rgb="FFFCFCBF"/>
        <bgColor rgb="FFFCFCBF"/>
      </patternFill>
    </fill>
    <fill>
      <patternFill patternType="solid">
        <fgColor rgb="FFD9D9D9"/>
        <bgColor rgb="FFD9D9D9"/>
      </patternFill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</fills>
  <borders count="1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D9D9D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tted">
        <color rgb="FFD9D9D9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CCCCCC"/>
      </left>
      <right/>
      <top style="thin">
        <color rgb="FFFFFFFF"/>
      </top>
      <bottom/>
      <diagonal/>
    </border>
    <border>
      <left/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ck">
        <color rgb="FFCCCCCC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/>
      <top style="thin">
        <color rgb="FFFFFFFF"/>
      </top>
      <bottom style="thin">
        <color rgb="FFEFEFEF"/>
      </bottom>
      <diagonal/>
    </border>
    <border>
      <left style="thin">
        <color rgb="FFF3F3F3"/>
      </left>
      <right/>
      <top/>
      <bottom style="thin">
        <color rgb="FFF3F3F3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FFFFF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CCCCCC"/>
      </left>
      <right style="thin">
        <color rgb="FFFFFFFF"/>
      </right>
      <top/>
      <bottom style="thin">
        <color rgb="FFFFFFFF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CCCCCC"/>
      </left>
      <right/>
      <top/>
      <bottom/>
      <diagonal/>
    </border>
    <border>
      <left style="hair">
        <color rgb="FFFDA780"/>
      </left>
      <right/>
      <top style="hair">
        <color rgb="FFFDA780"/>
      </top>
      <bottom/>
      <diagonal/>
    </border>
    <border>
      <left/>
      <right/>
      <top style="hair">
        <color rgb="FFFDA780"/>
      </top>
      <bottom/>
      <diagonal/>
    </border>
    <border>
      <left/>
      <right style="hair">
        <color rgb="FFFDA780"/>
      </right>
      <top style="hair">
        <color rgb="FFFDA780"/>
      </top>
      <bottom/>
      <diagonal/>
    </border>
    <border>
      <left style="hair">
        <color rgb="FFFDA780"/>
      </left>
      <right/>
      <top/>
      <bottom style="hair">
        <color rgb="FFFDA780"/>
      </bottom>
      <diagonal/>
    </border>
    <border>
      <left/>
      <right/>
      <top/>
      <bottom style="hair">
        <color rgb="FFFDA780"/>
      </bottom>
      <diagonal/>
    </border>
    <border>
      <left/>
      <right style="hair">
        <color rgb="FFFDA780"/>
      </right>
      <top/>
      <bottom style="hair">
        <color rgb="FFFDA780"/>
      </bottom>
      <diagonal/>
    </border>
    <border>
      <left style="thick">
        <color rgb="FFCCCCCC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FDA780"/>
      </left>
      <right/>
      <top style="hair">
        <color rgb="FFFDA780"/>
      </top>
      <bottom style="hair">
        <color rgb="FFFDA780"/>
      </bottom>
      <diagonal/>
    </border>
    <border>
      <left/>
      <right/>
      <top style="hair">
        <color rgb="FFFDA780"/>
      </top>
      <bottom style="hair">
        <color rgb="FFFDA780"/>
      </bottom>
      <diagonal/>
    </border>
    <border>
      <left/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 style="thick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hair">
        <color rgb="FFFFFFFF"/>
      </right>
      <top/>
      <bottom style="thin">
        <color rgb="FFFFFFFF"/>
      </bottom>
      <diagonal/>
    </border>
    <border>
      <left style="thick">
        <color rgb="FFCCCCCC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FFFFF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/>
      <bottom style="thin">
        <color rgb="FFEFEFEF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medium">
        <color rgb="FFF5773D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hair">
        <color rgb="FFFDA780"/>
      </left>
      <right style="thin">
        <color rgb="FFFFFFFF"/>
      </right>
      <top style="hair">
        <color rgb="FFFDA780"/>
      </top>
      <bottom style="hair">
        <color rgb="FFFDA780"/>
      </bottom>
      <diagonal/>
    </border>
    <border>
      <left style="thin">
        <color rgb="FFFFFFFF"/>
      </left>
      <right style="hair">
        <color rgb="FFFFFFFF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/>
      <top style="hair">
        <color rgb="FFFDA780"/>
      </top>
      <bottom style="hair">
        <color rgb="FFFDA780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EFEFEF"/>
      </left>
      <right style="thick">
        <color rgb="FFFFFFFF"/>
      </right>
      <top style="thin">
        <color rgb="FFFFFFFF"/>
      </top>
      <bottom style="thin">
        <color rgb="FFEFEFEF"/>
      </bottom>
      <diagonal/>
    </border>
    <border>
      <left/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/>
      <top style="thin">
        <color rgb="FFF3F3F3"/>
      </top>
      <bottom style="medium">
        <color rgb="FFF5773D"/>
      </bottom>
      <diagonal/>
    </border>
    <border>
      <left/>
      <right/>
      <top/>
      <bottom style="medium">
        <color rgb="FFF5773D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65" fillId="0" borderId="14"/>
  </cellStyleXfs>
  <cellXfs count="402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/>
    <xf numFmtId="2" fontId="1" fillId="0" borderId="0" xfId="0" applyNumberFormat="1" applyFont="1" applyAlignment="1"/>
    <xf numFmtId="10" fontId="1" fillId="0" borderId="0" xfId="0" applyNumberFormat="1" applyFont="1" applyAlignment="1"/>
    <xf numFmtId="176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/>
    <xf numFmtId="4" fontId="10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left"/>
    </xf>
    <xf numFmtId="2" fontId="9" fillId="0" borderId="0" xfId="0" applyNumberFormat="1" applyFont="1"/>
    <xf numFmtId="10" fontId="9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2" fontId="11" fillId="0" borderId="0" xfId="0" applyNumberFormat="1" applyFont="1" applyAlignment="1">
      <alignment horizontal="right" wrapText="1"/>
    </xf>
    <xf numFmtId="10" fontId="12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3" fillId="0" borderId="0" xfId="0" applyFont="1"/>
    <xf numFmtId="0" fontId="13" fillId="0" borderId="0" xfId="0" applyFont="1" applyAlignment="1"/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right"/>
    </xf>
    <xf numFmtId="178" fontId="13" fillId="0" borderId="0" xfId="0" applyNumberFormat="1" applyFont="1" applyAlignment="1">
      <alignment horizontal="right"/>
    </xf>
    <xf numFmtId="179" fontId="13" fillId="0" borderId="0" xfId="0" applyNumberFormat="1" applyFont="1" applyAlignment="1">
      <alignment horizontal="right"/>
    </xf>
    <xf numFmtId="180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9" fontId="13" fillId="0" borderId="0" xfId="0" applyNumberFormat="1" applyFont="1" applyAlignment="1">
      <alignment horizontal="center" vertical="center"/>
    </xf>
    <xf numFmtId="0" fontId="13" fillId="0" borderId="2" xfId="0" applyFont="1" applyBorder="1" applyAlignment="1"/>
    <xf numFmtId="0" fontId="13" fillId="0" borderId="2" xfId="0" applyFont="1" applyBorder="1"/>
    <xf numFmtId="177" fontId="13" fillId="0" borderId="2" xfId="0" applyNumberFormat="1" applyFont="1" applyBorder="1" applyAlignment="1">
      <alignment horizontal="right"/>
    </xf>
    <xf numFmtId="177" fontId="13" fillId="0" borderId="2" xfId="0" applyNumberFormat="1" applyFont="1" applyBorder="1" applyAlignment="1">
      <alignment horizontal="right"/>
    </xf>
    <xf numFmtId="178" fontId="13" fillId="0" borderId="2" xfId="0" applyNumberFormat="1" applyFont="1" applyBorder="1" applyAlignment="1">
      <alignment horizontal="right"/>
    </xf>
    <xf numFmtId="179" fontId="13" fillId="0" borderId="2" xfId="0" applyNumberFormat="1" applyFont="1" applyBorder="1" applyAlignment="1">
      <alignment horizontal="right"/>
    </xf>
    <xf numFmtId="180" fontId="13" fillId="0" borderId="3" xfId="0" applyNumberFormat="1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10" fontId="15" fillId="0" borderId="0" xfId="0" applyNumberFormat="1" applyFont="1"/>
    <xf numFmtId="177" fontId="13" fillId="0" borderId="0" xfId="0" applyNumberFormat="1" applyFont="1" applyAlignment="1">
      <alignment horizontal="right"/>
    </xf>
    <xf numFmtId="180" fontId="13" fillId="0" borderId="5" xfId="0" applyNumberFormat="1" applyFont="1" applyBorder="1" applyAlignment="1">
      <alignment horizontal="right"/>
    </xf>
    <xf numFmtId="0" fontId="17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76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3" fillId="2" borderId="6" xfId="0" applyFont="1" applyFill="1" applyBorder="1"/>
    <xf numFmtId="0" fontId="18" fillId="3" borderId="7" xfId="0" applyFont="1" applyFill="1" applyBorder="1" applyAlignment="1">
      <alignment horizontal="left" vertical="center"/>
    </xf>
    <xf numFmtId="181" fontId="18" fillId="3" borderId="7" xfId="0" applyNumberFormat="1" applyFont="1" applyFill="1" applyBorder="1" applyAlignment="1">
      <alignment horizontal="right" vertical="center"/>
    </xf>
    <xf numFmtId="181" fontId="18" fillId="2" borderId="8" xfId="0" applyNumberFormat="1" applyFont="1" applyFill="1" applyBorder="1" applyAlignment="1">
      <alignment horizontal="right" vertical="center"/>
    </xf>
    <xf numFmtId="0" fontId="13" fillId="0" borderId="8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7" fillId="3" borderId="7" xfId="0" applyFont="1" applyFill="1" applyBorder="1" applyAlignment="1">
      <alignment horizontal="left" vertical="center"/>
    </xf>
    <xf numFmtId="181" fontId="17" fillId="3" borderId="7" xfId="0" applyNumberFormat="1" applyFont="1" applyFill="1" applyBorder="1"/>
    <xf numFmtId="0" fontId="13" fillId="0" borderId="6" xfId="0" applyFont="1" applyBorder="1"/>
    <xf numFmtId="0" fontId="13" fillId="0" borderId="9" xfId="0" applyFont="1" applyBorder="1"/>
    <xf numFmtId="0" fontId="13" fillId="0" borderId="7" xfId="0" applyFont="1" applyBorder="1" applyAlignment="1"/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19" fillId="0" borderId="7" xfId="0" applyFont="1" applyBorder="1"/>
    <xf numFmtId="0" fontId="20" fillId="3" borderId="7" xfId="0" applyFont="1" applyFill="1" applyBorder="1" applyAlignment="1">
      <alignment horizontal="left" vertical="center"/>
    </xf>
    <xf numFmtId="0" fontId="1" fillId="4" borderId="0" xfId="0" applyFont="1" applyFill="1" applyAlignment="1"/>
    <xf numFmtId="181" fontId="17" fillId="3" borderId="7" xfId="0" applyNumberFormat="1" applyFont="1" applyFill="1" applyBorder="1" applyAlignment="1">
      <alignment horizontal="right" vertical="center"/>
    </xf>
    <xf numFmtId="0" fontId="19" fillId="2" borderId="8" xfId="0" applyFont="1" applyFill="1" applyBorder="1"/>
    <xf numFmtId="0" fontId="5" fillId="4" borderId="0" xfId="0" applyFont="1" applyFill="1" applyAlignment="1"/>
    <xf numFmtId="0" fontId="13" fillId="0" borderId="7" xfId="0" applyFont="1" applyBorder="1"/>
    <xf numFmtId="0" fontId="19" fillId="0" borderId="8" xfId="0" applyFont="1" applyBorder="1"/>
    <xf numFmtId="0" fontId="19" fillId="0" borderId="6" xfId="0" applyFont="1" applyBorder="1"/>
    <xf numFmtId="0" fontId="21" fillId="0" borderId="13" xfId="0" applyFont="1" applyBorder="1" applyAlignment="1">
      <alignment horizontal="left" vertical="center" wrapText="1"/>
    </xf>
    <xf numFmtId="0" fontId="22" fillId="4" borderId="0" xfId="0" applyFont="1" applyFill="1" applyAlignment="1">
      <alignment vertical="top"/>
    </xf>
    <xf numFmtId="0" fontId="23" fillId="2" borderId="0" xfId="0" applyFont="1" applyFill="1" applyAlignment="1">
      <alignment horizontal="left"/>
    </xf>
    <xf numFmtId="181" fontId="17" fillId="2" borderId="8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center"/>
    </xf>
    <xf numFmtId="0" fontId="24" fillId="0" borderId="14" xfId="0" applyFont="1" applyBorder="1" applyAlignment="1"/>
    <xf numFmtId="0" fontId="1" fillId="6" borderId="0" xfId="0" applyFont="1" applyFill="1" applyAlignment="1"/>
    <xf numFmtId="0" fontId="19" fillId="0" borderId="15" xfId="0" applyFont="1" applyBorder="1"/>
    <xf numFmtId="0" fontId="19" fillId="0" borderId="16" xfId="0" applyFont="1" applyBorder="1"/>
    <xf numFmtId="0" fontId="1" fillId="0" borderId="14" xfId="0" applyFont="1" applyBorder="1" applyAlignment="1"/>
    <xf numFmtId="0" fontId="13" fillId="2" borderId="7" xfId="0" applyFont="1" applyFill="1" applyBorder="1"/>
    <xf numFmtId="0" fontId="17" fillId="2" borderId="7" xfId="0" applyFont="1" applyFill="1" applyBorder="1"/>
    <xf numFmtId="0" fontId="13" fillId="0" borderId="7" xfId="0" applyFont="1" applyBorder="1" applyAlignment="1">
      <alignment vertical="center"/>
    </xf>
    <xf numFmtId="0" fontId="13" fillId="0" borderId="18" xfId="0" applyFont="1" applyBorder="1" applyAlignment="1"/>
    <xf numFmtId="0" fontId="8" fillId="0" borderId="0" xfId="0" applyFont="1" applyAlignment="1"/>
    <xf numFmtId="0" fontId="2" fillId="2" borderId="7" xfId="0" applyFont="1" applyFill="1" applyBorder="1" applyAlignment="1">
      <alignment horizontal="left"/>
    </xf>
    <xf numFmtId="0" fontId="13" fillId="0" borderId="18" xfId="0" applyFont="1" applyBorder="1"/>
    <xf numFmtId="0" fontId="13" fillId="0" borderId="6" xfId="0" applyFont="1" applyBorder="1" applyAlignment="1">
      <alignment vertical="center"/>
    </xf>
    <xf numFmtId="177" fontId="13" fillId="0" borderId="18" xfId="0" applyNumberFormat="1" applyFont="1" applyBorder="1" applyAlignment="1">
      <alignment horizontal="right"/>
    </xf>
    <xf numFmtId="0" fontId="13" fillId="0" borderId="19" xfId="0" applyFont="1" applyBorder="1" applyAlignment="1">
      <alignment vertical="center"/>
    </xf>
    <xf numFmtId="177" fontId="13" fillId="0" borderId="18" xfId="0" applyNumberFormat="1" applyFont="1" applyBorder="1" applyAlignment="1">
      <alignment horizontal="right"/>
    </xf>
    <xf numFmtId="0" fontId="2" fillId="2" borderId="20" xfId="0" applyFont="1" applyFill="1" applyBorder="1" applyAlignment="1">
      <alignment horizontal="left"/>
    </xf>
    <xf numFmtId="178" fontId="13" fillId="0" borderId="18" xfId="0" applyNumberFormat="1" applyFont="1" applyBorder="1" applyAlignment="1">
      <alignment horizontal="right"/>
    </xf>
    <xf numFmtId="179" fontId="13" fillId="0" borderId="18" xfId="0" applyNumberFormat="1" applyFont="1" applyBorder="1" applyAlignment="1">
      <alignment horizontal="right"/>
    </xf>
    <xf numFmtId="182" fontId="26" fillId="0" borderId="0" xfId="0" applyNumberFormat="1" applyFont="1" applyAlignment="1">
      <alignment horizontal="left" vertical="center"/>
    </xf>
    <xf numFmtId="180" fontId="13" fillId="0" borderId="21" xfId="0" applyNumberFormat="1" applyFont="1" applyBorder="1" applyAlignment="1">
      <alignment horizontal="right"/>
    </xf>
    <xf numFmtId="10" fontId="23" fillId="0" borderId="0" xfId="0" applyNumberFormat="1" applyFont="1" applyAlignment="1">
      <alignment horizontal="right"/>
    </xf>
    <xf numFmtId="179" fontId="26" fillId="0" borderId="0" xfId="0" applyNumberFormat="1" applyFont="1" applyAlignment="1">
      <alignment horizontal="left" vertical="center"/>
    </xf>
    <xf numFmtId="10" fontId="27" fillId="0" borderId="0" xfId="0" applyNumberFormat="1" applyFont="1" applyAlignment="1">
      <alignment horizontal="right"/>
    </xf>
    <xf numFmtId="0" fontId="29" fillId="0" borderId="0" xfId="0" applyFont="1" applyAlignment="1">
      <alignment horizontal="left" vertical="center" wrapText="1"/>
    </xf>
    <xf numFmtId="0" fontId="9" fillId="0" borderId="23" xfId="0" applyFont="1" applyBorder="1"/>
    <xf numFmtId="0" fontId="31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17" fillId="2" borderId="7" xfId="0" applyFont="1" applyFill="1" applyBorder="1" applyAlignment="1">
      <alignment horizontal="center"/>
    </xf>
    <xf numFmtId="0" fontId="17" fillId="7" borderId="25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left" vertical="top" wrapText="1"/>
    </xf>
    <xf numFmtId="0" fontId="33" fillId="7" borderId="26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183" fontId="34" fillId="0" borderId="0" xfId="0" applyNumberFormat="1" applyFont="1" applyAlignment="1">
      <alignment horizontal="left" vertical="center"/>
    </xf>
    <xf numFmtId="4" fontId="34" fillId="0" borderId="0" xfId="0" applyNumberFormat="1" applyFont="1" applyAlignment="1">
      <alignment horizontal="left" vertical="center"/>
    </xf>
    <xf numFmtId="0" fontId="17" fillId="7" borderId="29" xfId="0" applyFont="1" applyFill="1" applyBorder="1" applyAlignment="1">
      <alignment horizontal="center" wrapText="1"/>
    </xf>
    <xf numFmtId="0" fontId="14" fillId="7" borderId="26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 wrapText="1"/>
    </xf>
    <xf numFmtId="0" fontId="14" fillId="7" borderId="32" xfId="0" applyFont="1" applyFill="1" applyBorder="1" applyAlignment="1">
      <alignment horizontal="center" wrapText="1"/>
    </xf>
    <xf numFmtId="0" fontId="33" fillId="7" borderId="3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9" fillId="0" borderId="34" xfId="0" applyFont="1" applyBorder="1" applyAlignment="1"/>
    <xf numFmtId="0" fontId="14" fillId="7" borderId="33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horizontal="center" vertical="center"/>
    </xf>
    <xf numFmtId="2" fontId="2" fillId="2" borderId="30" xfId="0" applyNumberFormat="1" applyFont="1" applyFill="1" applyBorder="1" applyAlignment="1">
      <alignment horizontal="center" vertical="center"/>
    </xf>
    <xf numFmtId="0" fontId="35" fillId="0" borderId="0" xfId="0" applyFont="1"/>
    <xf numFmtId="0" fontId="17" fillId="7" borderId="20" xfId="0" applyFont="1" applyFill="1" applyBorder="1" applyAlignment="1">
      <alignment horizontal="left"/>
    </xf>
    <xf numFmtId="10" fontId="2" fillId="0" borderId="0" xfId="0" applyNumberFormat="1" applyFont="1" applyAlignment="1">
      <alignment horizontal="right" vertical="center"/>
    </xf>
    <xf numFmtId="0" fontId="17" fillId="7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/>
    </xf>
    <xf numFmtId="0" fontId="36" fillId="0" borderId="0" xfId="0" applyFont="1"/>
    <xf numFmtId="10" fontId="13" fillId="0" borderId="7" xfId="0" applyNumberFormat="1" applyFont="1" applyBorder="1" applyAlignment="1">
      <alignment horizontal="center"/>
    </xf>
    <xf numFmtId="0" fontId="37" fillId="2" borderId="36" xfId="0" applyFont="1" applyFill="1" applyBorder="1" applyAlignment="1">
      <alignment horizontal="left"/>
    </xf>
    <xf numFmtId="0" fontId="36" fillId="0" borderId="18" xfId="0" applyFont="1" applyBorder="1" applyAlignment="1"/>
    <xf numFmtId="0" fontId="36" fillId="0" borderId="18" xfId="0" applyFont="1" applyBorder="1" applyAlignment="1">
      <alignment horizontal="right"/>
    </xf>
    <xf numFmtId="0" fontId="2" fillId="8" borderId="37" xfId="0" applyFont="1" applyFill="1" applyBorder="1" applyAlignment="1">
      <alignment horizontal="center"/>
    </xf>
    <xf numFmtId="184" fontId="13" fillId="0" borderId="0" xfId="0" applyNumberFormat="1" applyFont="1" applyAlignment="1">
      <alignment horizontal="left"/>
    </xf>
    <xf numFmtId="10" fontId="13" fillId="0" borderId="38" xfId="0" applyNumberFormat="1" applyFont="1" applyBorder="1" applyAlignment="1">
      <alignment horizontal="center"/>
    </xf>
    <xf numFmtId="4" fontId="13" fillId="0" borderId="0" xfId="0" applyNumberFormat="1" applyFont="1"/>
    <xf numFmtId="0" fontId="13" fillId="8" borderId="39" xfId="0" applyFont="1" applyFill="1" applyBorder="1" applyAlignment="1">
      <alignment horizontal="center" vertical="center"/>
    </xf>
    <xf numFmtId="3" fontId="13" fillId="0" borderId="0" xfId="0" applyNumberFormat="1" applyFont="1"/>
    <xf numFmtId="2" fontId="2" fillId="2" borderId="40" xfId="0" applyNumberFormat="1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9" fillId="0" borderId="42" xfId="0" applyFont="1" applyBorder="1"/>
    <xf numFmtId="177" fontId="38" fillId="0" borderId="43" xfId="0" applyNumberFormat="1" applyFont="1" applyBorder="1" applyAlignment="1">
      <alignment horizontal="right" vertical="center" wrapText="1"/>
    </xf>
    <xf numFmtId="4" fontId="38" fillId="0" borderId="43" xfId="0" applyNumberFormat="1" applyFont="1" applyBorder="1"/>
    <xf numFmtId="0" fontId="19" fillId="0" borderId="45" xfId="0" applyFont="1" applyBorder="1"/>
    <xf numFmtId="0" fontId="40" fillId="2" borderId="7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/>
    </xf>
    <xf numFmtId="0" fontId="29" fillId="2" borderId="53" xfId="0" applyFont="1" applyFill="1" applyBorder="1" applyAlignment="1">
      <alignment vertical="top"/>
    </xf>
    <xf numFmtId="10" fontId="15" fillId="0" borderId="0" xfId="0" applyNumberFormat="1" applyFont="1" applyAlignment="1">
      <alignment horizontal="right" vertical="center"/>
    </xf>
    <xf numFmtId="181" fontId="29" fillId="2" borderId="54" xfId="0" applyNumberFormat="1" applyFont="1" applyFill="1" applyBorder="1" applyAlignment="1">
      <alignment vertical="top" wrapText="1"/>
    </xf>
    <xf numFmtId="0" fontId="13" fillId="0" borderId="8" xfId="0" applyFont="1" applyBorder="1"/>
    <xf numFmtId="0" fontId="19" fillId="0" borderId="36" xfId="0" applyFont="1" applyBorder="1"/>
    <xf numFmtId="0" fontId="42" fillId="2" borderId="55" xfId="0" applyFont="1" applyFill="1" applyBorder="1" applyAlignment="1">
      <alignment horizontal="left" vertical="center"/>
    </xf>
    <xf numFmtId="0" fontId="43" fillId="0" borderId="0" xfId="0" applyFont="1" applyAlignment="1"/>
    <xf numFmtId="185" fontId="15" fillId="0" borderId="0" xfId="0" applyNumberFormat="1" applyFont="1" applyAlignment="1"/>
    <xf numFmtId="0" fontId="29" fillId="0" borderId="0" xfId="0" applyFont="1" applyAlignment="1">
      <alignment vertical="center" wrapText="1"/>
    </xf>
    <xf numFmtId="0" fontId="2" fillId="2" borderId="42" xfId="0" applyFont="1" applyFill="1" applyBorder="1" applyAlignment="1">
      <alignment horizontal="left"/>
    </xf>
    <xf numFmtId="0" fontId="13" fillId="0" borderId="12" xfId="0" applyFont="1" applyBorder="1"/>
    <xf numFmtId="2" fontId="4" fillId="0" borderId="43" xfId="0" applyNumberFormat="1" applyFont="1" applyBorder="1" applyAlignment="1">
      <alignment horizontal="right" vertical="center" wrapText="1"/>
    </xf>
    <xf numFmtId="0" fontId="19" fillId="0" borderId="8" xfId="0" applyFont="1" applyBorder="1" applyAlignment="1"/>
    <xf numFmtId="2" fontId="4" fillId="0" borderId="58" xfId="0" applyNumberFormat="1" applyFont="1" applyBorder="1" applyAlignment="1">
      <alignment horizontal="right" vertical="center" wrapText="1"/>
    </xf>
    <xf numFmtId="0" fontId="2" fillId="2" borderId="59" xfId="0" applyFont="1" applyFill="1" applyBorder="1" applyAlignment="1">
      <alignment horizontal="left"/>
    </xf>
    <xf numFmtId="0" fontId="13" fillId="0" borderId="60" xfId="0" applyFont="1" applyBorder="1"/>
    <xf numFmtId="10" fontId="38" fillId="0" borderId="0" xfId="0" applyNumberFormat="1" applyFont="1" applyAlignment="1">
      <alignment horizontal="right" vertical="center" wrapText="1"/>
    </xf>
    <xf numFmtId="0" fontId="43" fillId="0" borderId="0" xfId="0" applyFont="1"/>
    <xf numFmtId="0" fontId="17" fillId="7" borderId="61" xfId="0" applyFont="1" applyFill="1" applyBorder="1" applyAlignment="1">
      <alignment horizontal="center"/>
    </xf>
    <xf numFmtId="0" fontId="17" fillId="7" borderId="62" xfId="0" applyFont="1" applyFill="1" applyBorder="1" applyAlignment="1">
      <alignment horizontal="center" vertical="center"/>
    </xf>
    <xf numFmtId="0" fontId="17" fillId="7" borderId="63" xfId="0" applyFont="1" applyFill="1" applyBorder="1" applyAlignment="1">
      <alignment horizontal="center" vertical="center" wrapText="1"/>
    </xf>
    <xf numFmtId="0" fontId="44" fillId="7" borderId="64" xfId="0" applyFont="1" applyFill="1" applyBorder="1" applyAlignment="1">
      <alignment horizontal="center" vertical="center" wrapText="1"/>
    </xf>
    <xf numFmtId="186" fontId="38" fillId="0" borderId="0" xfId="0" applyNumberFormat="1" applyFont="1" applyAlignment="1">
      <alignment horizontal="right" vertical="center" wrapText="1"/>
    </xf>
    <xf numFmtId="0" fontId="17" fillId="7" borderId="64" xfId="0" applyFont="1" applyFill="1" applyBorder="1" applyAlignment="1">
      <alignment horizontal="center" vertical="center"/>
    </xf>
    <xf numFmtId="0" fontId="17" fillId="7" borderId="65" xfId="0" applyFont="1" applyFill="1" applyBorder="1" applyAlignment="1">
      <alignment horizontal="center" vertical="center" wrapText="1"/>
    </xf>
    <xf numFmtId="0" fontId="13" fillId="8" borderId="66" xfId="0" applyFont="1" applyFill="1" applyBorder="1" applyAlignment="1">
      <alignment horizontal="center"/>
    </xf>
    <xf numFmtId="10" fontId="2" fillId="2" borderId="6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2" fontId="4" fillId="0" borderId="0" xfId="0" applyNumberFormat="1" applyFont="1" applyAlignment="1">
      <alignment horizontal="right" vertical="center" wrapText="1"/>
    </xf>
    <xf numFmtId="0" fontId="13" fillId="8" borderId="68" xfId="0" applyFont="1" applyFill="1" applyBorder="1" applyAlignment="1">
      <alignment horizontal="center" vertical="center"/>
    </xf>
    <xf numFmtId="2" fontId="13" fillId="0" borderId="32" xfId="0" applyNumberFormat="1" applyFont="1" applyBorder="1" applyAlignment="1">
      <alignment horizontal="center" vertical="center"/>
    </xf>
    <xf numFmtId="177" fontId="8" fillId="2" borderId="32" xfId="0" applyNumberFormat="1" applyFont="1" applyFill="1" applyBorder="1" applyAlignment="1">
      <alignment horizontal="center" vertical="center"/>
    </xf>
    <xf numFmtId="2" fontId="8" fillId="0" borderId="67" xfId="0" applyNumberFormat="1" applyFont="1" applyBorder="1" applyAlignment="1">
      <alignment horizontal="center" vertical="center"/>
    </xf>
    <xf numFmtId="0" fontId="45" fillId="2" borderId="7" xfId="0" applyFont="1" applyFill="1" applyBorder="1" applyAlignment="1">
      <alignment horizontal="left" vertical="center"/>
    </xf>
    <xf numFmtId="0" fontId="29" fillId="2" borderId="7" xfId="0" applyFont="1" applyFill="1" applyBorder="1" applyAlignment="1">
      <alignment horizontal="left" vertical="top"/>
    </xf>
    <xf numFmtId="10" fontId="46" fillId="0" borderId="0" xfId="0" applyNumberFormat="1" applyFont="1"/>
    <xf numFmtId="0" fontId="47" fillId="0" borderId="0" xfId="0" applyFont="1" applyAlignment="1"/>
    <xf numFmtId="0" fontId="13" fillId="0" borderId="0" xfId="0" applyFont="1" applyAlignment="1">
      <alignment horizontal="center" vertical="center"/>
    </xf>
    <xf numFmtId="177" fontId="8" fillId="0" borderId="32" xfId="0" applyNumberFormat="1" applyFont="1" applyBorder="1" applyAlignment="1">
      <alignment horizontal="center" vertical="center"/>
    </xf>
    <xf numFmtId="0" fontId="13" fillId="8" borderId="69" xfId="0" applyFont="1" applyFill="1" applyBorder="1" applyAlignment="1">
      <alignment horizontal="center" vertical="center"/>
    </xf>
    <xf numFmtId="2" fontId="13" fillId="0" borderId="70" xfId="0" applyNumberFormat="1" applyFont="1" applyBorder="1" applyAlignment="1">
      <alignment horizontal="center" vertical="center"/>
    </xf>
    <xf numFmtId="177" fontId="8" fillId="0" borderId="70" xfId="0" applyNumberFormat="1" applyFont="1" applyBorder="1" applyAlignment="1">
      <alignment horizontal="center" vertical="center"/>
    </xf>
    <xf numFmtId="10" fontId="46" fillId="0" borderId="0" xfId="0" applyNumberFormat="1" applyFont="1" applyAlignment="1">
      <alignment horizontal="right"/>
    </xf>
    <xf numFmtId="2" fontId="8" fillId="0" borderId="71" xfId="0" applyNumberFormat="1" applyFont="1" applyBorder="1" applyAlignment="1">
      <alignment horizontal="center" vertical="center"/>
    </xf>
    <xf numFmtId="0" fontId="13" fillId="8" borderId="72" xfId="0" applyFont="1" applyFill="1" applyBorder="1" applyAlignment="1">
      <alignment horizontal="center"/>
    </xf>
    <xf numFmtId="10" fontId="2" fillId="2" borderId="71" xfId="0" applyNumberFormat="1" applyFont="1" applyFill="1" applyBorder="1" applyAlignment="1">
      <alignment horizontal="center" vertical="center"/>
    </xf>
    <xf numFmtId="10" fontId="48" fillId="0" borderId="0" xfId="0" applyNumberFormat="1" applyFont="1" applyAlignment="1">
      <alignment horizontal="right" vertical="center"/>
    </xf>
    <xf numFmtId="0" fontId="19" fillId="0" borderId="73" xfId="0" applyFont="1" applyBorder="1"/>
    <xf numFmtId="0" fontId="13" fillId="0" borderId="0" xfId="0" applyFont="1" applyAlignment="1">
      <alignment vertical="center" wrapText="1"/>
    </xf>
    <xf numFmtId="0" fontId="19" fillId="0" borderId="74" xfId="0" applyFont="1" applyBorder="1"/>
    <xf numFmtId="0" fontId="19" fillId="0" borderId="20" xfId="0" applyFont="1" applyBorder="1"/>
    <xf numFmtId="2" fontId="51" fillId="0" borderId="7" xfId="0" applyNumberFormat="1" applyFont="1" applyBorder="1" applyAlignment="1">
      <alignment horizontal="center" vertical="center"/>
    </xf>
    <xf numFmtId="0" fontId="42" fillId="2" borderId="75" xfId="0" applyFont="1" applyFill="1" applyBorder="1" applyAlignment="1">
      <alignment horizontal="left" vertical="center"/>
    </xf>
    <xf numFmtId="181" fontId="29" fillId="2" borderId="76" xfId="0" applyNumberFormat="1" applyFont="1" applyFill="1" applyBorder="1" applyAlignment="1">
      <alignment horizontal="left" vertical="center" wrapText="1"/>
    </xf>
    <xf numFmtId="0" fontId="54" fillId="2" borderId="77" xfId="0" applyFont="1" applyFill="1" applyBorder="1" applyAlignment="1">
      <alignment vertical="center" wrapText="1"/>
    </xf>
    <xf numFmtId="0" fontId="19" fillId="0" borderId="78" xfId="0" applyFont="1" applyBorder="1"/>
    <xf numFmtId="0" fontId="2" fillId="2" borderId="79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7" fillId="2" borderId="12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3" fillId="0" borderId="80" xfId="0" applyFont="1" applyBorder="1" applyAlignment="1"/>
    <xf numFmtId="0" fontId="13" fillId="0" borderId="11" xfId="0" applyFont="1" applyBorder="1"/>
    <xf numFmtId="0" fontId="2" fillId="2" borderId="36" xfId="0" applyFont="1" applyFill="1" applyBorder="1" applyAlignment="1">
      <alignment horizontal="left"/>
    </xf>
    <xf numFmtId="0" fontId="17" fillId="7" borderId="29" xfId="0" applyFont="1" applyFill="1" applyBorder="1" applyAlignment="1">
      <alignment horizontal="center" vertical="center"/>
    </xf>
    <xf numFmtId="0" fontId="17" fillId="7" borderId="64" xfId="0" applyFont="1" applyFill="1" applyBorder="1" applyAlignment="1">
      <alignment horizontal="center" vertical="center" wrapText="1"/>
    </xf>
    <xf numFmtId="0" fontId="44" fillId="7" borderId="81" xfId="0" applyFont="1" applyFill="1" applyBorder="1" applyAlignment="1">
      <alignment horizontal="center" vertical="center" wrapText="1"/>
    </xf>
    <xf numFmtId="0" fontId="17" fillId="7" borderId="82" xfId="0" applyFont="1" applyFill="1" applyBorder="1" applyAlignment="1">
      <alignment horizontal="center" vertical="center" wrapText="1"/>
    </xf>
    <xf numFmtId="0" fontId="17" fillId="7" borderId="64" xfId="0" applyFont="1" applyFill="1" applyBorder="1" applyAlignment="1">
      <alignment horizontal="center" vertical="center"/>
    </xf>
    <xf numFmtId="0" fontId="55" fillId="7" borderId="30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/>
    </xf>
    <xf numFmtId="2" fontId="2" fillId="9" borderId="32" xfId="0" applyNumberFormat="1" applyFont="1" applyFill="1" applyBorder="1" applyAlignment="1">
      <alignment horizontal="center" vertical="center" wrapText="1"/>
    </xf>
    <xf numFmtId="2" fontId="2" fillId="2" borderId="83" xfId="0" applyNumberFormat="1" applyFont="1" applyFill="1" applyBorder="1" applyAlignment="1">
      <alignment horizontal="center" vertical="center" wrapText="1"/>
    </xf>
    <xf numFmtId="0" fontId="2" fillId="10" borderId="84" xfId="0" applyFont="1" applyFill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/>
    </xf>
    <xf numFmtId="2" fontId="2" fillId="2" borderId="32" xfId="0" applyNumberFormat="1" applyFont="1" applyFill="1" applyBorder="1" applyAlignment="1">
      <alignment horizontal="center" vertical="center" wrapText="1"/>
    </xf>
    <xf numFmtId="0" fontId="2" fillId="10" borderId="86" xfId="0" applyFont="1" applyFill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87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8" borderId="39" xfId="0" applyFont="1" applyFill="1" applyBorder="1" applyAlignment="1">
      <alignment horizontal="center"/>
    </xf>
    <xf numFmtId="2" fontId="2" fillId="2" borderId="70" xfId="0" applyNumberFormat="1" applyFont="1" applyFill="1" applyBorder="1" applyAlignment="1">
      <alignment horizontal="center" vertical="center" wrapText="1"/>
    </xf>
    <xf numFmtId="2" fontId="2" fillId="2" borderId="88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/>
    </xf>
    <xf numFmtId="2" fontId="51" fillId="0" borderId="45" xfId="0" applyNumberFormat="1" applyFont="1" applyBorder="1" applyAlignment="1">
      <alignment horizontal="center" vertical="center"/>
    </xf>
    <xf numFmtId="0" fontId="13" fillId="0" borderId="45" xfId="0" applyFont="1" applyBorder="1"/>
    <xf numFmtId="0" fontId="38" fillId="0" borderId="43" xfId="0" applyFont="1" applyBorder="1"/>
    <xf numFmtId="0" fontId="2" fillId="3" borderId="89" xfId="0" applyFont="1" applyFill="1" applyBorder="1" applyAlignment="1">
      <alignment horizontal="center" vertical="center" wrapText="1"/>
    </xf>
    <xf numFmtId="177" fontId="38" fillId="0" borderId="90" xfId="0" applyNumberFormat="1" applyFont="1" applyBorder="1" applyAlignment="1">
      <alignment horizontal="right" vertical="center" wrapText="1"/>
    </xf>
    <xf numFmtId="4" fontId="38" fillId="0" borderId="90" xfId="0" applyNumberFormat="1" applyFont="1" applyBorder="1"/>
    <xf numFmtId="2" fontId="4" fillId="0" borderId="90" xfId="0" applyNumberFormat="1" applyFont="1" applyBorder="1" applyAlignment="1">
      <alignment horizontal="right" vertical="center" wrapText="1"/>
    </xf>
    <xf numFmtId="2" fontId="4" fillId="0" borderId="91" xfId="0" applyNumberFormat="1" applyFont="1" applyBorder="1" applyAlignment="1">
      <alignment horizontal="right" vertical="center" wrapText="1"/>
    </xf>
    <xf numFmtId="10" fontId="38" fillId="0" borderId="92" xfId="0" applyNumberFormat="1" applyFont="1" applyBorder="1" applyAlignment="1">
      <alignment horizontal="right" vertical="center" wrapText="1"/>
    </xf>
    <xf numFmtId="186" fontId="38" fillId="0" borderId="92" xfId="0" applyNumberFormat="1" applyFont="1" applyBorder="1" applyAlignment="1">
      <alignment horizontal="right" vertical="center" wrapText="1"/>
    </xf>
    <xf numFmtId="2" fontId="4" fillId="0" borderId="92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 wrapText="1"/>
    </xf>
    <xf numFmtId="10" fontId="4" fillId="0" borderId="0" xfId="0" applyNumberFormat="1" applyFont="1" applyAlignment="1">
      <alignment horizontal="right" vertical="center" wrapText="1"/>
    </xf>
    <xf numFmtId="186" fontId="4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/>
    </xf>
    <xf numFmtId="0" fontId="17" fillId="7" borderId="93" xfId="0" applyFont="1" applyFill="1" applyBorder="1" applyAlignment="1">
      <alignment horizontal="center" vertical="center" wrapText="1"/>
    </xf>
    <xf numFmtId="0" fontId="14" fillId="7" borderId="33" xfId="0" applyFont="1" applyFill="1" applyBorder="1" applyAlignment="1">
      <alignment horizontal="center" vertical="center" wrapText="1"/>
    </xf>
    <xf numFmtId="0" fontId="14" fillId="7" borderId="9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3" fillId="8" borderId="84" xfId="0" applyFont="1" applyFill="1" applyBorder="1" applyAlignment="1">
      <alignment horizontal="center"/>
    </xf>
    <xf numFmtId="177" fontId="33" fillId="0" borderId="32" xfId="0" applyNumberFormat="1" applyFont="1" applyBorder="1"/>
    <xf numFmtId="4" fontId="33" fillId="0" borderId="32" xfId="0" applyNumberFormat="1" applyFont="1" applyBorder="1"/>
    <xf numFmtId="2" fontId="19" fillId="0" borderId="32" xfId="0" applyNumberFormat="1" applyFont="1" applyBorder="1"/>
    <xf numFmtId="2" fontId="19" fillId="0" borderId="85" xfId="0" applyNumberFormat="1" applyFont="1" applyBorder="1"/>
    <xf numFmtId="0" fontId="13" fillId="8" borderId="86" xfId="0" applyFont="1" applyFill="1" applyBorder="1" applyAlignment="1">
      <alignment horizontal="center"/>
    </xf>
    <xf numFmtId="177" fontId="33" fillId="0" borderId="70" xfId="0" applyNumberFormat="1" applyFont="1" applyBorder="1"/>
    <xf numFmtId="4" fontId="33" fillId="0" borderId="70" xfId="0" applyNumberFormat="1" applyFont="1" applyBorder="1"/>
    <xf numFmtId="2" fontId="19" fillId="0" borderId="70" xfId="0" applyNumberFormat="1" applyFont="1" applyBorder="1"/>
    <xf numFmtId="2" fontId="19" fillId="0" borderId="87" xfId="0" applyNumberFormat="1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/>
    <xf numFmtId="0" fontId="14" fillId="7" borderId="32" xfId="0" applyFont="1" applyFill="1" applyBorder="1" applyAlignment="1">
      <alignment horizontal="center" wrapText="1"/>
    </xf>
    <xf numFmtId="0" fontId="33" fillId="7" borderId="3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9" fillId="8" borderId="32" xfId="0" applyFont="1" applyFill="1" applyBorder="1" applyAlignment="1">
      <alignment horizontal="center"/>
    </xf>
    <xf numFmtId="177" fontId="56" fillId="2" borderId="32" xfId="0" applyNumberFormat="1" applyFont="1" applyFill="1" applyBorder="1" applyAlignment="1">
      <alignment horizontal="right"/>
    </xf>
    <xf numFmtId="4" fontId="57" fillId="0" borderId="32" xfId="0" applyNumberFormat="1" applyFont="1" applyBorder="1"/>
    <xf numFmtId="10" fontId="38" fillId="0" borderId="32" xfId="0" applyNumberFormat="1" applyFont="1" applyBorder="1" applyAlignment="1">
      <alignment horizontal="right" vertical="center" wrapText="1"/>
    </xf>
    <xf numFmtId="186" fontId="38" fillId="0" borderId="32" xfId="0" applyNumberFormat="1" applyFont="1" applyBorder="1" applyAlignment="1">
      <alignment horizontal="right" vertical="center" wrapText="1"/>
    </xf>
    <xf numFmtId="2" fontId="4" fillId="0" borderId="85" xfId="0" applyNumberFormat="1" applyFont="1" applyBorder="1" applyAlignment="1">
      <alignment horizontal="right" vertical="center" wrapText="1"/>
    </xf>
    <xf numFmtId="0" fontId="9" fillId="8" borderId="70" xfId="0" applyFont="1" applyFill="1" applyBorder="1" applyAlignment="1">
      <alignment horizontal="center"/>
    </xf>
    <xf numFmtId="177" fontId="56" fillId="2" borderId="70" xfId="0" applyNumberFormat="1" applyFont="1" applyFill="1" applyBorder="1" applyAlignment="1">
      <alignment horizontal="right"/>
    </xf>
    <xf numFmtId="4" fontId="57" fillId="0" borderId="70" xfId="0" applyNumberFormat="1" applyFont="1" applyBorder="1"/>
    <xf numFmtId="10" fontId="38" fillId="0" borderId="70" xfId="0" applyNumberFormat="1" applyFont="1" applyBorder="1" applyAlignment="1">
      <alignment horizontal="right" vertical="center" wrapText="1"/>
    </xf>
    <xf numFmtId="186" fontId="38" fillId="0" borderId="70" xfId="0" applyNumberFormat="1" applyFont="1" applyBorder="1" applyAlignment="1">
      <alignment horizontal="right" vertical="center" wrapText="1"/>
    </xf>
    <xf numFmtId="2" fontId="4" fillId="0" borderId="87" xfId="0" applyNumberFormat="1" applyFont="1" applyBorder="1" applyAlignment="1">
      <alignment horizontal="right" vertical="center" wrapText="1"/>
    </xf>
    <xf numFmtId="10" fontId="19" fillId="0" borderId="0" xfId="0" applyNumberFormat="1" applyFont="1" applyAlignment="1"/>
    <xf numFmtId="0" fontId="14" fillId="7" borderId="0" xfId="0" applyFont="1" applyFill="1" applyAlignment="1">
      <alignment horizontal="center" vertical="center" wrapText="1"/>
    </xf>
    <xf numFmtId="10" fontId="4" fillId="2" borderId="0" xfId="0" applyNumberFormat="1" applyFont="1" applyFill="1" applyAlignment="1">
      <alignment horizontal="center" vertical="center" wrapText="1"/>
    </xf>
    <xf numFmtId="0" fontId="9" fillId="8" borderId="70" xfId="0" applyFont="1" applyFill="1" applyBorder="1" applyAlignment="1">
      <alignment horizontal="center"/>
    </xf>
    <xf numFmtId="10" fontId="4" fillId="2" borderId="92" xfId="0" applyNumberFormat="1" applyFont="1" applyFill="1" applyBorder="1" applyAlignment="1">
      <alignment horizontal="center" vertical="center" wrapText="1"/>
    </xf>
    <xf numFmtId="0" fontId="19" fillId="8" borderId="84" xfId="0" applyFont="1" applyFill="1" applyBorder="1" applyAlignment="1">
      <alignment horizontal="center"/>
    </xf>
    <xf numFmtId="177" fontId="38" fillId="0" borderId="32" xfId="0" applyNumberFormat="1" applyFont="1" applyBorder="1"/>
    <xf numFmtId="4" fontId="58" fillId="0" borderId="32" xfId="0" applyNumberFormat="1" applyFont="1" applyBorder="1"/>
    <xf numFmtId="2" fontId="23" fillId="0" borderId="32" xfId="0" applyNumberFormat="1" applyFont="1" applyBorder="1"/>
    <xf numFmtId="2" fontId="4" fillId="0" borderId="32" xfId="0" applyNumberFormat="1" applyFont="1" applyBorder="1"/>
    <xf numFmtId="10" fontId="58" fillId="0" borderId="32" xfId="0" applyNumberFormat="1" applyFont="1" applyBorder="1"/>
    <xf numFmtId="2" fontId="38" fillId="0" borderId="32" xfId="0" applyNumberFormat="1" applyFont="1" applyBorder="1"/>
    <xf numFmtId="2" fontId="4" fillId="0" borderId="85" xfId="0" applyNumberFormat="1" applyFont="1" applyBorder="1"/>
    <xf numFmtId="0" fontId="19" fillId="8" borderId="86" xfId="0" applyFont="1" applyFill="1" applyBorder="1" applyAlignment="1">
      <alignment horizontal="center"/>
    </xf>
    <xf numFmtId="177" fontId="38" fillId="0" borderId="70" xfId="0" applyNumberFormat="1" applyFont="1" applyBorder="1"/>
    <xf numFmtId="4" fontId="58" fillId="0" borderId="70" xfId="0" applyNumberFormat="1" applyFont="1" applyBorder="1"/>
    <xf numFmtId="2" fontId="23" fillId="0" borderId="70" xfId="0" applyNumberFormat="1" applyFont="1" applyBorder="1"/>
    <xf numFmtId="2" fontId="4" fillId="0" borderId="70" xfId="0" applyNumberFormat="1" applyFont="1" applyBorder="1"/>
    <xf numFmtId="10" fontId="58" fillId="0" borderId="70" xfId="0" applyNumberFormat="1" applyFont="1" applyBorder="1"/>
    <xf numFmtId="2" fontId="38" fillId="0" borderId="70" xfId="0" applyNumberFormat="1" applyFont="1" applyBorder="1"/>
    <xf numFmtId="2" fontId="4" fillId="0" borderId="87" xfId="0" applyNumberFormat="1" applyFont="1" applyBorder="1"/>
    <xf numFmtId="0" fontId="23" fillId="2" borderId="0" xfId="0" applyFont="1" applyFill="1" applyAlignment="1"/>
    <xf numFmtId="0" fontId="49" fillId="2" borderId="16" xfId="0" applyFont="1" applyFill="1" applyBorder="1" applyAlignment="1">
      <alignment horizontal="left" vertical="top"/>
    </xf>
    <xf numFmtId="0" fontId="16" fillId="0" borderId="22" xfId="0" applyFont="1" applyBorder="1"/>
    <xf numFmtId="0" fontId="16" fillId="0" borderId="15" xfId="0" applyFont="1" applyBorder="1"/>
    <xf numFmtId="0" fontId="52" fillId="2" borderId="47" xfId="0" applyFont="1" applyFill="1" applyBorder="1" applyAlignment="1">
      <alignment vertical="top" wrapText="1"/>
    </xf>
    <xf numFmtId="0" fontId="16" fillId="0" borderId="48" xfId="0" applyFont="1" applyBorder="1"/>
    <xf numFmtId="0" fontId="16" fillId="0" borderId="49" xfId="0" applyFont="1" applyBorder="1"/>
    <xf numFmtId="0" fontId="16" fillId="0" borderId="50" xfId="0" applyFont="1" applyBorder="1"/>
    <xf numFmtId="0" fontId="16" fillId="0" borderId="51" xfId="0" applyFont="1" applyBorder="1"/>
    <xf numFmtId="0" fontId="16" fillId="0" borderId="52" xfId="0" applyFont="1" applyBorder="1"/>
    <xf numFmtId="0" fontId="53" fillId="2" borderId="47" xfId="0" applyFont="1" applyFill="1" applyBorder="1" applyAlignment="1">
      <alignment horizontal="left" vertical="top" wrapText="1"/>
    </xf>
    <xf numFmtId="0" fontId="28" fillId="2" borderId="16" xfId="0" applyFont="1" applyFill="1" applyBorder="1" applyAlignment="1">
      <alignment horizontal="left" vertical="top" wrapText="1"/>
    </xf>
    <xf numFmtId="0" fontId="30" fillId="2" borderId="24" xfId="0" applyFont="1" applyFill="1" applyBorder="1" applyAlignment="1">
      <alignment horizontal="left" vertical="top"/>
    </xf>
    <xf numFmtId="0" fontId="16" fillId="0" borderId="27" xfId="0" applyFont="1" applyBorder="1"/>
    <xf numFmtId="0" fontId="16" fillId="0" borderId="28" xfId="0" applyFont="1" applyBorder="1"/>
    <xf numFmtId="0" fontId="16" fillId="0" borderId="10" xfId="0" applyFont="1" applyBorder="1"/>
    <xf numFmtId="0" fontId="16" fillId="0" borderId="46" xfId="0" applyFont="1" applyBorder="1"/>
    <xf numFmtId="0" fontId="0" fillId="0" borderId="0" xfId="0" applyFont="1" applyAlignment="1"/>
    <xf numFmtId="0" fontId="39" fillId="2" borderId="44" xfId="0" applyFont="1" applyFill="1" applyBorder="1" applyAlignment="1">
      <alignment horizontal="left" vertical="top" wrapText="1"/>
    </xf>
    <xf numFmtId="0" fontId="41" fillId="2" borderId="47" xfId="0" applyFont="1" applyFill="1" applyBorder="1" applyAlignment="1">
      <alignment vertical="center" wrapText="1"/>
    </xf>
    <xf numFmtId="181" fontId="29" fillId="2" borderId="55" xfId="0" applyNumberFormat="1" applyFont="1" applyFill="1" applyBorder="1" applyAlignment="1">
      <alignment horizontal="left" vertical="center" wrapText="1"/>
    </xf>
    <xf numFmtId="0" fontId="16" fillId="0" borderId="56" xfId="0" applyFont="1" applyBorder="1"/>
    <xf numFmtId="0" fontId="16" fillId="0" borderId="57" xfId="0" applyFont="1" applyBorder="1"/>
    <xf numFmtId="0" fontId="50" fillId="2" borderId="22" xfId="0" applyFont="1" applyFill="1" applyBorder="1" applyAlignment="1">
      <alignment horizontal="left" vertical="top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/>
    <xf numFmtId="0" fontId="16" fillId="0" borderId="17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25" fillId="0" borderId="0" xfId="0" applyFont="1" applyAlignment="1">
      <alignment wrapText="1"/>
    </xf>
    <xf numFmtId="4" fontId="10" fillId="0" borderId="0" xfId="0" applyNumberFormat="1" applyFont="1" applyAlignment="1">
      <alignment horizontal="left" vertical="center"/>
    </xf>
    <xf numFmtId="0" fontId="66" fillId="0" borderId="14" xfId="1" applyFont="1" applyAlignment="1">
      <alignment horizontal="center" vertical="center"/>
    </xf>
    <xf numFmtId="0" fontId="65" fillId="0" borderId="14" xfId="1"/>
    <xf numFmtId="0" fontId="68" fillId="11" borderId="95" xfId="1" applyFont="1" applyFill="1" applyBorder="1" applyAlignment="1">
      <alignment horizontal="center" vertical="center"/>
    </xf>
    <xf numFmtId="0" fontId="68" fillId="11" borderId="96" xfId="1" applyFont="1" applyFill="1" applyBorder="1" applyAlignment="1">
      <alignment horizontal="center" vertical="center"/>
    </xf>
    <xf numFmtId="0" fontId="68" fillId="11" borderId="96" xfId="1" applyFont="1" applyFill="1" applyBorder="1" applyAlignment="1">
      <alignment horizontal="center" vertical="center"/>
    </xf>
    <xf numFmtId="0" fontId="65" fillId="0" borderId="97" xfId="1" applyBorder="1" applyAlignment="1">
      <alignment horizontal="center" vertical="center"/>
    </xf>
    <xf numFmtId="0" fontId="65" fillId="0" borderId="98" xfId="1" applyBorder="1" applyAlignment="1">
      <alignment horizontal="center" vertical="center"/>
    </xf>
    <xf numFmtId="0" fontId="65" fillId="0" borderId="98" xfId="1" applyBorder="1" applyAlignment="1">
      <alignment horizontal="center" vertical="center"/>
    </xf>
    <xf numFmtId="0" fontId="68" fillId="12" borderId="95" xfId="1" applyFont="1" applyFill="1" applyBorder="1" applyAlignment="1">
      <alignment horizontal="center" vertical="center"/>
    </xf>
    <xf numFmtId="0" fontId="68" fillId="13" borderId="99" xfId="1" applyFont="1" applyFill="1" applyBorder="1" applyAlignment="1">
      <alignment horizontal="center" vertical="center"/>
    </xf>
    <xf numFmtId="0" fontId="68" fillId="12" borderId="96" xfId="1" applyFont="1" applyFill="1" applyBorder="1" applyAlignment="1">
      <alignment horizontal="center" vertical="center"/>
    </xf>
    <xf numFmtId="0" fontId="68" fillId="14" borderId="100" xfId="1" applyFont="1" applyFill="1" applyBorder="1" applyAlignment="1">
      <alignment horizontal="center" vertical="center"/>
    </xf>
    <xf numFmtId="3" fontId="65" fillId="0" borderId="101" xfId="1" applyNumberFormat="1" applyBorder="1"/>
    <xf numFmtId="0" fontId="68" fillId="13" borderId="97" xfId="1" applyFont="1" applyFill="1" applyBorder="1" applyAlignment="1">
      <alignment horizontal="center" vertical="center"/>
    </xf>
    <xf numFmtId="3" fontId="68" fillId="14" borderId="98" xfId="1" applyNumberFormat="1" applyFont="1" applyFill="1" applyBorder="1"/>
    <xf numFmtId="0" fontId="69" fillId="15" borderId="102" xfId="1" applyFont="1" applyFill="1" applyBorder="1" applyAlignment="1">
      <alignment horizontal="center" vertical="center"/>
    </xf>
    <xf numFmtId="3" fontId="68" fillId="16" borderId="103" xfId="1" applyNumberFormat="1" applyFont="1" applyFill="1" applyBorder="1"/>
    <xf numFmtId="0" fontId="68" fillId="13" borderId="95" xfId="1" applyFont="1" applyFill="1" applyBorder="1" applyAlignment="1">
      <alignment horizontal="center" vertical="center"/>
    </xf>
    <xf numFmtId="0" fontId="68" fillId="13" borderId="104" xfId="1" applyFont="1" applyFill="1" applyBorder="1" applyAlignment="1">
      <alignment horizontal="center" vertical="center"/>
    </xf>
    <xf numFmtId="0" fontId="68" fillId="12" borderId="105" xfId="1" applyFont="1" applyFill="1" applyBorder="1" applyAlignment="1">
      <alignment horizontal="center" vertical="center"/>
    </xf>
    <xf numFmtId="0" fontId="68" fillId="12" borderId="101" xfId="1" applyFont="1" applyFill="1" applyBorder="1" applyAlignment="1">
      <alignment horizontal="center" vertical="center"/>
    </xf>
    <xf numFmtId="0" fontId="68" fillId="12" borderId="101" xfId="1" applyFont="1" applyFill="1" applyBorder="1" applyAlignment="1">
      <alignment horizontal="center" vertical="center"/>
    </xf>
    <xf numFmtId="0" fontId="68" fillId="0" borderId="106" xfId="1" applyFont="1" applyBorder="1" applyAlignment="1">
      <alignment horizontal="center" vertical="center"/>
    </xf>
    <xf numFmtId="0" fontId="65" fillId="0" borderId="107" xfId="1" applyBorder="1"/>
    <xf numFmtId="3" fontId="65" fillId="0" borderId="107" xfId="1" applyNumberFormat="1" applyBorder="1"/>
    <xf numFmtId="0" fontId="68" fillId="0" borderId="107" xfId="1" applyFont="1" applyBorder="1" applyAlignment="1">
      <alignment horizontal="center" vertical="center"/>
    </xf>
    <xf numFmtId="3" fontId="65" fillId="0" borderId="108" xfId="1" applyNumberFormat="1" applyBorder="1"/>
    <xf numFmtId="0" fontId="65" fillId="0" borderId="107" xfId="1" applyBorder="1"/>
    <xf numFmtId="0" fontId="65" fillId="0" borderId="108" xfId="1" applyBorder="1"/>
    <xf numFmtId="0" fontId="68" fillId="0" borderId="106" xfId="1" applyFont="1" applyBorder="1" applyAlignment="1">
      <alignment horizontal="center" vertical="center"/>
    </xf>
    <xf numFmtId="0" fontId="68" fillId="13" borderId="106" xfId="1" applyFont="1" applyFill="1" applyBorder="1" applyAlignment="1">
      <alignment horizontal="center" vertical="center"/>
    </xf>
    <xf numFmtId="3" fontId="68" fillId="17" borderId="107" xfId="1" applyNumberFormat="1" applyFont="1" applyFill="1" applyBorder="1"/>
    <xf numFmtId="0" fontId="68" fillId="13" borderId="107" xfId="1" applyFont="1" applyFill="1" applyBorder="1" applyAlignment="1">
      <alignment horizontal="center" vertical="center"/>
    </xf>
    <xf numFmtId="3" fontId="68" fillId="17" borderId="108" xfId="1" applyNumberFormat="1" applyFont="1" applyFill="1" applyBorder="1"/>
    <xf numFmtId="0" fontId="69" fillId="18" borderId="109" xfId="1" applyFont="1" applyFill="1" applyBorder="1" applyAlignment="1">
      <alignment horizontal="center" vertical="center"/>
    </xf>
    <xf numFmtId="3" fontId="68" fillId="17" borderId="110" xfId="1" applyNumberFormat="1" applyFont="1" applyFill="1" applyBorder="1" applyAlignment="1">
      <alignment horizontal="center" vertical="center"/>
    </xf>
    <xf numFmtId="0" fontId="69" fillId="19" borderId="111" xfId="1" applyFont="1" applyFill="1" applyBorder="1" applyAlignment="1">
      <alignment horizontal="center" vertical="center"/>
    </xf>
    <xf numFmtId="0" fontId="69" fillId="19" borderId="112" xfId="1" applyFont="1" applyFill="1" applyBorder="1" applyAlignment="1">
      <alignment horizontal="center" vertical="center"/>
    </xf>
    <xf numFmtId="0" fontId="69" fillId="19" borderId="112" xfId="1" applyFont="1" applyFill="1" applyBorder="1" applyAlignment="1">
      <alignment horizontal="center" vertical="center"/>
    </xf>
    <xf numFmtId="0" fontId="65" fillId="0" borderId="105" xfId="1" applyBorder="1"/>
    <xf numFmtId="0" fontId="65" fillId="0" borderId="101" xfId="1" applyBorder="1"/>
    <xf numFmtId="0" fontId="65" fillId="0" borderId="101" xfId="1" applyBorder="1" applyAlignment="1">
      <alignment horizontal="center" vertical="center"/>
    </xf>
    <xf numFmtId="3" fontId="65" fillId="0" borderId="113" xfId="1" applyNumberFormat="1" applyBorder="1"/>
    <xf numFmtId="187" fontId="65" fillId="0" borderId="101" xfId="1" applyNumberFormat="1" applyBorder="1"/>
    <xf numFmtId="3" fontId="69" fillId="15" borderId="102" xfId="1" applyNumberFormat="1" applyFont="1" applyFill="1" applyBorder="1" applyAlignment="1">
      <alignment horizontal="center" vertical="center"/>
    </xf>
    <xf numFmtId="0" fontId="68" fillId="16" borderId="114" xfId="1" applyFont="1" applyFill="1" applyBorder="1" applyAlignment="1">
      <alignment horizontal="center" vertical="center"/>
    </xf>
    <xf numFmtId="0" fontId="68" fillId="16" borderId="114" xfId="1" applyFont="1" applyFill="1" applyBorder="1" applyAlignment="1">
      <alignment horizontal="center" vertical="center"/>
    </xf>
    <xf numFmtId="0" fontId="68" fillId="16" borderId="115" xfId="1" applyFont="1" applyFill="1" applyBorder="1" applyAlignment="1">
      <alignment horizontal="center" vertical="center"/>
    </xf>
    <xf numFmtId="0" fontId="68" fillId="16" borderId="116" xfId="1" applyFont="1" applyFill="1" applyBorder="1" applyAlignment="1">
      <alignment horizontal="center" vertical="center"/>
    </xf>
    <xf numFmtId="0" fontId="68" fillId="16" borderId="116" xfId="1" applyFont="1" applyFill="1" applyBorder="1" applyAlignment="1">
      <alignment horizontal="center" vertical="center"/>
    </xf>
    <xf numFmtId="3" fontId="68" fillId="16" borderId="116" xfId="1" applyNumberFormat="1" applyFont="1" applyFill="1" applyBorder="1" applyAlignment="1">
      <alignment horizontal="center" vertical="center"/>
    </xf>
    <xf numFmtId="0" fontId="68" fillId="16" borderId="117" xfId="1" applyFont="1" applyFill="1" applyBorder="1" applyAlignment="1">
      <alignment horizontal="center" vertical="center"/>
    </xf>
    <xf numFmtId="0" fontId="65" fillId="0" borderId="101" xfId="1" applyBorder="1"/>
    <xf numFmtId="4" fontId="65" fillId="0" borderId="113" xfId="1" applyNumberFormat="1" applyBorder="1"/>
    <xf numFmtId="3" fontId="69" fillId="18" borderId="102" xfId="1" applyNumberFormat="1" applyFont="1" applyFill="1" applyBorder="1" applyAlignment="1">
      <alignment horizontal="center" vertical="center"/>
    </xf>
    <xf numFmtId="188" fontId="68" fillId="16" borderId="116" xfId="1" applyNumberFormat="1" applyFont="1" applyFill="1" applyBorder="1" applyAlignment="1">
      <alignment horizontal="center" vertical="center"/>
    </xf>
    <xf numFmtId="0" fontId="69" fillId="18" borderId="111" xfId="1" applyFont="1" applyFill="1" applyBorder="1" applyAlignment="1">
      <alignment horizontal="center" vertical="center"/>
    </xf>
    <xf numFmtId="0" fontId="69" fillId="18" borderId="112" xfId="1" applyFont="1" applyFill="1" applyBorder="1" applyAlignment="1">
      <alignment horizontal="center" vertical="center"/>
    </xf>
    <xf numFmtId="0" fontId="69" fillId="18" borderId="112" xfId="1" applyFont="1" applyFill="1" applyBorder="1" applyAlignment="1">
      <alignment horizontal="center" vertical="center"/>
    </xf>
    <xf numFmtId="3" fontId="68" fillId="16" borderId="116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650E6B2C-C616-429E-B517-CF965EF7C1C9}"/>
  </cellStyles>
  <dxfs count="140"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CC0000"/>
      </font>
      <fill>
        <patternFill patternType="solid">
          <fgColor rgb="FFFCE8E6"/>
          <bgColor rgb="FFFCE8E6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ko-KR" altLang="en-US" b="0">
                <a:solidFill>
                  <a:srgbClr val="757575"/>
                </a:solidFill>
                <a:latin typeface="+mn-lt"/>
              </a:rPr>
              <a:t>동적자산배분 투자비중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8EEE0"/>
              </a:solidFill>
            </c:spPr>
            <c:extLst>
              <c:ext xmlns:c16="http://schemas.microsoft.com/office/drawing/2014/chart" uri="{C3380CC4-5D6E-409C-BE32-E72D297353CC}">
                <c16:uniqueId val="{00000001-BC78-4849-AFB5-007D78DCBF33}"/>
              </c:ext>
            </c:extLst>
          </c:dPt>
          <c:dPt>
            <c:idx val="1"/>
            <c:bubble3D val="0"/>
            <c:spPr>
              <a:solidFill>
                <a:srgbClr val="FCFCBF"/>
              </a:solidFill>
            </c:spPr>
            <c:extLst>
              <c:ext xmlns:c16="http://schemas.microsoft.com/office/drawing/2014/chart" uri="{C3380CC4-5D6E-409C-BE32-E72D297353CC}">
                <c16:uniqueId val="{00000003-BC78-4849-AFB5-007D78DCBF33}"/>
              </c:ext>
            </c:extLst>
          </c:dPt>
          <c:dPt>
            <c:idx val="2"/>
            <c:bubble3D val="0"/>
            <c:spPr>
              <a:solidFill>
                <a:srgbClr val="E7FCBF"/>
              </a:solidFill>
            </c:spPr>
            <c:extLst>
              <c:ext xmlns:c16="http://schemas.microsoft.com/office/drawing/2014/chart" uri="{C3380CC4-5D6E-409C-BE32-E72D297353CC}">
                <c16:uniqueId val="{00000005-BC78-4849-AFB5-007D78DCBF33}"/>
              </c:ext>
            </c:extLst>
          </c:dPt>
          <c:cat>
            <c:strRef>
              <c:f>대시보드!$G$1:$G$3</c:f>
              <c:strCache>
                <c:ptCount val="3"/>
                <c:pt idx="0">
                  <c:v>채권</c:v>
                </c:pt>
                <c:pt idx="1">
                  <c:v>변형 듀얼모멘텀</c:v>
                </c:pt>
                <c:pt idx="2">
                  <c:v>BAA</c:v>
                </c:pt>
              </c:strCache>
            </c:strRef>
          </c:cat>
          <c:val>
            <c:numRef>
              <c:f>대시보드!$H$1:$H$3</c:f>
              <c:numCache>
                <c:formatCode>[$₩]#,##0</c:formatCode>
                <c:ptCount val="3"/>
                <c:pt idx="0">
                  <c:v>2222222.1333333333</c:v>
                </c:pt>
                <c:pt idx="1">
                  <c:v>2222222.1333333333</c:v>
                </c:pt>
                <c:pt idx="2">
                  <c:v>2222222.1333333333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8-4849-AFB5-007D78DC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ko-KR" altLang="en-US" b="0">
                <a:solidFill>
                  <a:srgbClr val="757575"/>
                </a:solidFill>
                <a:latin typeface="Arial"/>
              </a:rPr>
              <a:t>전체 투자비중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674EA7"/>
              </a:solidFill>
            </c:spPr>
            <c:extLst>
              <c:ext xmlns:c16="http://schemas.microsoft.com/office/drawing/2014/chart" uri="{C3380CC4-5D6E-409C-BE32-E72D297353CC}">
                <c16:uniqueId val="{00000001-71A1-448B-A930-D698005EAB7E}"/>
              </c:ext>
            </c:extLst>
          </c:dPt>
          <c:dPt>
            <c:idx val="1"/>
            <c:bubble3D val="0"/>
            <c:spPr>
              <a:solidFill>
                <a:srgbClr val="F9F773"/>
              </a:solidFill>
            </c:spPr>
            <c:extLst>
              <c:ext xmlns:c16="http://schemas.microsoft.com/office/drawing/2014/chart" uri="{C3380CC4-5D6E-409C-BE32-E72D297353CC}">
                <c16:uniqueId val="{00000003-71A1-448B-A930-D698005EAB7E}"/>
              </c:ext>
            </c:extLst>
          </c:dPt>
          <c:cat>
            <c:strRef>
              <c:f>대시보드!$B$2:$B$3</c:f>
              <c:strCache>
                <c:ptCount val="2"/>
                <c:pt idx="0">
                  <c:v>한국 개별주 퀀트</c:v>
                </c:pt>
                <c:pt idx="1">
                  <c:v>동적자산배분</c:v>
                </c:pt>
              </c:strCache>
            </c:strRef>
          </c:cat>
          <c:val>
            <c:numRef>
              <c:f>대시보드!$C$2:$C$3</c:f>
              <c:numCache>
                <c:formatCode>[$₩]#,##0</c:formatCode>
                <c:ptCount val="2"/>
                <c:pt idx="0">
                  <c:v>9999999.5999999996</c:v>
                </c:pt>
                <c:pt idx="1">
                  <c:v>6666666.4000000004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A1-448B-A930-D698005EA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SPY!$F$27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SPY!$B$28:$B$1000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SPY!$F$28:$F$1000</c:f>
              <c:numCache>
                <c:formatCode>#,##0.00</c:formatCode>
                <c:ptCount val="973"/>
                <c:pt idx="0">
                  <c:v>634.46</c:v>
                </c:pt>
                <c:pt idx="1">
                  <c:v>632.08000000000004</c:v>
                </c:pt>
                <c:pt idx="2">
                  <c:v>621.72</c:v>
                </c:pt>
                <c:pt idx="3">
                  <c:v>631.16999999999996</c:v>
                </c:pt>
                <c:pt idx="4">
                  <c:v>627.97</c:v>
                </c:pt>
                <c:pt idx="5">
                  <c:v>632.78</c:v>
                </c:pt>
                <c:pt idx="6">
                  <c:v>632.25</c:v>
                </c:pt>
                <c:pt idx="7">
                  <c:v>637.17999999999995</c:v>
                </c:pt>
                <c:pt idx="8">
                  <c:v>635.91999999999996</c:v>
                </c:pt>
                <c:pt idx="9">
                  <c:v>642.69000000000005</c:v>
                </c:pt>
                <c:pt idx="10">
                  <c:v>644.89</c:v>
                </c:pt>
                <c:pt idx="11">
                  <c:v>644.95000000000005</c:v>
                </c:pt>
                <c:pt idx="12">
                  <c:v>643.44000000000005</c:v>
                </c:pt>
                <c:pt idx="13">
                  <c:v>643.29999999999995</c:v>
                </c:pt>
                <c:pt idx="14">
                  <c:v>639.80999999999995</c:v>
                </c:pt>
                <c:pt idx="15">
                  <c:v>638.11</c:v>
                </c:pt>
                <c:pt idx="16">
                  <c:v>635.54999999999995</c:v>
                </c:pt>
                <c:pt idx="17">
                  <c:v>645.30999999999995</c:v>
                </c:pt>
                <c:pt idx="18">
                  <c:v>642.47</c:v>
                </c:pt>
                <c:pt idx="19">
                  <c:v>645.16</c:v>
                </c:pt>
                <c:pt idx="20">
                  <c:v>646.63</c:v>
                </c:pt>
                <c:pt idx="21">
                  <c:v>648.91999999999996</c:v>
                </c:pt>
                <c:pt idx="22">
                  <c:v>645.04999999999995</c:v>
                </c:pt>
                <c:pt idx="23">
                  <c:v>640.27</c:v>
                </c:pt>
                <c:pt idx="24">
                  <c:v>643.74</c:v>
                </c:pt>
                <c:pt idx="25">
                  <c:v>649.12</c:v>
                </c:pt>
                <c:pt idx="26">
                  <c:v>647.24</c:v>
                </c:pt>
                <c:pt idx="27">
                  <c:v>648.83000000000004</c:v>
                </c:pt>
                <c:pt idx="28">
                  <c:v>650.33000000000004</c:v>
                </c:pt>
                <c:pt idx="29">
                  <c:v>652.21</c:v>
                </c:pt>
                <c:pt idx="30">
                  <c:v>657.63</c:v>
                </c:pt>
                <c:pt idx="31">
                  <c:v>657.41</c:v>
                </c:pt>
                <c:pt idx="32">
                  <c:v>660.91</c:v>
                </c:pt>
                <c:pt idx="33">
                  <c:v>660</c:v>
                </c:pt>
                <c:pt idx="34">
                  <c:v>659.18</c:v>
                </c:pt>
                <c:pt idx="35">
                  <c:v>662.26</c:v>
                </c:pt>
                <c:pt idx="36">
                  <c:v>663.7</c:v>
                </c:pt>
                <c:pt idx="37">
                  <c:v>666.84</c:v>
                </c:pt>
                <c:pt idx="38">
                  <c:v>663.21</c:v>
                </c:pt>
                <c:pt idx="39">
                  <c:v>661.1</c:v>
                </c:pt>
                <c:pt idx="40">
                  <c:v>658.05</c:v>
                </c:pt>
                <c:pt idx="41">
                  <c:v>661.82</c:v>
                </c:pt>
                <c:pt idx="42">
                  <c:v>663.68</c:v>
                </c:pt>
                <c:pt idx="43">
                  <c:v>666.18</c:v>
                </c:pt>
                <c:pt idx="44">
                  <c:v>668.45</c:v>
                </c:pt>
                <c:pt idx="45">
                  <c:v>669.22</c:v>
                </c:pt>
                <c:pt idx="46">
                  <c:v>669.21</c:v>
                </c:pt>
                <c:pt idx="47">
                  <c:v>671.61</c:v>
                </c:pt>
                <c:pt idx="48">
                  <c:v>669.12</c:v>
                </c:pt>
                <c:pt idx="49">
                  <c:v>673.11</c:v>
                </c:pt>
                <c:pt idx="50">
                  <c:v>671.16</c:v>
                </c:pt>
                <c:pt idx="51">
                  <c:v>653.02</c:v>
                </c:pt>
                <c:pt idx="52">
                  <c:v>663.04</c:v>
                </c:pt>
                <c:pt idx="53">
                  <c:v>662.23</c:v>
                </c:pt>
                <c:pt idx="54">
                  <c:v>665.17</c:v>
                </c:pt>
                <c:pt idx="55">
                  <c:v>660.64</c:v>
                </c:pt>
                <c:pt idx="56">
                  <c:v>664.39</c:v>
                </c:pt>
                <c:pt idx="57">
                  <c:v>671.3</c:v>
                </c:pt>
                <c:pt idx="58">
                  <c:v>671.29</c:v>
                </c:pt>
                <c:pt idx="59">
                  <c:v>667.8</c:v>
                </c:pt>
                <c:pt idx="60">
                  <c:v>671.76</c:v>
                </c:pt>
                <c:pt idx="61">
                  <c:v>677.25</c:v>
                </c:pt>
                <c:pt idx="62">
                  <c:v>685.24</c:v>
                </c:pt>
                <c:pt idx="63">
                  <c:v>687.06</c:v>
                </c:pt>
                <c:pt idx="64">
                  <c:v>687.39</c:v>
                </c:pt>
                <c:pt idx="65">
                  <c:v>679.83</c:v>
                </c:pt>
                <c:pt idx="66">
                  <c:v>682.06</c:v>
                </c:pt>
                <c:pt idx="67">
                  <c:v>683.34</c:v>
                </c:pt>
                <c:pt idx="68">
                  <c:v>675.24</c:v>
                </c:pt>
                <c:pt idx="69">
                  <c:v>677.58</c:v>
                </c:pt>
                <c:pt idx="70">
                  <c:v>670.31</c:v>
                </c:pt>
                <c:pt idx="71">
                  <c:v>670.97</c:v>
                </c:pt>
                <c:pt idx="72">
                  <c:v>681.44</c:v>
                </c:pt>
                <c:pt idx="73">
                  <c:v>683</c:v>
                </c:pt>
                <c:pt idx="74">
                  <c:v>683.38</c:v>
                </c:pt>
                <c:pt idx="75">
                  <c:v>672.04</c:v>
                </c:pt>
                <c:pt idx="76">
                  <c:v>671.93</c:v>
                </c:pt>
                <c:pt idx="77">
                  <c:v>665.67</c:v>
                </c:pt>
                <c:pt idx="78">
                  <c:v>660.08</c:v>
                </c:pt>
                <c:pt idx="79">
                  <c:v>662.63</c:v>
                </c:pt>
                <c:pt idx="80">
                  <c:v>652.53</c:v>
                </c:pt>
                <c:pt idx="81">
                  <c:v>659.03</c:v>
                </c:pt>
                <c:pt idx="82">
                  <c:v>668.73</c:v>
                </c:pt>
                <c:pt idx="83">
                  <c:v>675.02</c:v>
                </c:pt>
                <c:pt idx="84">
                  <c:v>679.68</c:v>
                </c:pt>
                <c:pt idx="85">
                  <c:v>683.39</c:v>
                </c:pt>
                <c:pt idx="86">
                  <c:v>680.27</c:v>
                </c:pt>
                <c:pt idx="87">
                  <c:v>681.53</c:v>
                </c:pt>
                <c:pt idx="88">
                  <c:v>683.89</c:v>
                </c:pt>
                <c:pt idx="89">
                  <c:v>684.39</c:v>
                </c:pt>
                <c:pt idx="90">
                  <c:v>685.69</c:v>
                </c:pt>
                <c:pt idx="91">
                  <c:v>683.63</c:v>
                </c:pt>
                <c:pt idx="92">
                  <c:v>683.04</c:v>
                </c:pt>
                <c:pt idx="93">
                  <c:v>687.57</c:v>
                </c:pt>
                <c:pt idx="94">
                  <c:v>689.17</c:v>
                </c:pt>
                <c:pt idx="95">
                  <c:v>681.76</c:v>
                </c:pt>
                <c:pt idx="96">
                  <c:v>680.73</c:v>
                </c:pt>
                <c:pt idx="97">
                  <c:v>678.87</c:v>
                </c:pt>
                <c:pt idx="98">
                  <c:v>671.4</c:v>
                </c:pt>
                <c:pt idx="99">
                  <c:v>676.47</c:v>
                </c:pt>
                <c:pt idx="100">
                  <c:v>680.59</c:v>
                </c:pt>
                <c:pt idx="101">
                  <c:v>684.83</c:v>
                </c:pt>
                <c:pt idx="102">
                  <c:v>687.96</c:v>
                </c:pt>
                <c:pt idx="103">
                  <c:v>690.38</c:v>
                </c:pt>
                <c:pt idx="104">
                  <c:v>690.31</c:v>
                </c:pt>
                <c:pt idx="105">
                  <c:v>687.85</c:v>
                </c:pt>
                <c:pt idx="106">
                  <c:v>687.01</c:v>
                </c:pt>
                <c:pt idx="107">
                  <c:v>681.92</c:v>
                </c:pt>
                <c:pt idx="108">
                  <c:v>683.17</c:v>
                </c:pt>
                <c:pt idx="109">
                  <c:v>687.72</c:v>
                </c:pt>
                <c:pt idx="110">
                  <c:v>691.81</c:v>
                </c:pt>
                <c:pt idx="111">
                  <c:v>689.58</c:v>
                </c:pt>
                <c:pt idx="112">
                  <c:v>689.51</c:v>
                </c:pt>
                <c:pt idx="113">
                  <c:v>694.07</c:v>
                </c:pt>
                <c:pt idx="114">
                  <c:v>695.16</c:v>
                </c:pt>
                <c:pt idx="115">
                  <c:v>693.77</c:v>
                </c:pt>
                <c:pt idx="116">
                  <c:v>690.36</c:v>
                </c:pt>
                <c:pt idx="117">
                  <c:v>692.24</c:v>
                </c:pt>
                <c:pt idx="118">
                  <c:v>691.66</c:v>
                </c:pt>
                <c:pt idx="119">
                  <c:v>677.58</c:v>
                </c:pt>
                <c:pt idx="120">
                  <c:v>685.4</c:v>
                </c:pt>
                <c:pt idx="121">
                  <c:v>688.98</c:v>
                </c:pt>
                <c:pt idx="122">
                  <c:v>689.23</c:v>
                </c:pt>
                <c:pt idx="123">
                  <c:v>692.73</c:v>
                </c:pt>
                <c:pt idx="124">
                  <c:v>695.49</c:v>
                </c:pt>
                <c:pt idx="125">
                  <c:v>695.42</c:v>
                </c:pt>
                <c:pt idx="126">
                  <c:v>694.04</c:v>
                </c:pt>
                <c:pt idx="127">
                  <c:v>691.97</c:v>
                </c:pt>
                <c:pt idx="128">
                  <c:v>695.41</c:v>
                </c:pt>
                <c:pt idx="129">
                  <c:v>689.53</c:v>
                </c:pt>
                <c:pt idx="130">
                  <c:v>686.19</c:v>
                </c:pt>
                <c:pt idx="131">
                  <c:v>677.62</c:v>
                </c:pt>
                <c:pt idx="132">
                  <c:v>690.62</c:v>
                </c:pt>
                <c:pt idx="133">
                  <c:v>693.95</c:v>
                </c:pt>
                <c:pt idx="134">
                  <c:v>692.12</c:v>
                </c:pt>
                <c:pt idx="135">
                  <c:v>691.96</c:v>
                </c:pt>
                <c:pt idx="136">
                  <c:v>681.27</c:v>
                </c:pt>
                <c:pt idx="137">
                  <c:v>681.75</c:v>
                </c:pt>
                <c:pt idx="138">
                  <c:v>682.85</c:v>
                </c:pt>
                <c:pt idx="139">
                  <c:v>686.29</c:v>
                </c:pt>
                <c:pt idx="140">
                  <c:v>684.48</c:v>
                </c:pt>
                <c:pt idx="141">
                  <c:v>689.43</c:v>
                </c:pt>
                <c:pt idx="142">
                  <c:v>682.39</c:v>
                </c:pt>
                <c:pt idx="143">
                  <c:v>687.35</c:v>
                </c:pt>
                <c:pt idx="144">
                  <c:v>693.15</c:v>
                </c:pt>
                <c:pt idx="145">
                  <c:v>689.3</c:v>
                </c:pt>
                <c:pt idx="146">
                  <c:v>685.99</c:v>
                </c:pt>
                <c:pt idx="147">
                  <c:v>686.38</c:v>
                </c:pt>
                <c:pt idx="148">
                  <c:v>680.33</c:v>
                </c:pt>
                <c:pt idx="149">
                  <c:v>685.13</c:v>
                </c:pt>
                <c:pt idx="150">
                  <c:v>681.31</c:v>
                </c:pt>
                <c:pt idx="151">
                  <c:v>672.38</c:v>
                </c:pt>
                <c:pt idx="152">
                  <c:v>678.27</c:v>
                </c:pt>
                <c:pt idx="153">
                  <c:v>677.18</c:v>
                </c:pt>
                <c:pt idx="154">
                  <c:v>676.33</c:v>
                </c:pt>
                <c:pt idx="155">
                  <c:v>666.06</c:v>
                </c:pt>
                <c:pt idx="156">
                  <c:v>662.29</c:v>
                </c:pt>
                <c:pt idx="157">
                  <c:v>669.03</c:v>
                </c:pt>
                <c:pt idx="158">
                  <c:v>670.79</c:v>
                </c:pt>
                <c:pt idx="159">
                  <c:v>661.43</c:v>
                </c:pt>
                <c:pt idx="160">
                  <c:v>659.8</c:v>
                </c:pt>
                <c:pt idx="161">
                  <c:v>648.57000000000005</c:v>
                </c:pt>
                <c:pt idx="162">
                  <c:v>655.38</c:v>
                </c:pt>
                <c:pt idx="163">
                  <c:v>653.17999999999995</c:v>
                </c:pt>
                <c:pt idx="164">
                  <c:v>656.82</c:v>
                </c:pt>
                <c:pt idx="165">
                  <c:v>645.09</c:v>
                </c:pt>
                <c:pt idx="166">
                  <c:v>634.09</c:v>
                </c:pt>
                <c:pt idx="167">
                  <c:v>631.97</c:v>
                </c:pt>
                <c:pt idx="168">
                  <c:v>650.34</c:v>
                </c:pt>
                <c:pt idx="169">
                  <c:v>655.24</c:v>
                </c:pt>
                <c:pt idx="170">
                  <c:v>655.83</c:v>
                </c:pt>
                <c:pt idx="171">
                  <c:v>658.93</c:v>
                </c:pt>
                <c:pt idx="172">
                  <c:v>659.22</c:v>
                </c:pt>
                <c:pt idx="173">
                  <c:v>676.01</c:v>
                </c:pt>
                <c:pt idx="174">
                  <c:v>679.91</c:v>
                </c:pt>
                <c:pt idx="175">
                  <c:v>679.46</c:v>
                </c:pt>
                <c:pt idx="176">
                  <c:v>686.1</c:v>
                </c:pt>
                <c:pt idx="177">
                  <c:v>694.46</c:v>
                </c:pt>
                <c:pt idx="178">
                  <c:v>699.94</c:v>
                </c:pt>
                <c:pt idx="179">
                  <c:v>701.66</c:v>
                </c:pt>
                <c:pt idx="180">
                  <c:v>710.14</c:v>
                </c:pt>
                <c:pt idx="181">
                  <c:v>708.72</c:v>
                </c:pt>
                <c:pt idx="182">
                  <c:v>704.08</c:v>
                </c:pt>
                <c:pt idx="183">
                  <c:v>711.21</c:v>
                </c:pt>
                <c:pt idx="184">
                  <c:v>708.45</c:v>
                </c:pt>
                <c:pt idx="185">
                  <c:v>713.94</c:v>
                </c:pt>
                <c:pt idx="186">
                  <c:v>715.17</c:v>
                </c:pt>
                <c:pt idx="187">
                  <c:v>711.69</c:v>
                </c:pt>
                <c:pt idx="188">
                  <c:v>711.58</c:v>
                </c:pt>
                <c:pt idx="189">
                  <c:v>718.66</c:v>
                </c:pt>
                <c:pt idx="190">
                  <c:v>720.65</c:v>
                </c:pt>
                <c:pt idx="191">
                  <c:v>718.01</c:v>
                </c:pt>
                <c:pt idx="192">
                  <c:v>723.77</c:v>
                </c:pt>
                <c:pt idx="193">
                  <c:v>733.83</c:v>
                </c:pt>
                <c:pt idx="194">
                  <c:v>731.58</c:v>
                </c:pt>
                <c:pt idx="195">
                  <c:v>737.62</c:v>
                </c:pt>
                <c:pt idx="196">
                  <c:v>739.3</c:v>
                </c:pt>
                <c:pt idx="197">
                  <c:v>738.18</c:v>
                </c:pt>
                <c:pt idx="198">
                  <c:v>742.31</c:v>
                </c:pt>
                <c:pt idx="199">
                  <c:v>748.17</c:v>
                </c:pt>
                <c:pt idx="200">
                  <c:v>739.17</c:v>
                </c:pt>
                <c:pt idx="201">
                  <c:v>738.65</c:v>
                </c:pt>
                <c:pt idx="202">
                  <c:v>733.73</c:v>
                </c:pt>
                <c:pt idx="203">
                  <c:v>741.25</c:v>
                </c:pt>
                <c:pt idx="204">
                  <c:v>742.72</c:v>
                </c:pt>
                <c:pt idx="205">
                  <c:v>745.64</c:v>
                </c:pt>
                <c:pt idx="206">
                  <c:v>750.59</c:v>
                </c:pt>
                <c:pt idx="207">
                  <c:v>750.46</c:v>
                </c:pt>
                <c:pt idx="208">
                  <c:v>754.6</c:v>
                </c:pt>
                <c:pt idx="209">
                  <c:v>756.48</c:v>
                </c:pt>
                <c:pt idx="210">
                  <c:v>758.54</c:v>
                </c:pt>
                <c:pt idx="211">
                  <c:v>759.57</c:v>
                </c:pt>
                <c:pt idx="212">
                  <c:v>754.24</c:v>
                </c:pt>
                <c:pt idx="213">
                  <c:v>757.09</c:v>
                </c:pt>
                <c:pt idx="214">
                  <c:v>737.55</c:v>
                </c:pt>
                <c:pt idx="215">
                  <c:v>739.22</c:v>
                </c:pt>
                <c:pt idx="216">
                  <c:v>737.05</c:v>
                </c:pt>
                <c:pt idx="217">
                  <c:v>725.43</c:v>
                </c:pt>
                <c:pt idx="218">
                  <c:v>737.76</c:v>
                </c:pt>
                <c:pt idx="219">
                  <c:v>741.75</c:v>
                </c:pt>
                <c:pt idx="220">
                  <c:v>754.83</c:v>
                </c:pt>
                <c:pt idx="221">
                  <c:v>750.33</c:v>
                </c:pt>
                <c:pt idx="222">
                  <c:v>740.96</c:v>
                </c:pt>
                <c:pt idx="223">
                  <c:v>746.74</c:v>
                </c:pt>
                <c:pt idx="224">
                  <c:v>744.39</c:v>
                </c:pt>
                <c:pt idx="225">
                  <c:v>733.58</c:v>
                </c:pt>
                <c:pt idx="226">
                  <c:v>733.24</c:v>
                </c:pt>
                <c:pt idx="227">
                  <c:v>734.3</c:v>
                </c:pt>
                <c:pt idx="228">
                  <c:v>728.99</c:v>
                </c:pt>
                <c:pt idx="229">
                  <c:v>741</c:v>
                </c:pt>
                <c:pt idx="230">
                  <c:v>746.77</c:v>
                </c:pt>
                <c:pt idx="231">
                  <c:v>745.76</c:v>
                </c:pt>
                <c:pt idx="232">
                  <c:v>744.78</c:v>
                </c:pt>
                <c:pt idx="233">
                  <c:v>751.28</c:v>
                </c:pt>
                <c:pt idx="234">
                  <c:v>747.71</c:v>
                </c:pt>
                <c:pt idx="235">
                  <c:v>745.4</c:v>
                </c:pt>
                <c:pt idx="236">
                  <c:v>751.71</c:v>
                </c:pt>
                <c:pt idx="237">
                  <c:v>754.95</c:v>
                </c:pt>
                <c:pt idx="238">
                  <c:v>749.17</c:v>
                </c:pt>
                <c:pt idx="239">
                  <c:v>751.83</c:v>
                </c:pt>
                <c:pt idx="240">
                  <c:v>754.81</c:v>
                </c:pt>
                <c:pt idx="241">
                  <c:v>750.72</c:v>
                </c:pt>
                <c:pt idx="242">
                  <c:v>743.29</c:v>
                </c:pt>
                <c:pt idx="243">
                  <c:v>742.09</c:v>
                </c:pt>
                <c:pt idx="244">
                  <c:v>748.28</c:v>
                </c:pt>
                <c:pt idx="245">
                  <c:v>747.41</c:v>
                </c:pt>
                <c:pt idx="246">
                  <c:v>738.18</c:v>
                </c:pt>
                <c:pt idx="247">
                  <c:v>738.93</c:v>
                </c:pt>
                <c:pt idx="248">
                  <c:v>739.09</c:v>
                </c:pt>
                <c:pt idx="249">
                  <c:v>740.86</c:v>
                </c:pt>
                <c:pt idx="250">
                  <c:v>729.46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3-4BB9-B689-A7FFE61E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615545"/>
        <c:axId val="1571835114"/>
      </c:areaChart>
      <c:dateAx>
        <c:axId val="190961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571835114"/>
        <c:crosses val="autoZero"/>
        <c:auto val="1"/>
        <c:lblOffset val="100"/>
        <c:baseTimeUnit val="days"/>
      </c:dateAx>
      <c:valAx>
        <c:axId val="157183511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9096155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VNQ!$F$27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VNQ!$B$28:$B$1000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VNQ!$F$28:$F$1000</c:f>
              <c:numCache>
                <c:formatCode>#,##0.00</c:formatCode>
                <c:ptCount val="973"/>
                <c:pt idx="0">
                  <c:v>90.41</c:v>
                </c:pt>
                <c:pt idx="1">
                  <c:v>89.14</c:v>
                </c:pt>
                <c:pt idx="2">
                  <c:v>88.92</c:v>
                </c:pt>
                <c:pt idx="3">
                  <c:v>89.83</c:v>
                </c:pt>
                <c:pt idx="4">
                  <c:v>90.24</c:v>
                </c:pt>
                <c:pt idx="5">
                  <c:v>89.54</c:v>
                </c:pt>
                <c:pt idx="6">
                  <c:v>89.8</c:v>
                </c:pt>
                <c:pt idx="7">
                  <c:v>89.06</c:v>
                </c:pt>
                <c:pt idx="8">
                  <c:v>88.47</c:v>
                </c:pt>
                <c:pt idx="9">
                  <c:v>88.97</c:v>
                </c:pt>
                <c:pt idx="10">
                  <c:v>89.8</c:v>
                </c:pt>
                <c:pt idx="11">
                  <c:v>89.16</c:v>
                </c:pt>
                <c:pt idx="12">
                  <c:v>89.67</c:v>
                </c:pt>
                <c:pt idx="13">
                  <c:v>88.91</c:v>
                </c:pt>
                <c:pt idx="14">
                  <c:v>90.44</c:v>
                </c:pt>
                <c:pt idx="15">
                  <c:v>90.7</c:v>
                </c:pt>
                <c:pt idx="16">
                  <c:v>90.43</c:v>
                </c:pt>
                <c:pt idx="17">
                  <c:v>92.18</c:v>
                </c:pt>
                <c:pt idx="18">
                  <c:v>91.65</c:v>
                </c:pt>
                <c:pt idx="19">
                  <c:v>91.41</c:v>
                </c:pt>
                <c:pt idx="20">
                  <c:v>91.98</c:v>
                </c:pt>
                <c:pt idx="21">
                  <c:v>91.74</c:v>
                </c:pt>
                <c:pt idx="22">
                  <c:v>92.24</c:v>
                </c:pt>
                <c:pt idx="23">
                  <c:v>90.71</c:v>
                </c:pt>
                <c:pt idx="24">
                  <c:v>90.76</c:v>
                </c:pt>
                <c:pt idx="25">
                  <c:v>91.44</c:v>
                </c:pt>
                <c:pt idx="26">
                  <c:v>92.47</c:v>
                </c:pt>
                <c:pt idx="27">
                  <c:v>91.93</c:v>
                </c:pt>
                <c:pt idx="28">
                  <c:v>91.72</c:v>
                </c:pt>
                <c:pt idx="29">
                  <c:v>91.57</c:v>
                </c:pt>
                <c:pt idx="30">
                  <c:v>93.24</c:v>
                </c:pt>
                <c:pt idx="31">
                  <c:v>92.81</c:v>
                </c:pt>
                <c:pt idx="32">
                  <c:v>92.66</c:v>
                </c:pt>
                <c:pt idx="33">
                  <c:v>92.17</c:v>
                </c:pt>
                <c:pt idx="34">
                  <c:v>92.05</c:v>
                </c:pt>
                <c:pt idx="35">
                  <c:v>92.25</c:v>
                </c:pt>
                <c:pt idx="36">
                  <c:v>91.65</c:v>
                </c:pt>
                <c:pt idx="37">
                  <c:v>91.67</c:v>
                </c:pt>
                <c:pt idx="38">
                  <c:v>92.17</c:v>
                </c:pt>
                <c:pt idx="39">
                  <c:v>90.4</c:v>
                </c:pt>
                <c:pt idx="40">
                  <c:v>90.13</c:v>
                </c:pt>
                <c:pt idx="41">
                  <c:v>91.02</c:v>
                </c:pt>
                <c:pt idx="42">
                  <c:v>91.05</c:v>
                </c:pt>
                <c:pt idx="43">
                  <c:v>91.42</c:v>
                </c:pt>
                <c:pt idx="44">
                  <c:v>91.56</c:v>
                </c:pt>
                <c:pt idx="45">
                  <c:v>91.08</c:v>
                </c:pt>
                <c:pt idx="46">
                  <c:v>91.42</c:v>
                </c:pt>
                <c:pt idx="47">
                  <c:v>90.56</c:v>
                </c:pt>
                <c:pt idx="48">
                  <c:v>90.23</c:v>
                </c:pt>
                <c:pt idx="49">
                  <c:v>89.76</c:v>
                </c:pt>
                <c:pt idx="50">
                  <c:v>89.27</c:v>
                </c:pt>
                <c:pt idx="51">
                  <c:v>88.13</c:v>
                </c:pt>
                <c:pt idx="52">
                  <c:v>88.69</c:v>
                </c:pt>
                <c:pt idx="53">
                  <c:v>89.6</c:v>
                </c:pt>
                <c:pt idx="54">
                  <c:v>90.9</c:v>
                </c:pt>
                <c:pt idx="55">
                  <c:v>90.58</c:v>
                </c:pt>
                <c:pt idx="56">
                  <c:v>91.17</c:v>
                </c:pt>
                <c:pt idx="57">
                  <c:v>92.09</c:v>
                </c:pt>
                <c:pt idx="58">
                  <c:v>91.83</c:v>
                </c:pt>
                <c:pt idx="59">
                  <c:v>92.22</c:v>
                </c:pt>
                <c:pt idx="60">
                  <c:v>92.16</c:v>
                </c:pt>
                <c:pt idx="61">
                  <c:v>92.43</c:v>
                </c:pt>
                <c:pt idx="62">
                  <c:v>92.69</c:v>
                </c:pt>
                <c:pt idx="63">
                  <c:v>90.87</c:v>
                </c:pt>
                <c:pt idx="64">
                  <c:v>88.53</c:v>
                </c:pt>
                <c:pt idx="65">
                  <c:v>88.95</c:v>
                </c:pt>
                <c:pt idx="66">
                  <c:v>89.18</c:v>
                </c:pt>
                <c:pt idx="67">
                  <c:v>89.05</c:v>
                </c:pt>
                <c:pt idx="68">
                  <c:v>89.2</c:v>
                </c:pt>
                <c:pt idx="69">
                  <c:v>89.28</c:v>
                </c:pt>
                <c:pt idx="70">
                  <c:v>88.85</c:v>
                </c:pt>
                <c:pt idx="71">
                  <c:v>90.23</c:v>
                </c:pt>
                <c:pt idx="72">
                  <c:v>90.18</c:v>
                </c:pt>
                <c:pt idx="73">
                  <c:v>91.19</c:v>
                </c:pt>
                <c:pt idx="74">
                  <c:v>90.51</c:v>
                </c:pt>
                <c:pt idx="75">
                  <c:v>89.4</c:v>
                </c:pt>
                <c:pt idx="76">
                  <c:v>89.59</c:v>
                </c:pt>
                <c:pt idx="77">
                  <c:v>88.85</c:v>
                </c:pt>
                <c:pt idx="78">
                  <c:v>89.21</c:v>
                </c:pt>
                <c:pt idx="79">
                  <c:v>88.51</c:v>
                </c:pt>
                <c:pt idx="80">
                  <c:v>88.14</c:v>
                </c:pt>
                <c:pt idx="81">
                  <c:v>89.57</c:v>
                </c:pt>
                <c:pt idx="82">
                  <c:v>89.81</c:v>
                </c:pt>
                <c:pt idx="83">
                  <c:v>90.64</c:v>
                </c:pt>
                <c:pt idx="84">
                  <c:v>91.04</c:v>
                </c:pt>
                <c:pt idx="85">
                  <c:v>91.34</c:v>
                </c:pt>
                <c:pt idx="86">
                  <c:v>90.29</c:v>
                </c:pt>
                <c:pt idx="87">
                  <c:v>89.97</c:v>
                </c:pt>
                <c:pt idx="88">
                  <c:v>90.2</c:v>
                </c:pt>
                <c:pt idx="89">
                  <c:v>89.98</c:v>
                </c:pt>
                <c:pt idx="90">
                  <c:v>89.88</c:v>
                </c:pt>
                <c:pt idx="91">
                  <c:v>89.19</c:v>
                </c:pt>
                <c:pt idx="92">
                  <c:v>88.85</c:v>
                </c:pt>
                <c:pt idx="93">
                  <c:v>89.17</c:v>
                </c:pt>
                <c:pt idx="94">
                  <c:v>89.56</c:v>
                </c:pt>
                <c:pt idx="95">
                  <c:v>89.45</c:v>
                </c:pt>
                <c:pt idx="96">
                  <c:v>89.73</c:v>
                </c:pt>
                <c:pt idx="97">
                  <c:v>89.07</c:v>
                </c:pt>
                <c:pt idx="98">
                  <c:v>89.4</c:v>
                </c:pt>
                <c:pt idx="99">
                  <c:v>88.93</c:v>
                </c:pt>
                <c:pt idx="100">
                  <c:v>88.59</c:v>
                </c:pt>
                <c:pt idx="101">
                  <c:v>88.24</c:v>
                </c:pt>
                <c:pt idx="102">
                  <c:v>88.18</c:v>
                </c:pt>
                <c:pt idx="103">
                  <c:v>88.76</c:v>
                </c:pt>
                <c:pt idx="104">
                  <c:v>88.86</c:v>
                </c:pt>
                <c:pt idx="105">
                  <c:v>89.04</c:v>
                </c:pt>
                <c:pt idx="106">
                  <c:v>89.22</c:v>
                </c:pt>
                <c:pt idx="107">
                  <c:v>88.49</c:v>
                </c:pt>
                <c:pt idx="108">
                  <c:v>88.52</c:v>
                </c:pt>
                <c:pt idx="109">
                  <c:v>88.72</c:v>
                </c:pt>
                <c:pt idx="110">
                  <c:v>89.37</c:v>
                </c:pt>
                <c:pt idx="111">
                  <c:v>88.5</c:v>
                </c:pt>
                <c:pt idx="112">
                  <c:v>89.29</c:v>
                </c:pt>
                <c:pt idx="113">
                  <c:v>89.47</c:v>
                </c:pt>
                <c:pt idx="114">
                  <c:v>89.59</c:v>
                </c:pt>
                <c:pt idx="115">
                  <c:v>90.09</c:v>
                </c:pt>
                <c:pt idx="116">
                  <c:v>90.87</c:v>
                </c:pt>
                <c:pt idx="117">
                  <c:v>91.5</c:v>
                </c:pt>
                <c:pt idx="118">
                  <c:v>92.62</c:v>
                </c:pt>
                <c:pt idx="119">
                  <c:v>90.9</c:v>
                </c:pt>
                <c:pt idx="120">
                  <c:v>91.26</c:v>
                </c:pt>
                <c:pt idx="121">
                  <c:v>90.36</c:v>
                </c:pt>
                <c:pt idx="122">
                  <c:v>90.54</c:v>
                </c:pt>
                <c:pt idx="123">
                  <c:v>90.42</c:v>
                </c:pt>
                <c:pt idx="124">
                  <c:v>90.39</c:v>
                </c:pt>
                <c:pt idx="125">
                  <c:v>89.46</c:v>
                </c:pt>
                <c:pt idx="126">
                  <c:v>90.71</c:v>
                </c:pt>
                <c:pt idx="127">
                  <c:v>90.8</c:v>
                </c:pt>
                <c:pt idx="128">
                  <c:v>89.86</c:v>
                </c:pt>
                <c:pt idx="129">
                  <c:v>89.66</c:v>
                </c:pt>
                <c:pt idx="130">
                  <c:v>90.95</c:v>
                </c:pt>
                <c:pt idx="131">
                  <c:v>90.82</c:v>
                </c:pt>
                <c:pt idx="132">
                  <c:v>92.25</c:v>
                </c:pt>
                <c:pt idx="133">
                  <c:v>92.64</c:v>
                </c:pt>
                <c:pt idx="134">
                  <c:v>93.88</c:v>
                </c:pt>
                <c:pt idx="135">
                  <c:v>93.36</c:v>
                </c:pt>
                <c:pt idx="136">
                  <c:v>93.25</c:v>
                </c:pt>
                <c:pt idx="137">
                  <c:v>94.59</c:v>
                </c:pt>
                <c:pt idx="138">
                  <c:v>95.49</c:v>
                </c:pt>
                <c:pt idx="139">
                  <c:v>94.37</c:v>
                </c:pt>
                <c:pt idx="140">
                  <c:v>94.17</c:v>
                </c:pt>
                <c:pt idx="141">
                  <c:v>94.88</c:v>
                </c:pt>
                <c:pt idx="142">
                  <c:v>94.89</c:v>
                </c:pt>
                <c:pt idx="143">
                  <c:v>95.13</c:v>
                </c:pt>
                <c:pt idx="144">
                  <c:v>94.87</c:v>
                </c:pt>
                <c:pt idx="145">
                  <c:v>95.52</c:v>
                </c:pt>
                <c:pt idx="146">
                  <c:v>95.69</c:v>
                </c:pt>
                <c:pt idx="147">
                  <c:v>95.93</c:v>
                </c:pt>
                <c:pt idx="148">
                  <c:v>95.42</c:v>
                </c:pt>
                <c:pt idx="149">
                  <c:v>95.54</c:v>
                </c:pt>
                <c:pt idx="150">
                  <c:v>94.58</c:v>
                </c:pt>
                <c:pt idx="151">
                  <c:v>93.55</c:v>
                </c:pt>
                <c:pt idx="152">
                  <c:v>93.76</c:v>
                </c:pt>
                <c:pt idx="153">
                  <c:v>93.62</c:v>
                </c:pt>
                <c:pt idx="154">
                  <c:v>92.65</c:v>
                </c:pt>
                <c:pt idx="155">
                  <c:v>92.01</c:v>
                </c:pt>
                <c:pt idx="156">
                  <c:v>92.16</c:v>
                </c:pt>
                <c:pt idx="157">
                  <c:v>92.93</c:v>
                </c:pt>
                <c:pt idx="158">
                  <c:v>93.34</c:v>
                </c:pt>
                <c:pt idx="159">
                  <c:v>91.96</c:v>
                </c:pt>
                <c:pt idx="160">
                  <c:v>91.59</c:v>
                </c:pt>
                <c:pt idx="161">
                  <c:v>88.75</c:v>
                </c:pt>
                <c:pt idx="162">
                  <c:v>89.44</c:v>
                </c:pt>
                <c:pt idx="163">
                  <c:v>87.91</c:v>
                </c:pt>
                <c:pt idx="164">
                  <c:v>87.84</c:v>
                </c:pt>
                <c:pt idx="165">
                  <c:v>87.72</c:v>
                </c:pt>
                <c:pt idx="166">
                  <c:v>87</c:v>
                </c:pt>
                <c:pt idx="167">
                  <c:v>87.33</c:v>
                </c:pt>
                <c:pt idx="168">
                  <c:v>88.7</c:v>
                </c:pt>
                <c:pt idx="169">
                  <c:v>89.02</c:v>
                </c:pt>
                <c:pt idx="170">
                  <c:v>90.23</c:v>
                </c:pt>
                <c:pt idx="171">
                  <c:v>90.36</c:v>
                </c:pt>
                <c:pt idx="172">
                  <c:v>90.49</c:v>
                </c:pt>
                <c:pt idx="173">
                  <c:v>92.12</c:v>
                </c:pt>
                <c:pt idx="174">
                  <c:v>92.78</c:v>
                </c:pt>
                <c:pt idx="175">
                  <c:v>92.98</c:v>
                </c:pt>
                <c:pt idx="176">
                  <c:v>93.33</c:v>
                </c:pt>
                <c:pt idx="177">
                  <c:v>94.22</c:v>
                </c:pt>
                <c:pt idx="178">
                  <c:v>94.29</c:v>
                </c:pt>
                <c:pt idx="179">
                  <c:v>95.16</c:v>
                </c:pt>
                <c:pt idx="180">
                  <c:v>96.68</c:v>
                </c:pt>
                <c:pt idx="181">
                  <c:v>97.03</c:v>
                </c:pt>
                <c:pt idx="182">
                  <c:v>95.31</c:v>
                </c:pt>
                <c:pt idx="183">
                  <c:v>94.52</c:v>
                </c:pt>
                <c:pt idx="184">
                  <c:v>95.49</c:v>
                </c:pt>
                <c:pt idx="185">
                  <c:v>95.3</c:v>
                </c:pt>
                <c:pt idx="186">
                  <c:v>94.78</c:v>
                </c:pt>
                <c:pt idx="187">
                  <c:v>95.65</c:v>
                </c:pt>
                <c:pt idx="188">
                  <c:v>94.9</c:v>
                </c:pt>
                <c:pt idx="189">
                  <c:v>96.33</c:v>
                </c:pt>
                <c:pt idx="190">
                  <c:v>96.06</c:v>
                </c:pt>
                <c:pt idx="191">
                  <c:v>95.46</c:v>
                </c:pt>
                <c:pt idx="192">
                  <c:v>95.76</c:v>
                </c:pt>
                <c:pt idx="193">
                  <c:v>97.09</c:v>
                </c:pt>
                <c:pt idx="194">
                  <c:v>96.39</c:v>
                </c:pt>
                <c:pt idx="195">
                  <c:v>96.62</c:v>
                </c:pt>
                <c:pt idx="196">
                  <c:v>96.69</c:v>
                </c:pt>
                <c:pt idx="197">
                  <c:v>96.69</c:v>
                </c:pt>
                <c:pt idx="198">
                  <c:v>95.89</c:v>
                </c:pt>
                <c:pt idx="199">
                  <c:v>95.32</c:v>
                </c:pt>
                <c:pt idx="200">
                  <c:v>93.91</c:v>
                </c:pt>
                <c:pt idx="201">
                  <c:v>95.01</c:v>
                </c:pt>
                <c:pt idx="202">
                  <c:v>95.28</c:v>
                </c:pt>
                <c:pt idx="203">
                  <c:v>96.49</c:v>
                </c:pt>
                <c:pt idx="204">
                  <c:v>96.67</c:v>
                </c:pt>
                <c:pt idx="205">
                  <c:v>96.77</c:v>
                </c:pt>
                <c:pt idx="206">
                  <c:v>97.22</c:v>
                </c:pt>
                <c:pt idx="207">
                  <c:v>96.92</c:v>
                </c:pt>
                <c:pt idx="208">
                  <c:v>96.55</c:v>
                </c:pt>
                <c:pt idx="209">
                  <c:v>95.7</c:v>
                </c:pt>
                <c:pt idx="210">
                  <c:v>94.09</c:v>
                </c:pt>
                <c:pt idx="211">
                  <c:v>94.52</c:v>
                </c:pt>
                <c:pt idx="212">
                  <c:v>94.41</c:v>
                </c:pt>
                <c:pt idx="213">
                  <c:v>96.1</c:v>
                </c:pt>
                <c:pt idx="214">
                  <c:v>96.79</c:v>
                </c:pt>
                <c:pt idx="215">
                  <c:v>95.47</c:v>
                </c:pt>
                <c:pt idx="216">
                  <c:v>97.67</c:v>
                </c:pt>
                <c:pt idx="217">
                  <c:v>97.68</c:v>
                </c:pt>
                <c:pt idx="218">
                  <c:v>97.61</c:v>
                </c:pt>
                <c:pt idx="219">
                  <c:v>98.51</c:v>
                </c:pt>
                <c:pt idx="220">
                  <c:v>97.82</c:v>
                </c:pt>
                <c:pt idx="221">
                  <c:v>98.06</c:v>
                </c:pt>
                <c:pt idx="222">
                  <c:v>95.61</c:v>
                </c:pt>
                <c:pt idx="223">
                  <c:v>95.56</c:v>
                </c:pt>
                <c:pt idx="224">
                  <c:v>96.59</c:v>
                </c:pt>
                <c:pt idx="225">
                  <c:v>97.86</c:v>
                </c:pt>
                <c:pt idx="226">
                  <c:v>97.01</c:v>
                </c:pt>
                <c:pt idx="227">
                  <c:v>97.19</c:v>
                </c:pt>
                <c:pt idx="228">
                  <c:v>98.67</c:v>
                </c:pt>
                <c:pt idx="229">
                  <c:v>98.15</c:v>
                </c:pt>
                <c:pt idx="230">
                  <c:v>96.43</c:v>
                </c:pt>
                <c:pt idx="231">
                  <c:v>96.82</c:v>
                </c:pt>
                <c:pt idx="232">
                  <c:v>98.02</c:v>
                </c:pt>
                <c:pt idx="233">
                  <c:v>97.24</c:v>
                </c:pt>
                <c:pt idx="234">
                  <c:v>98.4</c:v>
                </c:pt>
                <c:pt idx="235">
                  <c:v>96.8</c:v>
                </c:pt>
                <c:pt idx="236">
                  <c:v>97.09</c:v>
                </c:pt>
                <c:pt idx="237">
                  <c:v>97.32</c:v>
                </c:pt>
                <c:pt idx="238">
                  <c:v>97.83</c:v>
                </c:pt>
                <c:pt idx="239">
                  <c:v>97.57</c:v>
                </c:pt>
                <c:pt idx="240">
                  <c:v>97.86</c:v>
                </c:pt>
                <c:pt idx="241">
                  <c:v>100.07</c:v>
                </c:pt>
                <c:pt idx="242">
                  <c:v>100.02</c:v>
                </c:pt>
                <c:pt idx="243">
                  <c:v>99.48</c:v>
                </c:pt>
                <c:pt idx="244">
                  <c:v>99.52</c:v>
                </c:pt>
                <c:pt idx="245">
                  <c:v>99.02</c:v>
                </c:pt>
                <c:pt idx="246">
                  <c:v>98.69</c:v>
                </c:pt>
                <c:pt idx="247">
                  <c:v>100.81</c:v>
                </c:pt>
                <c:pt idx="248">
                  <c:v>100.54</c:v>
                </c:pt>
                <c:pt idx="249">
                  <c:v>100.95</c:v>
                </c:pt>
                <c:pt idx="250">
                  <c:v>100.66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5-4BB7-9589-3D403929B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094232"/>
        <c:axId val="300747917"/>
      </c:areaChart>
      <c:dateAx>
        <c:axId val="108309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300747917"/>
        <c:crosses val="autoZero"/>
        <c:auto val="1"/>
        <c:lblOffset val="100"/>
        <c:baseTimeUnit val="days"/>
      </c:dateAx>
      <c:valAx>
        <c:axId val="30074791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08309423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VEA!$F$27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VEA!$B$28:$B$1000</c:f>
              <c:numCache>
                <c:formatCode>mmm" "d", "yyyy</c:formatCode>
                <c:ptCount val="973"/>
                <c:pt idx="0">
                  <c:v>46052.666666666599</c:v>
                </c:pt>
                <c:pt idx="1">
                  <c:v>46055.666666666599</c:v>
                </c:pt>
                <c:pt idx="2">
                  <c:v>46056.666666666599</c:v>
                </c:pt>
                <c:pt idx="3">
                  <c:v>46057.666666666599</c:v>
                </c:pt>
                <c:pt idx="4">
                  <c:v>46058.666666666599</c:v>
                </c:pt>
                <c:pt idx="5">
                  <c:v>46059.666666666599</c:v>
                </c:pt>
                <c:pt idx="6">
                  <c:v>46062.666666666599</c:v>
                </c:pt>
                <c:pt idx="7">
                  <c:v>46063.666666666599</c:v>
                </c:pt>
                <c:pt idx="8">
                  <c:v>46064.666666666599</c:v>
                </c:pt>
                <c:pt idx="9">
                  <c:v>46065.666666666599</c:v>
                </c:pt>
                <c:pt idx="10">
                  <c:v>46066.666666666599</c:v>
                </c:pt>
                <c:pt idx="11">
                  <c:v>46070.666666666599</c:v>
                </c:pt>
                <c:pt idx="12">
                  <c:v>46071.666666666599</c:v>
                </c:pt>
                <c:pt idx="13">
                  <c:v>46072.666666666599</c:v>
                </c:pt>
                <c:pt idx="14">
                  <c:v>46073.666666666599</c:v>
                </c:pt>
                <c:pt idx="15">
                  <c:v>46076.666666666599</c:v>
                </c:pt>
                <c:pt idx="16">
                  <c:v>46077.666666666599</c:v>
                </c:pt>
                <c:pt idx="17">
                  <c:v>46078.666666666599</c:v>
                </c:pt>
                <c:pt idx="18">
                  <c:v>46079.666666666599</c:v>
                </c:pt>
                <c:pt idx="19">
                  <c:v>46080.666666666599</c:v>
                </c:pt>
                <c:pt idx="20">
                  <c:v>46083.666666666599</c:v>
                </c:pt>
                <c:pt idx="21">
                  <c:v>46084.666666666599</c:v>
                </c:pt>
                <c:pt idx="22">
                  <c:v>46085.666666666599</c:v>
                </c:pt>
                <c:pt idx="23">
                  <c:v>46086.666666666599</c:v>
                </c:pt>
                <c:pt idx="24">
                  <c:v>46087.666666666599</c:v>
                </c:pt>
                <c:pt idx="25">
                  <c:v>46090.666666666599</c:v>
                </c:pt>
                <c:pt idx="26">
                  <c:v>46091.666666666599</c:v>
                </c:pt>
                <c:pt idx="27">
                  <c:v>46092.666666666599</c:v>
                </c:pt>
                <c:pt idx="28">
                  <c:v>46093.666666666599</c:v>
                </c:pt>
                <c:pt idx="29">
                  <c:v>46094.666666666599</c:v>
                </c:pt>
                <c:pt idx="30">
                  <c:v>46097.666666666599</c:v>
                </c:pt>
                <c:pt idx="31">
                  <c:v>46098.666666666599</c:v>
                </c:pt>
                <c:pt idx="32">
                  <c:v>46099.666666666599</c:v>
                </c:pt>
                <c:pt idx="33">
                  <c:v>46100.666666666599</c:v>
                </c:pt>
                <c:pt idx="34">
                  <c:v>46101.666666666599</c:v>
                </c:pt>
                <c:pt idx="35">
                  <c:v>46104.666666666599</c:v>
                </c:pt>
                <c:pt idx="36">
                  <c:v>46105.666666666599</c:v>
                </c:pt>
                <c:pt idx="37">
                  <c:v>46106.666666666599</c:v>
                </c:pt>
                <c:pt idx="38">
                  <c:v>46107.666666666599</c:v>
                </c:pt>
                <c:pt idx="39">
                  <c:v>46108.666666666599</c:v>
                </c:pt>
                <c:pt idx="40">
                  <c:v>46111.666666666599</c:v>
                </c:pt>
                <c:pt idx="41">
                  <c:v>46112.666666666599</c:v>
                </c:pt>
                <c:pt idx="42">
                  <c:v>46113.666666666599</c:v>
                </c:pt>
                <c:pt idx="43">
                  <c:v>46114.666666666599</c:v>
                </c:pt>
                <c:pt idx="44">
                  <c:v>46118.666666666599</c:v>
                </c:pt>
                <c:pt idx="45">
                  <c:v>46119.666666666599</c:v>
                </c:pt>
                <c:pt idx="46">
                  <c:v>46120.666666666599</c:v>
                </c:pt>
                <c:pt idx="47">
                  <c:v>46121.666666666599</c:v>
                </c:pt>
                <c:pt idx="48">
                  <c:v>46122.666666666599</c:v>
                </c:pt>
                <c:pt idx="49">
                  <c:v>46125.666666666599</c:v>
                </c:pt>
                <c:pt idx="50">
                  <c:v>46126.666666666599</c:v>
                </c:pt>
                <c:pt idx="51">
                  <c:v>46127.666666666599</c:v>
                </c:pt>
                <c:pt idx="52">
                  <c:v>46128.666666666599</c:v>
                </c:pt>
                <c:pt idx="53">
                  <c:v>46129.666666666599</c:v>
                </c:pt>
                <c:pt idx="54">
                  <c:v>46132.666666666599</c:v>
                </c:pt>
                <c:pt idx="55">
                  <c:v>46133.666666666599</c:v>
                </c:pt>
                <c:pt idx="56">
                  <c:v>46134.666666666599</c:v>
                </c:pt>
                <c:pt idx="57">
                  <c:v>46135.666666666599</c:v>
                </c:pt>
                <c:pt idx="58">
                  <c:v>46136.666666666599</c:v>
                </c:pt>
                <c:pt idx="59">
                  <c:v>46139.666666666599</c:v>
                </c:pt>
                <c:pt idx="60">
                  <c:v>46140.666666666599</c:v>
                </c:pt>
                <c:pt idx="61">
                  <c:v>46141.666666666599</c:v>
                </c:pt>
                <c:pt idx="62">
                  <c:v>46142.666666666599</c:v>
                </c:pt>
                <c:pt idx="63">
                  <c:v>46143.666666666599</c:v>
                </c:pt>
                <c:pt idx="64">
                  <c:v>46146.666666666599</c:v>
                </c:pt>
                <c:pt idx="65">
                  <c:v>46147.666666666599</c:v>
                </c:pt>
                <c:pt idx="66">
                  <c:v>46148.666666666599</c:v>
                </c:pt>
                <c:pt idx="67">
                  <c:v>46149.666666666599</c:v>
                </c:pt>
                <c:pt idx="68">
                  <c:v>46150.666666666599</c:v>
                </c:pt>
                <c:pt idx="69">
                  <c:v>46153.666666666599</c:v>
                </c:pt>
                <c:pt idx="70">
                  <c:v>46154.666666666599</c:v>
                </c:pt>
                <c:pt idx="71">
                  <c:v>46155.666666666599</c:v>
                </c:pt>
                <c:pt idx="72">
                  <c:v>46156.666666666599</c:v>
                </c:pt>
                <c:pt idx="73">
                  <c:v>46157.666666666599</c:v>
                </c:pt>
                <c:pt idx="74">
                  <c:v>46160.666666666599</c:v>
                </c:pt>
                <c:pt idx="75">
                  <c:v>46161.666666666599</c:v>
                </c:pt>
                <c:pt idx="76">
                  <c:v>46162.666666666599</c:v>
                </c:pt>
                <c:pt idx="77">
                  <c:v>46163.666666666599</c:v>
                </c:pt>
                <c:pt idx="78">
                  <c:v>46164.666666666599</c:v>
                </c:pt>
                <c:pt idx="79">
                  <c:v>46168.666666666599</c:v>
                </c:pt>
                <c:pt idx="80">
                  <c:v>46169.666666666599</c:v>
                </c:pt>
                <c:pt idx="81">
                  <c:v>46170.666666666599</c:v>
                </c:pt>
                <c:pt idx="82">
                  <c:v>46171.666666666599</c:v>
                </c:pt>
                <c:pt idx="83">
                  <c:v>46174.666666666599</c:v>
                </c:pt>
                <c:pt idx="84">
                  <c:v>46175.666666666599</c:v>
                </c:pt>
                <c:pt idx="85">
                  <c:v>46176.666666666599</c:v>
                </c:pt>
                <c:pt idx="86">
                  <c:v>46177.666666666599</c:v>
                </c:pt>
                <c:pt idx="87">
                  <c:v>46178.666666666599</c:v>
                </c:pt>
                <c:pt idx="88">
                  <c:v>46181.666666666599</c:v>
                </c:pt>
                <c:pt idx="89">
                  <c:v>46182.666666666599</c:v>
                </c:pt>
                <c:pt idx="90">
                  <c:v>46183.666666666599</c:v>
                </c:pt>
                <c:pt idx="91">
                  <c:v>46184.666666666599</c:v>
                </c:pt>
                <c:pt idx="92">
                  <c:v>46185.666666666599</c:v>
                </c:pt>
                <c:pt idx="93">
                  <c:v>46188.666666666599</c:v>
                </c:pt>
                <c:pt idx="94">
                  <c:v>46189.666666666599</c:v>
                </c:pt>
                <c:pt idx="95">
                  <c:v>46190.666666666599</c:v>
                </c:pt>
                <c:pt idx="96">
                  <c:v>46191.666666666599</c:v>
                </c:pt>
                <c:pt idx="97">
                  <c:v>46195.666666666599</c:v>
                </c:pt>
                <c:pt idx="98">
                  <c:v>46196.666666666599</c:v>
                </c:pt>
                <c:pt idx="99">
                  <c:v>46197.666666666599</c:v>
                </c:pt>
                <c:pt idx="100">
                  <c:v>46198.666666666599</c:v>
                </c:pt>
                <c:pt idx="101">
                  <c:v>46199.666666666599</c:v>
                </c:pt>
                <c:pt idx="102">
                  <c:v>46202.666666666599</c:v>
                </c:pt>
                <c:pt idx="103">
                  <c:v>46203.666666666599</c:v>
                </c:pt>
                <c:pt idx="104">
                  <c:v>46204.666666666599</c:v>
                </c:pt>
                <c:pt idx="105">
                  <c:v>46205.666666666599</c:v>
                </c:pt>
                <c:pt idx="106">
                  <c:v>46209.666666666599</c:v>
                </c:pt>
                <c:pt idx="107">
                  <c:v>46210.666666666599</c:v>
                </c:pt>
                <c:pt idx="108">
                  <c:v>46211.666666666599</c:v>
                </c:pt>
                <c:pt idx="109">
                  <c:v>46212.666666666599</c:v>
                </c:pt>
                <c:pt idx="110">
                  <c:v>46213.666666666599</c:v>
                </c:pt>
                <c:pt idx="111">
                  <c:v>46216.666666666599</c:v>
                </c:pt>
                <c:pt idx="112">
                  <c:v>46217.666666666599</c:v>
                </c:pt>
                <c:pt idx="113">
                  <c:v>46218.666666666599</c:v>
                </c:pt>
                <c:pt idx="114">
                  <c:v>46219.666666666599</c:v>
                </c:pt>
                <c:pt idx="115">
                  <c:v>46220.666666666599</c:v>
                </c:pt>
                <c:pt idx="116">
                  <c:v>46223.666666666599</c:v>
                </c:pt>
                <c:pt idx="117">
                  <c:v>46224.666666666599</c:v>
                </c:pt>
                <c:pt idx="118">
                  <c:v>46225.666666666599</c:v>
                </c:pt>
                <c:pt idx="119">
                  <c:v>46226.666666666599</c:v>
                </c:pt>
                <c:pt idx="120">
                  <c:v>46227.666666666599</c:v>
                </c:pt>
                <c:pt idx="121">
                  <c:v>46230.666666666599</c:v>
                </c:pt>
                <c:pt idx="122">
                  <c:v>46231.666666666599</c:v>
                </c:pt>
                <c:pt idx="123">
                  <c:v>46232.666666666599</c:v>
                </c:pt>
              </c:numCache>
            </c:numRef>
          </c:cat>
          <c:val>
            <c:numRef>
              <c:f>VEA!$F$28:$F$1000</c:f>
              <c:numCache>
                <c:formatCode>#,##0.00</c:formatCode>
                <c:ptCount val="973"/>
                <c:pt idx="0">
                  <c:v>66.2</c:v>
                </c:pt>
                <c:pt idx="1">
                  <c:v>66.459999999999994</c:v>
                </c:pt>
                <c:pt idx="2">
                  <c:v>66.72</c:v>
                </c:pt>
                <c:pt idx="3">
                  <c:v>66.8</c:v>
                </c:pt>
                <c:pt idx="4">
                  <c:v>65.900000000000006</c:v>
                </c:pt>
                <c:pt idx="5">
                  <c:v>67.37</c:v>
                </c:pt>
                <c:pt idx="6">
                  <c:v>68.37</c:v>
                </c:pt>
                <c:pt idx="7">
                  <c:v>68.540000000000006</c:v>
                </c:pt>
                <c:pt idx="8">
                  <c:v>69.05</c:v>
                </c:pt>
                <c:pt idx="9">
                  <c:v>68.5</c:v>
                </c:pt>
                <c:pt idx="10">
                  <c:v>68.760000000000005</c:v>
                </c:pt>
                <c:pt idx="11">
                  <c:v>68.58</c:v>
                </c:pt>
                <c:pt idx="12">
                  <c:v>68.81</c:v>
                </c:pt>
                <c:pt idx="13">
                  <c:v>68.790000000000006</c:v>
                </c:pt>
                <c:pt idx="14">
                  <c:v>69.52</c:v>
                </c:pt>
                <c:pt idx="15">
                  <c:v>69.180000000000007</c:v>
                </c:pt>
                <c:pt idx="16">
                  <c:v>69.459999999999994</c:v>
                </c:pt>
                <c:pt idx="17">
                  <c:v>70.260000000000005</c:v>
                </c:pt>
                <c:pt idx="18">
                  <c:v>70.31</c:v>
                </c:pt>
                <c:pt idx="19">
                  <c:v>70.239999999999995</c:v>
                </c:pt>
                <c:pt idx="20">
                  <c:v>69.010000000000005</c:v>
                </c:pt>
                <c:pt idx="21">
                  <c:v>66.61</c:v>
                </c:pt>
                <c:pt idx="22">
                  <c:v>67.38</c:v>
                </c:pt>
                <c:pt idx="23">
                  <c:v>65.790000000000006</c:v>
                </c:pt>
                <c:pt idx="24">
                  <c:v>65.28</c:v>
                </c:pt>
                <c:pt idx="25">
                  <c:v>65.91</c:v>
                </c:pt>
                <c:pt idx="26">
                  <c:v>65.97</c:v>
                </c:pt>
                <c:pt idx="27">
                  <c:v>65.86</c:v>
                </c:pt>
                <c:pt idx="28">
                  <c:v>64.569999999999993</c:v>
                </c:pt>
                <c:pt idx="29">
                  <c:v>63.82</c:v>
                </c:pt>
                <c:pt idx="30">
                  <c:v>65.19</c:v>
                </c:pt>
                <c:pt idx="31">
                  <c:v>65.41</c:v>
                </c:pt>
                <c:pt idx="32">
                  <c:v>64.28</c:v>
                </c:pt>
                <c:pt idx="33">
                  <c:v>64.16</c:v>
                </c:pt>
                <c:pt idx="34">
                  <c:v>62.04</c:v>
                </c:pt>
                <c:pt idx="35">
                  <c:v>63.66</c:v>
                </c:pt>
                <c:pt idx="36">
                  <c:v>63.15</c:v>
                </c:pt>
                <c:pt idx="37">
                  <c:v>63.97</c:v>
                </c:pt>
                <c:pt idx="38">
                  <c:v>62.48</c:v>
                </c:pt>
                <c:pt idx="39">
                  <c:v>62.05</c:v>
                </c:pt>
                <c:pt idx="40">
                  <c:v>62.03</c:v>
                </c:pt>
                <c:pt idx="41">
                  <c:v>64.08</c:v>
                </c:pt>
                <c:pt idx="42">
                  <c:v>65.14</c:v>
                </c:pt>
                <c:pt idx="43">
                  <c:v>64.64</c:v>
                </c:pt>
                <c:pt idx="44">
                  <c:v>65.12</c:v>
                </c:pt>
                <c:pt idx="45">
                  <c:v>65.09</c:v>
                </c:pt>
                <c:pt idx="46">
                  <c:v>67.819999999999993</c:v>
                </c:pt>
                <c:pt idx="47">
                  <c:v>67.55</c:v>
                </c:pt>
                <c:pt idx="48">
                  <c:v>67.739999999999995</c:v>
                </c:pt>
                <c:pt idx="49">
                  <c:v>68.209999999999994</c:v>
                </c:pt>
                <c:pt idx="50">
                  <c:v>68.89</c:v>
                </c:pt>
                <c:pt idx="51">
                  <c:v>68.7</c:v>
                </c:pt>
                <c:pt idx="52">
                  <c:v>68.63</c:v>
                </c:pt>
                <c:pt idx="53">
                  <c:v>69.63</c:v>
                </c:pt>
                <c:pt idx="54">
                  <c:v>69.33</c:v>
                </c:pt>
                <c:pt idx="55">
                  <c:v>67.819999999999993</c:v>
                </c:pt>
                <c:pt idx="56">
                  <c:v>68.349999999999994</c:v>
                </c:pt>
                <c:pt idx="57">
                  <c:v>67.69</c:v>
                </c:pt>
                <c:pt idx="58">
                  <c:v>68.14</c:v>
                </c:pt>
                <c:pt idx="59">
                  <c:v>68.069999999999993</c:v>
                </c:pt>
                <c:pt idx="60">
                  <c:v>67.73</c:v>
                </c:pt>
                <c:pt idx="61">
                  <c:v>67.08</c:v>
                </c:pt>
                <c:pt idx="62">
                  <c:v>68.8</c:v>
                </c:pt>
                <c:pt idx="63">
                  <c:v>68.72</c:v>
                </c:pt>
                <c:pt idx="64">
                  <c:v>67.91</c:v>
                </c:pt>
                <c:pt idx="65">
                  <c:v>68.98</c:v>
                </c:pt>
                <c:pt idx="66">
                  <c:v>70.87</c:v>
                </c:pt>
                <c:pt idx="67">
                  <c:v>69.67</c:v>
                </c:pt>
                <c:pt idx="68">
                  <c:v>70.83</c:v>
                </c:pt>
                <c:pt idx="69">
                  <c:v>70.819999999999993</c:v>
                </c:pt>
                <c:pt idx="70">
                  <c:v>69.97</c:v>
                </c:pt>
                <c:pt idx="71">
                  <c:v>70.63</c:v>
                </c:pt>
                <c:pt idx="72">
                  <c:v>70.56</c:v>
                </c:pt>
                <c:pt idx="73">
                  <c:v>69.08</c:v>
                </c:pt>
                <c:pt idx="74">
                  <c:v>69.52</c:v>
                </c:pt>
                <c:pt idx="75">
                  <c:v>68.989999999999995</c:v>
                </c:pt>
                <c:pt idx="76">
                  <c:v>70.2</c:v>
                </c:pt>
                <c:pt idx="77">
                  <c:v>70.69</c:v>
                </c:pt>
                <c:pt idx="78">
                  <c:v>70.459999999999994</c:v>
                </c:pt>
                <c:pt idx="79">
                  <c:v>71.78</c:v>
                </c:pt>
                <c:pt idx="80">
                  <c:v>71.41</c:v>
                </c:pt>
                <c:pt idx="81">
                  <c:v>71.66</c:v>
                </c:pt>
                <c:pt idx="82">
                  <c:v>71.77</c:v>
                </c:pt>
                <c:pt idx="83">
                  <c:v>71.87</c:v>
                </c:pt>
                <c:pt idx="84">
                  <c:v>72.319999999999993</c:v>
                </c:pt>
                <c:pt idx="85">
                  <c:v>71.67</c:v>
                </c:pt>
                <c:pt idx="86">
                  <c:v>71.84</c:v>
                </c:pt>
                <c:pt idx="87">
                  <c:v>69.17</c:v>
                </c:pt>
                <c:pt idx="88">
                  <c:v>69.86</c:v>
                </c:pt>
                <c:pt idx="89">
                  <c:v>69.84</c:v>
                </c:pt>
                <c:pt idx="90">
                  <c:v>68.81</c:v>
                </c:pt>
                <c:pt idx="91">
                  <c:v>71.31</c:v>
                </c:pt>
                <c:pt idx="92">
                  <c:v>71.55</c:v>
                </c:pt>
                <c:pt idx="93">
                  <c:v>72.39</c:v>
                </c:pt>
                <c:pt idx="94">
                  <c:v>72.319999999999993</c:v>
                </c:pt>
                <c:pt idx="95">
                  <c:v>72</c:v>
                </c:pt>
                <c:pt idx="96">
                  <c:v>72.31</c:v>
                </c:pt>
                <c:pt idx="97">
                  <c:v>72.39</c:v>
                </c:pt>
                <c:pt idx="98">
                  <c:v>70.17</c:v>
                </c:pt>
                <c:pt idx="99">
                  <c:v>70.28</c:v>
                </c:pt>
                <c:pt idx="100">
                  <c:v>71.16</c:v>
                </c:pt>
                <c:pt idx="101">
                  <c:v>70.56</c:v>
                </c:pt>
                <c:pt idx="102">
                  <c:v>70.92</c:v>
                </c:pt>
                <c:pt idx="103">
                  <c:v>71.25</c:v>
                </c:pt>
                <c:pt idx="104">
                  <c:v>70.36</c:v>
                </c:pt>
                <c:pt idx="105">
                  <c:v>70.81</c:v>
                </c:pt>
                <c:pt idx="106">
                  <c:v>71.89</c:v>
                </c:pt>
                <c:pt idx="107">
                  <c:v>70.78</c:v>
                </c:pt>
                <c:pt idx="108">
                  <c:v>70.34</c:v>
                </c:pt>
                <c:pt idx="109">
                  <c:v>70.73</c:v>
                </c:pt>
                <c:pt idx="110">
                  <c:v>70.989999999999995</c:v>
                </c:pt>
                <c:pt idx="111">
                  <c:v>69.760000000000005</c:v>
                </c:pt>
                <c:pt idx="112">
                  <c:v>70.599999999999994</c:v>
                </c:pt>
                <c:pt idx="113">
                  <c:v>70.819999999999993</c:v>
                </c:pt>
                <c:pt idx="114">
                  <c:v>70.03</c:v>
                </c:pt>
                <c:pt idx="115">
                  <c:v>69.7</c:v>
                </c:pt>
                <c:pt idx="116">
                  <c:v>69.23</c:v>
                </c:pt>
                <c:pt idx="117">
                  <c:v>70.47</c:v>
                </c:pt>
                <c:pt idx="118">
                  <c:v>70.489999999999995</c:v>
                </c:pt>
                <c:pt idx="119">
                  <c:v>69.78</c:v>
                </c:pt>
                <c:pt idx="120">
                  <c:v>69.709999999999994</c:v>
                </c:pt>
                <c:pt idx="121">
                  <c:v>70</c:v>
                </c:pt>
                <c:pt idx="122">
                  <c:v>69.599999999999994</c:v>
                </c:pt>
                <c:pt idx="123">
                  <c:v>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F-41C4-80C0-753372831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622747"/>
        <c:axId val="886557254"/>
      </c:areaChart>
      <c:dateAx>
        <c:axId val="1220622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886557254"/>
        <c:crosses val="autoZero"/>
        <c:auto val="1"/>
        <c:lblOffset val="100"/>
        <c:baseTimeUnit val="days"/>
      </c:dateAx>
      <c:valAx>
        <c:axId val="88655725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2206227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EWJ!$F$27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EWJ!$B$28:$B$1000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EWJ!$F$28:$F$1000</c:f>
              <c:numCache>
                <c:formatCode>#,##0.00</c:formatCode>
                <c:ptCount val="973"/>
                <c:pt idx="0">
                  <c:v>73.98</c:v>
                </c:pt>
                <c:pt idx="1">
                  <c:v>73.62</c:v>
                </c:pt>
                <c:pt idx="2">
                  <c:v>74.069999999999993</c:v>
                </c:pt>
                <c:pt idx="3">
                  <c:v>75.290000000000006</c:v>
                </c:pt>
                <c:pt idx="4">
                  <c:v>75.03</c:v>
                </c:pt>
                <c:pt idx="5">
                  <c:v>76.03</c:v>
                </c:pt>
                <c:pt idx="6">
                  <c:v>76.62</c:v>
                </c:pt>
                <c:pt idx="7">
                  <c:v>77.930000000000007</c:v>
                </c:pt>
                <c:pt idx="8">
                  <c:v>77.790000000000006</c:v>
                </c:pt>
                <c:pt idx="9">
                  <c:v>79.23</c:v>
                </c:pt>
                <c:pt idx="10">
                  <c:v>79.27</c:v>
                </c:pt>
                <c:pt idx="11">
                  <c:v>78.8</c:v>
                </c:pt>
                <c:pt idx="12">
                  <c:v>80.150000000000006</c:v>
                </c:pt>
                <c:pt idx="13">
                  <c:v>80.3</c:v>
                </c:pt>
                <c:pt idx="14">
                  <c:v>80.02</c:v>
                </c:pt>
                <c:pt idx="15">
                  <c:v>79.64</c:v>
                </c:pt>
                <c:pt idx="16">
                  <c:v>78.7</c:v>
                </c:pt>
                <c:pt idx="17">
                  <c:v>80.02</c:v>
                </c:pt>
                <c:pt idx="18">
                  <c:v>79.05</c:v>
                </c:pt>
                <c:pt idx="19">
                  <c:v>78.92</c:v>
                </c:pt>
                <c:pt idx="20">
                  <c:v>78.63</c:v>
                </c:pt>
                <c:pt idx="21">
                  <c:v>79.290000000000006</c:v>
                </c:pt>
                <c:pt idx="22">
                  <c:v>78.28</c:v>
                </c:pt>
                <c:pt idx="23">
                  <c:v>78.150000000000006</c:v>
                </c:pt>
                <c:pt idx="24">
                  <c:v>77.930000000000007</c:v>
                </c:pt>
                <c:pt idx="25">
                  <c:v>78.73</c:v>
                </c:pt>
                <c:pt idx="26">
                  <c:v>79.180000000000007</c:v>
                </c:pt>
                <c:pt idx="27">
                  <c:v>80.959999999999994</c:v>
                </c:pt>
                <c:pt idx="28">
                  <c:v>80.06</c:v>
                </c:pt>
                <c:pt idx="29">
                  <c:v>80.36</c:v>
                </c:pt>
                <c:pt idx="30">
                  <c:v>81.319999999999993</c:v>
                </c:pt>
                <c:pt idx="31">
                  <c:v>80.760000000000005</c:v>
                </c:pt>
                <c:pt idx="32">
                  <c:v>81.349999999999994</c:v>
                </c:pt>
                <c:pt idx="33">
                  <c:v>81.349999999999994</c:v>
                </c:pt>
                <c:pt idx="34">
                  <c:v>81.17</c:v>
                </c:pt>
                <c:pt idx="35">
                  <c:v>81.489999999999995</c:v>
                </c:pt>
                <c:pt idx="36">
                  <c:v>80.790000000000006</c:v>
                </c:pt>
                <c:pt idx="37">
                  <c:v>81.25</c:v>
                </c:pt>
                <c:pt idx="38">
                  <c:v>81.09</c:v>
                </c:pt>
                <c:pt idx="39">
                  <c:v>81.09</c:v>
                </c:pt>
                <c:pt idx="40">
                  <c:v>80.459999999999994</c:v>
                </c:pt>
                <c:pt idx="41">
                  <c:v>80.44</c:v>
                </c:pt>
                <c:pt idx="42">
                  <c:v>80.510000000000005</c:v>
                </c:pt>
                <c:pt idx="43">
                  <c:v>80.209999999999994</c:v>
                </c:pt>
                <c:pt idx="44">
                  <c:v>80.209999999999994</c:v>
                </c:pt>
                <c:pt idx="45">
                  <c:v>80.150000000000006</c:v>
                </c:pt>
                <c:pt idx="46">
                  <c:v>81.78</c:v>
                </c:pt>
                <c:pt idx="47">
                  <c:v>83.27</c:v>
                </c:pt>
                <c:pt idx="48">
                  <c:v>81.96</c:v>
                </c:pt>
                <c:pt idx="49">
                  <c:v>81.75</c:v>
                </c:pt>
                <c:pt idx="50">
                  <c:v>81.55</c:v>
                </c:pt>
                <c:pt idx="51">
                  <c:v>78.36</c:v>
                </c:pt>
                <c:pt idx="52">
                  <c:v>79.290000000000006</c:v>
                </c:pt>
                <c:pt idx="53">
                  <c:v>80.040000000000006</c:v>
                </c:pt>
                <c:pt idx="54">
                  <c:v>81.290000000000006</c:v>
                </c:pt>
                <c:pt idx="55">
                  <c:v>81.55</c:v>
                </c:pt>
                <c:pt idx="56">
                  <c:v>82</c:v>
                </c:pt>
                <c:pt idx="57">
                  <c:v>83.54</c:v>
                </c:pt>
                <c:pt idx="58">
                  <c:v>82.57</c:v>
                </c:pt>
                <c:pt idx="59">
                  <c:v>82.18</c:v>
                </c:pt>
                <c:pt idx="60">
                  <c:v>82.22</c:v>
                </c:pt>
                <c:pt idx="61">
                  <c:v>82.5</c:v>
                </c:pt>
                <c:pt idx="62">
                  <c:v>83.53</c:v>
                </c:pt>
                <c:pt idx="63">
                  <c:v>83.93</c:v>
                </c:pt>
                <c:pt idx="64">
                  <c:v>83.23</c:v>
                </c:pt>
                <c:pt idx="65">
                  <c:v>83.21</c:v>
                </c:pt>
                <c:pt idx="66">
                  <c:v>83.45</c:v>
                </c:pt>
                <c:pt idx="67">
                  <c:v>83.64</c:v>
                </c:pt>
                <c:pt idx="68">
                  <c:v>82.83</c:v>
                </c:pt>
                <c:pt idx="69">
                  <c:v>82.8</c:v>
                </c:pt>
                <c:pt idx="70">
                  <c:v>82.96</c:v>
                </c:pt>
                <c:pt idx="71">
                  <c:v>83.29</c:v>
                </c:pt>
                <c:pt idx="72">
                  <c:v>83.68</c:v>
                </c:pt>
                <c:pt idx="73">
                  <c:v>83.75</c:v>
                </c:pt>
                <c:pt idx="74">
                  <c:v>84.34</c:v>
                </c:pt>
                <c:pt idx="75">
                  <c:v>83.01</c:v>
                </c:pt>
                <c:pt idx="76">
                  <c:v>83.98</c:v>
                </c:pt>
                <c:pt idx="77">
                  <c:v>82.47</c:v>
                </c:pt>
                <c:pt idx="78">
                  <c:v>80.78</c:v>
                </c:pt>
                <c:pt idx="79">
                  <c:v>80.680000000000007</c:v>
                </c:pt>
                <c:pt idx="80">
                  <c:v>79.489999999999995</c:v>
                </c:pt>
                <c:pt idx="81">
                  <c:v>81.19</c:v>
                </c:pt>
                <c:pt idx="82">
                  <c:v>81.739999999999995</c:v>
                </c:pt>
                <c:pt idx="83">
                  <c:v>81.92</c:v>
                </c:pt>
                <c:pt idx="84">
                  <c:v>83.26</c:v>
                </c:pt>
                <c:pt idx="85">
                  <c:v>83.01</c:v>
                </c:pt>
                <c:pt idx="86">
                  <c:v>82.53</c:v>
                </c:pt>
                <c:pt idx="87">
                  <c:v>82.47</c:v>
                </c:pt>
                <c:pt idx="88">
                  <c:v>82.61</c:v>
                </c:pt>
                <c:pt idx="89">
                  <c:v>83.62</c:v>
                </c:pt>
                <c:pt idx="90">
                  <c:v>83.7</c:v>
                </c:pt>
                <c:pt idx="91">
                  <c:v>83.19</c:v>
                </c:pt>
                <c:pt idx="92">
                  <c:v>83.31</c:v>
                </c:pt>
                <c:pt idx="93">
                  <c:v>83.91</c:v>
                </c:pt>
                <c:pt idx="94">
                  <c:v>84.22</c:v>
                </c:pt>
                <c:pt idx="95">
                  <c:v>84</c:v>
                </c:pt>
                <c:pt idx="96">
                  <c:v>84.87</c:v>
                </c:pt>
                <c:pt idx="97">
                  <c:v>80.849999999999994</c:v>
                </c:pt>
                <c:pt idx="98">
                  <c:v>79.739999999999995</c:v>
                </c:pt>
                <c:pt idx="99">
                  <c:v>79.97</c:v>
                </c:pt>
                <c:pt idx="100">
                  <c:v>80.58</c:v>
                </c:pt>
                <c:pt idx="101">
                  <c:v>80.459999999999994</c:v>
                </c:pt>
                <c:pt idx="102">
                  <c:v>81.14</c:v>
                </c:pt>
                <c:pt idx="103">
                  <c:v>81</c:v>
                </c:pt>
                <c:pt idx="104">
                  <c:v>80.97</c:v>
                </c:pt>
                <c:pt idx="105">
                  <c:v>81.09</c:v>
                </c:pt>
                <c:pt idx="106">
                  <c:v>80.98</c:v>
                </c:pt>
                <c:pt idx="107">
                  <c:v>80.739999999999995</c:v>
                </c:pt>
                <c:pt idx="108">
                  <c:v>81.33</c:v>
                </c:pt>
                <c:pt idx="109">
                  <c:v>83.13</c:v>
                </c:pt>
                <c:pt idx="110">
                  <c:v>83.07</c:v>
                </c:pt>
                <c:pt idx="111">
                  <c:v>82.92</c:v>
                </c:pt>
                <c:pt idx="112">
                  <c:v>82.86</c:v>
                </c:pt>
                <c:pt idx="113">
                  <c:v>84.61</c:v>
                </c:pt>
                <c:pt idx="114">
                  <c:v>85.29</c:v>
                </c:pt>
                <c:pt idx="115">
                  <c:v>84.45</c:v>
                </c:pt>
                <c:pt idx="116">
                  <c:v>85.04</c:v>
                </c:pt>
                <c:pt idx="117">
                  <c:v>85.42</c:v>
                </c:pt>
                <c:pt idx="118">
                  <c:v>85.48</c:v>
                </c:pt>
                <c:pt idx="119">
                  <c:v>83.72</c:v>
                </c:pt>
                <c:pt idx="120">
                  <c:v>84.78</c:v>
                </c:pt>
                <c:pt idx="121">
                  <c:v>84.86</c:v>
                </c:pt>
                <c:pt idx="122">
                  <c:v>84.56</c:v>
                </c:pt>
                <c:pt idx="123">
                  <c:v>84.63</c:v>
                </c:pt>
                <c:pt idx="124">
                  <c:v>85.84</c:v>
                </c:pt>
                <c:pt idx="125">
                  <c:v>85.21</c:v>
                </c:pt>
                <c:pt idx="126">
                  <c:v>86.09</c:v>
                </c:pt>
                <c:pt idx="127">
                  <c:v>85.72</c:v>
                </c:pt>
                <c:pt idx="128">
                  <c:v>85.89</c:v>
                </c:pt>
                <c:pt idx="129">
                  <c:v>86.68</c:v>
                </c:pt>
                <c:pt idx="130">
                  <c:v>87.49</c:v>
                </c:pt>
                <c:pt idx="131">
                  <c:v>86.1</c:v>
                </c:pt>
                <c:pt idx="132">
                  <c:v>89.4</c:v>
                </c:pt>
                <c:pt idx="133">
                  <c:v>91.29</c:v>
                </c:pt>
                <c:pt idx="134">
                  <c:v>93.1</c:v>
                </c:pt>
                <c:pt idx="135">
                  <c:v>93.97</c:v>
                </c:pt>
                <c:pt idx="136">
                  <c:v>93.37</c:v>
                </c:pt>
                <c:pt idx="137">
                  <c:v>93.85</c:v>
                </c:pt>
                <c:pt idx="138">
                  <c:v>91.87</c:v>
                </c:pt>
                <c:pt idx="139">
                  <c:v>91.38</c:v>
                </c:pt>
                <c:pt idx="140">
                  <c:v>91.2</c:v>
                </c:pt>
                <c:pt idx="141">
                  <c:v>91.47</c:v>
                </c:pt>
                <c:pt idx="142">
                  <c:v>91.39</c:v>
                </c:pt>
                <c:pt idx="143">
                  <c:v>91.23</c:v>
                </c:pt>
                <c:pt idx="144">
                  <c:v>92.44</c:v>
                </c:pt>
                <c:pt idx="145">
                  <c:v>92.48</c:v>
                </c:pt>
                <c:pt idx="146">
                  <c:v>92.37</c:v>
                </c:pt>
                <c:pt idx="147">
                  <c:v>90.2</c:v>
                </c:pt>
                <c:pt idx="148">
                  <c:v>86.83</c:v>
                </c:pt>
                <c:pt idx="149">
                  <c:v>88.59</c:v>
                </c:pt>
                <c:pt idx="150">
                  <c:v>85.89</c:v>
                </c:pt>
                <c:pt idx="151">
                  <c:v>84.77</c:v>
                </c:pt>
                <c:pt idx="152">
                  <c:v>85.64</c:v>
                </c:pt>
                <c:pt idx="153">
                  <c:v>86.46</c:v>
                </c:pt>
                <c:pt idx="154">
                  <c:v>85.73</c:v>
                </c:pt>
                <c:pt idx="155">
                  <c:v>84.19</c:v>
                </c:pt>
                <c:pt idx="156">
                  <c:v>83.36</c:v>
                </c:pt>
                <c:pt idx="157">
                  <c:v>85.07</c:v>
                </c:pt>
                <c:pt idx="158">
                  <c:v>85.08</c:v>
                </c:pt>
                <c:pt idx="159">
                  <c:v>84.15</c:v>
                </c:pt>
                <c:pt idx="160">
                  <c:v>84.08</c:v>
                </c:pt>
                <c:pt idx="161">
                  <c:v>81.2</c:v>
                </c:pt>
                <c:pt idx="162">
                  <c:v>83.55</c:v>
                </c:pt>
                <c:pt idx="163">
                  <c:v>83.28</c:v>
                </c:pt>
                <c:pt idx="164">
                  <c:v>84.75</c:v>
                </c:pt>
                <c:pt idx="165">
                  <c:v>82.71</c:v>
                </c:pt>
                <c:pt idx="166">
                  <c:v>81.430000000000007</c:v>
                </c:pt>
                <c:pt idx="167">
                  <c:v>81.52</c:v>
                </c:pt>
                <c:pt idx="168">
                  <c:v>84.44</c:v>
                </c:pt>
                <c:pt idx="169">
                  <c:v>86.48</c:v>
                </c:pt>
                <c:pt idx="170">
                  <c:v>85.29</c:v>
                </c:pt>
                <c:pt idx="171">
                  <c:v>85.57</c:v>
                </c:pt>
                <c:pt idx="172">
                  <c:v>85.51</c:v>
                </c:pt>
                <c:pt idx="173">
                  <c:v>89.41</c:v>
                </c:pt>
                <c:pt idx="174">
                  <c:v>88.22</c:v>
                </c:pt>
                <c:pt idx="175">
                  <c:v>88.13</c:v>
                </c:pt>
                <c:pt idx="176">
                  <c:v>88.35</c:v>
                </c:pt>
                <c:pt idx="177">
                  <c:v>89.41</c:v>
                </c:pt>
                <c:pt idx="178">
                  <c:v>89.07</c:v>
                </c:pt>
                <c:pt idx="179">
                  <c:v>89.41</c:v>
                </c:pt>
                <c:pt idx="180">
                  <c:v>90.19</c:v>
                </c:pt>
                <c:pt idx="181">
                  <c:v>89.33</c:v>
                </c:pt>
                <c:pt idx="182">
                  <c:v>87.14</c:v>
                </c:pt>
                <c:pt idx="183">
                  <c:v>87.76</c:v>
                </c:pt>
                <c:pt idx="184">
                  <c:v>87.07</c:v>
                </c:pt>
                <c:pt idx="185">
                  <c:v>87.32</c:v>
                </c:pt>
                <c:pt idx="186">
                  <c:v>87.68</c:v>
                </c:pt>
                <c:pt idx="187">
                  <c:v>87.56</c:v>
                </c:pt>
                <c:pt idx="188">
                  <c:v>86.81</c:v>
                </c:pt>
                <c:pt idx="189">
                  <c:v>89.1</c:v>
                </c:pt>
                <c:pt idx="190">
                  <c:v>88.3</c:v>
                </c:pt>
                <c:pt idx="191">
                  <c:v>88.12</c:v>
                </c:pt>
                <c:pt idx="192">
                  <c:v>89.26</c:v>
                </c:pt>
                <c:pt idx="193">
                  <c:v>91.68</c:v>
                </c:pt>
                <c:pt idx="194">
                  <c:v>90.99</c:v>
                </c:pt>
                <c:pt idx="195">
                  <c:v>92.22</c:v>
                </c:pt>
                <c:pt idx="196">
                  <c:v>92.26</c:v>
                </c:pt>
                <c:pt idx="197">
                  <c:v>92.06</c:v>
                </c:pt>
                <c:pt idx="198">
                  <c:v>93.09</c:v>
                </c:pt>
                <c:pt idx="199">
                  <c:v>92.06</c:v>
                </c:pt>
                <c:pt idx="200">
                  <c:v>91.07</c:v>
                </c:pt>
                <c:pt idx="201">
                  <c:v>90.92</c:v>
                </c:pt>
                <c:pt idx="202">
                  <c:v>90.29</c:v>
                </c:pt>
                <c:pt idx="203">
                  <c:v>91.21</c:v>
                </c:pt>
                <c:pt idx="204">
                  <c:v>91.37</c:v>
                </c:pt>
                <c:pt idx="205">
                  <c:v>91.61</c:v>
                </c:pt>
                <c:pt idx="206">
                  <c:v>92.9</c:v>
                </c:pt>
                <c:pt idx="207">
                  <c:v>92.29</c:v>
                </c:pt>
                <c:pt idx="208">
                  <c:v>92.7</c:v>
                </c:pt>
                <c:pt idx="209">
                  <c:v>92.96</c:v>
                </c:pt>
                <c:pt idx="210">
                  <c:v>92.93</c:v>
                </c:pt>
                <c:pt idx="211">
                  <c:v>93.58</c:v>
                </c:pt>
                <c:pt idx="212">
                  <c:v>93.94</c:v>
                </c:pt>
                <c:pt idx="213">
                  <c:v>94.13</c:v>
                </c:pt>
                <c:pt idx="214">
                  <c:v>90.72</c:v>
                </c:pt>
                <c:pt idx="215">
                  <c:v>91.95</c:v>
                </c:pt>
                <c:pt idx="216">
                  <c:v>90.95</c:v>
                </c:pt>
                <c:pt idx="217">
                  <c:v>89.29</c:v>
                </c:pt>
                <c:pt idx="218">
                  <c:v>92.18</c:v>
                </c:pt>
                <c:pt idx="219">
                  <c:v>92.71</c:v>
                </c:pt>
                <c:pt idx="220">
                  <c:v>94.06</c:v>
                </c:pt>
                <c:pt idx="221">
                  <c:v>94.12</c:v>
                </c:pt>
                <c:pt idx="222">
                  <c:v>94.45</c:v>
                </c:pt>
                <c:pt idx="223">
                  <c:v>96.26</c:v>
                </c:pt>
                <c:pt idx="224">
                  <c:v>96.97</c:v>
                </c:pt>
                <c:pt idx="225">
                  <c:v>92.75</c:v>
                </c:pt>
                <c:pt idx="226">
                  <c:v>92.61</c:v>
                </c:pt>
                <c:pt idx="227">
                  <c:v>93.39</c:v>
                </c:pt>
                <c:pt idx="228">
                  <c:v>92.8</c:v>
                </c:pt>
                <c:pt idx="229">
                  <c:v>93.21</c:v>
                </c:pt>
                <c:pt idx="230">
                  <c:v>93.27</c:v>
                </c:pt>
                <c:pt idx="231">
                  <c:v>93.05</c:v>
                </c:pt>
                <c:pt idx="232">
                  <c:v>93.14</c:v>
                </c:pt>
                <c:pt idx="233">
                  <c:v>95.27</c:v>
                </c:pt>
                <c:pt idx="234">
                  <c:v>93.07</c:v>
                </c:pt>
                <c:pt idx="235">
                  <c:v>92.54</c:v>
                </c:pt>
                <c:pt idx="236">
                  <c:v>93.52</c:v>
                </c:pt>
                <c:pt idx="237">
                  <c:v>94.55</c:v>
                </c:pt>
                <c:pt idx="238">
                  <c:v>92.72</c:v>
                </c:pt>
                <c:pt idx="239">
                  <c:v>93.89</c:v>
                </c:pt>
                <c:pt idx="240">
                  <c:v>93.5</c:v>
                </c:pt>
                <c:pt idx="241">
                  <c:v>91.91</c:v>
                </c:pt>
                <c:pt idx="242">
                  <c:v>90.49</c:v>
                </c:pt>
                <c:pt idx="243">
                  <c:v>90.43</c:v>
                </c:pt>
                <c:pt idx="244">
                  <c:v>92.74</c:v>
                </c:pt>
                <c:pt idx="245">
                  <c:v>92.19</c:v>
                </c:pt>
                <c:pt idx="246">
                  <c:v>91.1</c:v>
                </c:pt>
                <c:pt idx="247">
                  <c:v>91.21</c:v>
                </c:pt>
                <c:pt idx="248">
                  <c:v>91.51</c:v>
                </c:pt>
                <c:pt idx="249">
                  <c:v>89.83</c:v>
                </c:pt>
                <c:pt idx="250">
                  <c:v>89.35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7ED-B3F5-7559C765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493150"/>
        <c:axId val="738663124"/>
      </c:areaChart>
      <c:dateAx>
        <c:axId val="567493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738663124"/>
        <c:crosses val="autoZero"/>
        <c:auto val="1"/>
        <c:lblOffset val="100"/>
        <c:baseTimeUnit val="days"/>
      </c:dateAx>
      <c:valAx>
        <c:axId val="73866312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56749315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IWM!$F$27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IWM!$B$28:$B$1000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IWM!$F$28:$F$1000</c:f>
              <c:numCache>
                <c:formatCode>#,##0.00</c:formatCode>
                <c:ptCount val="973"/>
                <c:pt idx="0">
                  <c:v>221.56</c:v>
                </c:pt>
                <c:pt idx="1">
                  <c:v>219.39</c:v>
                </c:pt>
                <c:pt idx="2">
                  <c:v>214.92</c:v>
                </c:pt>
                <c:pt idx="3">
                  <c:v>219.73</c:v>
                </c:pt>
                <c:pt idx="4">
                  <c:v>220.85</c:v>
                </c:pt>
                <c:pt idx="5">
                  <c:v>220.56</c:v>
                </c:pt>
                <c:pt idx="6">
                  <c:v>219.84</c:v>
                </c:pt>
                <c:pt idx="7">
                  <c:v>220.32</c:v>
                </c:pt>
                <c:pt idx="8">
                  <c:v>220.27</c:v>
                </c:pt>
                <c:pt idx="9">
                  <c:v>226.81</c:v>
                </c:pt>
                <c:pt idx="10">
                  <c:v>231.22</c:v>
                </c:pt>
                <c:pt idx="11">
                  <c:v>228.24</c:v>
                </c:pt>
                <c:pt idx="12">
                  <c:v>227.13</c:v>
                </c:pt>
                <c:pt idx="13">
                  <c:v>227.96</c:v>
                </c:pt>
                <c:pt idx="14">
                  <c:v>226.21</c:v>
                </c:pt>
                <c:pt idx="15">
                  <c:v>225.41</c:v>
                </c:pt>
                <c:pt idx="16">
                  <c:v>225.97</c:v>
                </c:pt>
                <c:pt idx="17">
                  <c:v>234.83</c:v>
                </c:pt>
                <c:pt idx="18">
                  <c:v>232.36</c:v>
                </c:pt>
                <c:pt idx="19">
                  <c:v>234.28</c:v>
                </c:pt>
                <c:pt idx="20">
                  <c:v>235.94</c:v>
                </c:pt>
                <c:pt idx="21">
                  <c:v>236.22</c:v>
                </c:pt>
                <c:pt idx="22">
                  <c:v>235.17</c:v>
                </c:pt>
                <c:pt idx="23">
                  <c:v>233.9</c:v>
                </c:pt>
                <c:pt idx="24">
                  <c:v>233.67</c:v>
                </c:pt>
                <c:pt idx="25">
                  <c:v>236.59</c:v>
                </c:pt>
                <c:pt idx="26">
                  <c:v>237.77</c:v>
                </c:pt>
                <c:pt idx="27">
                  <c:v>238.25</c:v>
                </c:pt>
                <c:pt idx="28">
                  <c:v>236.85</c:v>
                </c:pt>
                <c:pt idx="29">
                  <c:v>236.43</c:v>
                </c:pt>
                <c:pt idx="30">
                  <c:v>240.8</c:v>
                </c:pt>
                <c:pt idx="31">
                  <c:v>238.34</c:v>
                </c:pt>
                <c:pt idx="32">
                  <c:v>239.35</c:v>
                </c:pt>
                <c:pt idx="33">
                  <c:v>238.28</c:v>
                </c:pt>
                <c:pt idx="34">
                  <c:v>238.89</c:v>
                </c:pt>
                <c:pt idx="35">
                  <c:v>244.84</c:v>
                </c:pt>
                <c:pt idx="36">
                  <c:v>242.98</c:v>
                </c:pt>
                <c:pt idx="37">
                  <c:v>244.39</c:v>
                </c:pt>
                <c:pt idx="38">
                  <c:v>243.84</c:v>
                </c:pt>
                <c:pt idx="39">
                  <c:v>241.6</c:v>
                </c:pt>
                <c:pt idx="40">
                  <c:v>239.29</c:v>
                </c:pt>
                <c:pt idx="41">
                  <c:v>241.34</c:v>
                </c:pt>
                <c:pt idx="42">
                  <c:v>241.62</c:v>
                </c:pt>
                <c:pt idx="43">
                  <c:v>241.96</c:v>
                </c:pt>
                <c:pt idx="44">
                  <c:v>242.49</c:v>
                </c:pt>
                <c:pt idx="45">
                  <c:v>244.02</c:v>
                </c:pt>
                <c:pt idx="46">
                  <c:v>245.83</c:v>
                </c:pt>
                <c:pt idx="47">
                  <c:v>246.81</c:v>
                </c:pt>
                <c:pt idx="48">
                  <c:v>244.16</c:v>
                </c:pt>
                <c:pt idx="49">
                  <c:v>246.72</c:v>
                </c:pt>
                <c:pt idx="50">
                  <c:v>245.13</c:v>
                </c:pt>
                <c:pt idx="51">
                  <c:v>237.79</c:v>
                </c:pt>
                <c:pt idx="52">
                  <c:v>244.41</c:v>
                </c:pt>
                <c:pt idx="53">
                  <c:v>247.9</c:v>
                </c:pt>
                <c:pt idx="54">
                  <c:v>250.33</c:v>
                </c:pt>
                <c:pt idx="55">
                  <c:v>245.06</c:v>
                </c:pt>
                <c:pt idx="56">
                  <c:v>243.41</c:v>
                </c:pt>
                <c:pt idx="57">
                  <c:v>248.16</c:v>
                </c:pt>
                <c:pt idx="58">
                  <c:v>246.99</c:v>
                </c:pt>
                <c:pt idx="59">
                  <c:v>243.34</c:v>
                </c:pt>
                <c:pt idx="60">
                  <c:v>246.42</c:v>
                </c:pt>
                <c:pt idx="61">
                  <c:v>249.43</c:v>
                </c:pt>
                <c:pt idx="62">
                  <c:v>250.3</c:v>
                </c:pt>
                <c:pt idx="63">
                  <c:v>248.96</c:v>
                </c:pt>
                <c:pt idx="64">
                  <c:v>246.84</c:v>
                </c:pt>
                <c:pt idx="65">
                  <c:v>244.85</c:v>
                </c:pt>
                <c:pt idx="66">
                  <c:v>246.23</c:v>
                </c:pt>
                <c:pt idx="67">
                  <c:v>245.44</c:v>
                </c:pt>
                <c:pt idx="68">
                  <c:v>241.2</c:v>
                </c:pt>
                <c:pt idx="69">
                  <c:v>244.68</c:v>
                </c:pt>
                <c:pt idx="70">
                  <c:v>240.35</c:v>
                </c:pt>
                <c:pt idx="71">
                  <c:v>241.61</c:v>
                </c:pt>
                <c:pt idx="72">
                  <c:v>244.03</c:v>
                </c:pt>
                <c:pt idx="73">
                  <c:v>244.24</c:v>
                </c:pt>
                <c:pt idx="74">
                  <c:v>243.64</c:v>
                </c:pt>
                <c:pt idx="75">
                  <c:v>236.79</c:v>
                </c:pt>
                <c:pt idx="76">
                  <c:v>237.48</c:v>
                </c:pt>
                <c:pt idx="77">
                  <c:v>232.76</c:v>
                </c:pt>
                <c:pt idx="78">
                  <c:v>233.47</c:v>
                </c:pt>
                <c:pt idx="79">
                  <c:v>233.43</c:v>
                </c:pt>
                <c:pt idx="80">
                  <c:v>229.11</c:v>
                </c:pt>
                <c:pt idx="81">
                  <c:v>235.6</c:v>
                </c:pt>
                <c:pt idx="82">
                  <c:v>239.9</c:v>
                </c:pt>
                <c:pt idx="83">
                  <c:v>245.13</c:v>
                </c:pt>
                <c:pt idx="84">
                  <c:v>247.3</c:v>
                </c:pt>
                <c:pt idx="85">
                  <c:v>248.75</c:v>
                </c:pt>
                <c:pt idx="86">
                  <c:v>245.62</c:v>
                </c:pt>
                <c:pt idx="87">
                  <c:v>245.17</c:v>
                </c:pt>
                <c:pt idx="88">
                  <c:v>249.63</c:v>
                </c:pt>
                <c:pt idx="89">
                  <c:v>251.82</c:v>
                </c:pt>
                <c:pt idx="90">
                  <c:v>250.77</c:v>
                </c:pt>
                <c:pt idx="91">
                  <c:v>250.87</c:v>
                </c:pt>
                <c:pt idx="92">
                  <c:v>251.39</c:v>
                </c:pt>
                <c:pt idx="93">
                  <c:v>254.81</c:v>
                </c:pt>
                <c:pt idx="94">
                  <c:v>257.8</c:v>
                </c:pt>
                <c:pt idx="95">
                  <c:v>253.85</c:v>
                </c:pt>
                <c:pt idx="96">
                  <c:v>251.93</c:v>
                </c:pt>
                <c:pt idx="97">
                  <c:v>249.9</c:v>
                </c:pt>
                <c:pt idx="98">
                  <c:v>247.24</c:v>
                </c:pt>
                <c:pt idx="99">
                  <c:v>248.71</c:v>
                </c:pt>
                <c:pt idx="100">
                  <c:v>250.79</c:v>
                </c:pt>
                <c:pt idx="101">
                  <c:v>253.58</c:v>
                </c:pt>
                <c:pt idx="102">
                  <c:v>252.08</c:v>
                </c:pt>
                <c:pt idx="103">
                  <c:v>252.71</c:v>
                </c:pt>
                <c:pt idx="104">
                  <c:v>251.42</c:v>
                </c:pt>
                <c:pt idx="105">
                  <c:v>249.88</c:v>
                </c:pt>
                <c:pt idx="106">
                  <c:v>248.03</c:v>
                </c:pt>
                <c:pt idx="107">
                  <c:v>246.16</c:v>
                </c:pt>
                <c:pt idx="108">
                  <c:v>248.78</c:v>
                </c:pt>
                <c:pt idx="109">
                  <c:v>252.73</c:v>
                </c:pt>
                <c:pt idx="110">
                  <c:v>256.08</c:v>
                </c:pt>
                <c:pt idx="111">
                  <c:v>255.48</c:v>
                </c:pt>
                <c:pt idx="112">
                  <c:v>258.27</c:v>
                </c:pt>
                <c:pt idx="113">
                  <c:v>260.23</c:v>
                </c:pt>
                <c:pt idx="114">
                  <c:v>261.5</c:v>
                </c:pt>
                <c:pt idx="115">
                  <c:v>261.35000000000002</c:v>
                </c:pt>
                <c:pt idx="116">
                  <c:v>263.19</c:v>
                </c:pt>
                <c:pt idx="117">
                  <c:v>265.51</c:v>
                </c:pt>
                <c:pt idx="118">
                  <c:v>265.76</c:v>
                </c:pt>
                <c:pt idx="119">
                  <c:v>262.58</c:v>
                </c:pt>
                <c:pt idx="120">
                  <c:v>267.79000000000002</c:v>
                </c:pt>
                <c:pt idx="121">
                  <c:v>269.79000000000002</c:v>
                </c:pt>
                <c:pt idx="122">
                  <c:v>264.81</c:v>
                </c:pt>
                <c:pt idx="123">
                  <c:v>263.98</c:v>
                </c:pt>
                <c:pt idx="124">
                  <c:v>264.73</c:v>
                </c:pt>
                <c:pt idx="125">
                  <c:v>263.3</c:v>
                </c:pt>
                <c:pt idx="126">
                  <c:v>263.37</c:v>
                </c:pt>
                <c:pt idx="127">
                  <c:v>259.64999999999998</c:v>
                </c:pt>
                <c:pt idx="128">
                  <c:v>262.18</c:v>
                </c:pt>
                <c:pt idx="129">
                  <c:v>262.77999999999997</c:v>
                </c:pt>
                <c:pt idx="130">
                  <c:v>260.52</c:v>
                </c:pt>
                <c:pt idx="131">
                  <c:v>255.83</c:v>
                </c:pt>
                <c:pt idx="132">
                  <c:v>265.02</c:v>
                </c:pt>
                <c:pt idx="133">
                  <c:v>266.88</c:v>
                </c:pt>
                <c:pt idx="134">
                  <c:v>266.16000000000003</c:v>
                </c:pt>
                <c:pt idx="135">
                  <c:v>264.95</c:v>
                </c:pt>
                <c:pt idx="136">
                  <c:v>259.54000000000002</c:v>
                </c:pt>
                <c:pt idx="137">
                  <c:v>262.95999999999998</c:v>
                </c:pt>
                <c:pt idx="138">
                  <c:v>263.04000000000002</c:v>
                </c:pt>
                <c:pt idx="139">
                  <c:v>263.99</c:v>
                </c:pt>
                <c:pt idx="140">
                  <c:v>264.60000000000002</c:v>
                </c:pt>
                <c:pt idx="141">
                  <c:v>264.61</c:v>
                </c:pt>
                <c:pt idx="142">
                  <c:v>260.49</c:v>
                </c:pt>
                <c:pt idx="143">
                  <c:v>263.33</c:v>
                </c:pt>
                <c:pt idx="144">
                  <c:v>264.58</c:v>
                </c:pt>
                <c:pt idx="145">
                  <c:v>265.99</c:v>
                </c:pt>
                <c:pt idx="146">
                  <c:v>261.41000000000003</c:v>
                </c:pt>
                <c:pt idx="147">
                  <c:v>263.81</c:v>
                </c:pt>
                <c:pt idx="148">
                  <c:v>259.24</c:v>
                </c:pt>
                <c:pt idx="149">
                  <c:v>261.76</c:v>
                </c:pt>
                <c:pt idx="150">
                  <c:v>256.76</c:v>
                </c:pt>
                <c:pt idx="151">
                  <c:v>250.89</c:v>
                </c:pt>
                <c:pt idx="152">
                  <c:v>253.62</c:v>
                </c:pt>
                <c:pt idx="153">
                  <c:v>253.36</c:v>
                </c:pt>
                <c:pt idx="154">
                  <c:v>252.85</c:v>
                </c:pt>
                <c:pt idx="155">
                  <c:v>247.41</c:v>
                </c:pt>
                <c:pt idx="156">
                  <c:v>246.59</c:v>
                </c:pt>
                <c:pt idx="157">
                  <c:v>248.92</c:v>
                </c:pt>
                <c:pt idx="158">
                  <c:v>250.05</c:v>
                </c:pt>
                <c:pt idx="159">
                  <c:v>246.02</c:v>
                </c:pt>
                <c:pt idx="160">
                  <c:v>247.63</c:v>
                </c:pt>
                <c:pt idx="161">
                  <c:v>242.22</c:v>
                </c:pt>
                <c:pt idx="162">
                  <c:v>247.45</c:v>
                </c:pt>
                <c:pt idx="163">
                  <c:v>248.78</c:v>
                </c:pt>
                <c:pt idx="164">
                  <c:v>251.82</c:v>
                </c:pt>
                <c:pt idx="165">
                  <c:v>247.44</c:v>
                </c:pt>
                <c:pt idx="166">
                  <c:v>243.1</c:v>
                </c:pt>
                <c:pt idx="167">
                  <c:v>239.61</c:v>
                </c:pt>
                <c:pt idx="168">
                  <c:v>248</c:v>
                </c:pt>
                <c:pt idx="169">
                  <c:v>249.56</c:v>
                </c:pt>
                <c:pt idx="170">
                  <c:v>251.29</c:v>
                </c:pt>
                <c:pt idx="171">
                  <c:v>252.36</c:v>
                </c:pt>
                <c:pt idx="172">
                  <c:v>252.91</c:v>
                </c:pt>
                <c:pt idx="173">
                  <c:v>260.47000000000003</c:v>
                </c:pt>
                <c:pt idx="174">
                  <c:v>261.95999999999998</c:v>
                </c:pt>
                <c:pt idx="175">
                  <c:v>261.3</c:v>
                </c:pt>
                <c:pt idx="176">
                  <c:v>265.07</c:v>
                </c:pt>
                <c:pt idx="177">
                  <c:v>268.72000000000003</c:v>
                </c:pt>
                <c:pt idx="178">
                  <c:v>269.39</c:v>
                </c:pt>
                <c:pt idx="179">
                  <c:v>269.95</c:v>
                </c:pt>
                <c:pt idx="180">
                  <c:v>275.77999999999997</c:v>
                </c:pt>
                <c:pt idx="181">
                  <c:v>277.35000000000002</c:v>
                </c:pt>
                <c:pt idx="182">
                  <c:v>274.51</c:v>
                </c:pt>
                <c:pt idx="183">
                  <c:v>276.48</c:v>
                </c:pt>
                <c:pt idx="184">
                  <c:v>275.52</c:v>
                </c:pt>
                <c:pt idx="185">
                  <c:v>276.64999999999998</c:v>
                </c:pt>
                <c:pt idx="186">
                  <c:v>277.14</c:v>
                </c:pt>
                <c:pt idx="187">
                  <c:v>273.91000000000003</c:v>
                </c:pt>
                <c:pt idx="188">
                  <c:v>272.08</c:v>
                </c:pt>
                <c:pt idx="189">
                  <c:v>277.97000000000003</c:v>
                </c:pt>
                <c:pt idx="190">
                  <c:v>279.27999999999997</c:v>
                </c:pt>
                <c:pt idx="191">
                  <c:v>277.88</c:v>
                </c:pt>
                <c:pt idx="192">
                  <c:v>282.56</c:v>
                </c:pt>
                <c:pt idx="193">
                  <c:v>286.8</c:v>
                </c:pt>
                <c:pt idx="194">
                  <c:v>282.26</c:v>
                </c:pt>
                <c:pt idx="195">
                  <c:v>284.17</c:v>
                </c:pt>
                <c:pt idx="196">
                  <c:v>285.33</c:v>
                </c:pt>
                <c:pt idx="197">
                  <c:v>282.57</c:v>
                </c:pt>
                <c:pt idx="198">
                  <c:v>282.67</c:v>
                </c:pt>
                <c:pt idx="199">
                  <c:v>284.45</c:v>
                </c:pt>
                <c:pt idx="200">
                  <c:v>277.60000000000002</c:v>
                </c:pt>
                <c:pt idx="201">
                  <c:v>275.97000000000003</c:v>
                </c:pt>
                <c:pt idx="202">
                  <c:v>273</c:v>
                </c:pt>
                <c:pt idx="203">
                  <c:v>279.87</c:v>
                </c:pt>
                <c:pt idx="204">
                  <c:v>282.49</c:v>
                </c:pt>
                <c:pt idx="205">
                  <c:v>285.12</c:v>
                </c:pt>
                <c:pt idx="206">
                  <c:v>290.51</c:v>
                </c:pt>
                <c:pt idx="207">
                  <c:v>290.37</c:v>
                </c:pt>
                <c:pt idx="208">
                  <c:v>292.02999999999997</c:v>
                </c:pt>
                <c:pt idx="209">
                  <c:v>290.43</c:v>
                </c:pt>
                <c:pt idx="210">
                  <c:v>288.98</c:v>
                </c:pt>
                <c:pt idx="211">
                  <c:v>291.66000000000003</c:v>
                </c:pt>
                <c:pt idx="212">
                  <c:v>287.67</c:v>
                </c:pt>
                <c:pt idx="213">
                  <c:v>292.01</c:v>
                </c:pt>
                <c:pt idx="214">
                  <c:v>281.64999999999998</c:v>
                </c:pt>
                <c:pt idx="215">
                  <c:v>284.11</c:v>
                </c:pt>
                <c:pt idx="216">
                  <c:v>285.02</c:v>
                </c:pt>
                <c:pt idx="217">
                  <c:v>282.05</c:v>
                </c:pt>
                <c:pt idx="218">
                  <c:v>290.41000000000003</c:v>
                </c:pt>
                <c:pt idx="219">
                  <c:v>292.95</c:v>
                </c:pt>
                <c:pt idx="220">
                  <c:v>294.64</c:v>
                </c:pt>
                <c:pt idx="221">
                  <c:v>292.08</c:v>
                </c:pt>
                <c:pt idx="222">
                  <c:v>289.88</c:v>
                </c:pt>
                <c:pt idx="223">
                  <c:v>295.58999999999997</c:v>
                </c:pt>
                <c:pt idx="224">
                  <c:v>298.18</c:v>
                </c:pt>
                <c:pt idx="225">
                  <c:v>295.32</c:v>
                </c:pt>
                <c:pt idx="226">
                  <c:v>296.69</c:v>
                </c:pt>
                <c:pt idx="227">
                  <c:v>298.91000000000003</c:v>
                </c:pt>
                <c:pt idx="228">
                  <c:v>299.83</c:v>
                </c:pt>
                <c:pt idx="229">
                  <c:v>298.97000000000003</c:v>
                </c:pt>
                <c:pt idx="230">
                  <c:v>300.45</c:v>
                </c:pt>
                <c:pt idx="231">
                  <c:v>299.32</c:v>
                </c:pt>
                <c:pt idx="232">
                  <c:v>297.58</c:v>
                </c:pt>
                <c:pt idx="233">
                  <c:v>298.89999999999998</c:v>
                </c:pt>
                <c:pt idx="234">
                  <c:v>296.19</c:v>
                </c:pt>
                <c:pt idx="235">
                  <c:v>293.48</c:v>
                </c:pt>
                <c:pt idx="236">
                  <c:v>297.24</c:v>
                </c:pt>
                <c:pt idx="237">
                  <c:v>295.99</c:v>
                </c:pt>
                <c:pt idx="238">
                  <c:v>293.48</c:v>
                </c:pt>
                <c:pt idx="239">
                  <c:v>294.51</c:v>
                </c:pt>
                <c:pt idx="240">
                  <c:v>295.77</c:v>
                </c:pt>
                <c:pt idx="241">
                  <c:v>295.58999999999997</c:v>
                </c:pt>
                <c:pt idx="242">
                  <c:v>294.04000000000002</c:v>
                </c:pt>
                <c:pt idx="243">
                  <c:v>292.31</c:v>
                </c:pt>
                <c:pt idx="244">
                  <c:v>296.54000000000002</c:v>
                </c:pt>
                <c:pt idx="245">
                  <c:v>293.79000000000002</c:v>
                </c:pt>
                <c:pt idx="246">
                  <c:v>292.08999999999997</c:v>
                </c:pt>
                <c:pt idx="247">
                  <c:v>291.17</c:v>
                </c:pt>
                <c:pt idx="248">
                  <c:v>292.91000000000003</c:v>
                </c:pt>
                <c:pt idx="249">
                  <c:v>293.37</c:v>
                </c:pt>
                <c:pt idx="250">
                  <c:v>288.57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4-4C93-830B-9B6CE3282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461496"/>
        <c:axId val="704576236"/>
      </c:areaChart>
      <c:dateAx>
        <c:axId val="192446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704576236"/>
        <c:crosses val="autoZero"/>
        <c:auto val="1"/>
        <c:lblOffset val="100"/>
        <c:baseTimeUnit val="days"/>
      </c:dateAx>
      <c:valAx>
        <c:axId val="704576236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92446149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VGK!$F$27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VGK!$B$28:$B$1000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VGK!$F$28:$F$1000</c:f>
              <c:numCache>
                <c:formatCode>#,##0.00</c:formatCode>
                <c:ptCount val="973"/>
                <c:pt idx="0">
                  <c:v>76.5</c:v>
                </c:pt>
                <c:pt idx="1">
                  <c:v>75.650000000000006</c:v>
                </c:pt>
                <c:pt idx="2">
                  <c:v>75.260000000000005</c:v>
                </c:pt>
                <c:pt idx="3">
                  <c:v>76.13</c:v>
                </c:pt>
                <c:pt idx="4">
                  <c:v>76.209999999999994</c:v>
                </c:pt>
                <c:pt idx="5">
                  <c:v>76.569999999999993</c:v>
                </c:pt>
                <c:pt idx="6">
                  <c:v>77.38</c:v>
                </c:pt>
                <c:pt idx="7">
                  <c:v>77.63</c:v>
                </c:pt>
                <c:pt idx="8">
                  <c:v>77.23</c:v>
                </c:pt>
                <c:pt idx="9">
                  <c:v>78.02</c:v>
                </c:pt>
                <c:pt idx="10">
                  <c:v>78.59</c:v>
                </c:pt>
                <c:pt idx="11">
                  <c:v>78.739999999999995</c:v>
                </c:pt>
                <c:pt idx="12">
                  <c:v>78.95</c:v>
                </c:pt>
                <c:pt idx="13">
                  <c:v>78.8</c:v>
                </c:pt>
                <c:pt idx="14">
                  <c:v>78.97</c:v>
                </c:pt>
                <c:pt idx="15">
                  <c:v>79.400000000000006</c:v>
                </c:pt>
                <c:pt idx="16">
                  <c:v>78.92</c:v>
                </c:pt>
                <c:pt idx="17">
                  <c:v>80.19</c:v>
                </c:pt>
                <c:pt idx="18">
                  <c:v>79</c:v>
                </c:pt>
                <c:pt idx="19">
                  <c:v>78.88</c:v>
                </c:pt>
                <c:pt idx="20">
                  <c:v>78.66</c:v>
                </c:pt>
                <c:pt idx="21">
                  <c:v>78.849999999999994</c:v>
                </c:pt>
                <c:pt idx="22">
                  <c:v>78.5</c:v>
                </c:pt>
                <c:pt idx="23">
                  <c:v>77.41</c:v>
                </c:pt>
                <c:pt idx="24">
                  <c:v>77.73</c:v>
                </c:pt>
                <c:pt idx="25">
                  <c:v>78.19</c:v>
                </c:pt>
                <c:pt idx="26">
                  <c:v>78.569999999999993</c:v>
                </c:pt>
                <c:pt idx="27">
                  <c:v>79.13</c:v>
                </c:pt>
                <c:pt idx="28">
                  <c:v>78.989999999999995</c:v>
                </c:pt>
                <c:pt idx="29">
                  <c:v>78.78</c:v>
                </c:pt>
                <c:pt idx="30">
                  <c:v>79.63</c:v>
                </c:pt>
                <c:pt idx="31">
                  <c:v>79.36</c:v>
                </c:pt>
                <c:pt idx="32">
                  <c:v>79.95</c:v>
                </c:pt>
                <c:pt idx="33">
                  <c:v>79.7</c:v>
                </c:pt>
                <c:pt idx="34">
                  <c:v>79.39</c:v>
                </c:pt>
                <c:pt idx="35">
                  <c:v>79.709999999999994</c:v>
                </c:pt>
                <c:pt idx="36">
                  <c:v>79.13</c:v>
                </c:pt>
                <c:pt idx="37">
                  <c:v>79.459999999999994</c:v>
                </c:pt>
                <c:pt idx="38">
                  <c:v>79.41</c:v>
                </c:pt>
                <c:pt idx="39">
                  <c:v>78.89</c:v>
                </c:pt>
                <c:pt idx="40">
                  <c:v>78.14</c:v>
                </c:pt>
                <c:pt idx="41">
                  <c:v>78.959999999999994</c:v>
                </c:pt>
                <c:pt idx="42">
                  <c:v>79.209999999999994</c:v>
                </c:pt>
                <c:pt idx="43">
                  <c:v>79.8</c:v>
                </c:pt>
                <c:pt idx="44">
                  <c:v>80.72</c:v>
                </c:pt>
                <c:pt idx="45">
                  <c:v>80.91</c:v>
                </c:pt>
                <c:pt idx="46">
                  <c:v>81.349999999999994</c:v>
                </c:pt>
                <c:pt idx="47">
                  <c:v>81.099999999999994</c:v>
                </c:pt>
                <c:pt idx="48">
                  <c:v>80.489999999999995</c:v>
                </c:pt>
                <c:pt idx="49">
                  <c:v>80.959999999999994</c:v>
                </c:pt>
                <c:pt idx="50">
                  <c:v>80.099999999999994</c:v>
                </c:pt>
                <c:pt idx="51">
                  <c:v>79.180000000000007</c:v>
                </c:pt>
                <c:pt idx="52">
                  <c:v>79.73</c:v>
                </c:pt>
                <c:pt idx="53">
                  <c:v>80.040000000000006</c:v>
                </c:pt>
                <c:pt idx="54">
                  <c:v>80.22</c:v>
                </c:pt>
                <c:pt idx="55">
                  <c:v>80.78</c:v>
                </c:pt>
                <c:pt idx="56">
                  <c:v>80.8</c:v>
                </c:pt>
                <c:pt idx="57">
                  <c:v>81.150000000000006</c:v>
                </c:pt>
                <c:pt idx="58">
                  <c:v>80.67</c:v>
                </c:pt>
                <c:pt idx="59">
                  <c:v>80.7</c:v>
                </c:pt>
                <c:pt idx="60">
                  <c:v>81.17</c:v>
                </c:pt>
                <c:pt idx="61">
                  <c:v>81.290000000000006</c:v>
                </c:pt>
                <c:pt idx="62">
                  <c:v>81.69</c:v>
                </c:pt>
                <c:pt idx="63">
                  <c:v>81.48</c:v>
                </c:pt>
                <c:pt idx="64">
                  <c:v>81.040000000000006</c:v>
                </c:pt>
                <c:pt idx="65">
                  <c:v>80.66</c:v>
                </c:pt>
                <c:pt idx="66">
                  <c:v>80.3</c:v>
                </c:pt>
                <c:pt idx="67">
                  <c:v>80.17</c:v>
                </c:pt>
                <c:pt idx="68">
                  <c:v>79.31</c:v>
                </c:pt>
                <c:pt idx="69">
                  <c:v>79.97</c:v>
                </c:pt>
                <c:pt idx="70">
                  <c:v>79.59</c:v>
                </c:pt>
                <c:pt idx="71">
                  <c:v>79.98</c:v>
                </c:pt>
                <c:pt idx="72">
                  <c:v>80.930000000000007</c:v>
                </c:pt>
                <c:pt idx="73">
                  <c:v>81.790000000000006</c:v>
                </c:pt>
                <c:pt idx="74">
                  <c:v>82.27</c:v>
                </c:pt>
                <c:pt idx="75">
                  <c:v>81.680000000000007</c:v>
                </c:pt>
                <c:pt idx="76">
                  <c:v>81.06</c:v>
                </c:pt>
                <c:pt idx="77">
                  <c:v>80.069999999999993</c:v>
                </c:pt>
                <c:pt idx="78">
                  <c:v>79.290000000000006</c:v>
                </c:pt>
                <c:pt idx="79">
                  <c:v>78.98</c:v>
                </c:pt>
                <c:pt idx="80">
                  <c:v>77.900000000000006</c:v>
                </c:pt>
                <c:pt idx="81">
                  <c:v>79.09</c:v>
                </c:pt>
                <c:pt idx="82">
                  <c:v>78.89</c:v>
                </c:pt>
                <c:pt idx="83">
                  <c:v>80.239999999999995</c:v>
                </c:pt>
                <c:pt idx="84">
                  <c:v>81</c:v>
                </c:pt>
                <c:pt idx="85">
                  <c:v>81.53</c:v>
                </c:pt>
                <c:pt idx="86">
                  <c:v>81.12</c:v>
                </c:pt>
                <c:pt idx="87">
                  <c:v>81.489999999999995</c:v>
                </c:pt>
                <c:pt idx="88">
                  <c:v>82.04</c:v>
                </c:pt>
                <c:pt idx="89">
                  <c:v>81.99</c:v>
                </c:pt>
                <c:pt idx="90">
                  <c:v>82.02</c:v>
                </c:pt>
                <c:pt idx="91">
                  <c:v>81.83</c:v>
                </c:pt>
                <c:pt idx="92">
                  <c:v>81.61</c:v>
                </c:pt>
                <c:pt idx="93">
                  <c:v>82.61</c:v>
                </c:pt>
                <c:pt idx="94">
                  <c:v>83.23</c:v>
                </c:pt>
                <c:pt idx="95">
                  <c:v>82.69</c:v>
                </c:pt>
                <c:pt idx="96">
                  <c:v>83.23</c:v>
                </c:pt>
                <c:pt idx="97">
                  <c:v>83.05</c:v>
                </c:pt>
                <c:pt idx="98">
                  <c:v>82.6</c:v>
                </c:pt>
                <c:pt idx="99">
                  <c:v>83.19</c:v>
                </c:pt>
                <c:pt idx="100">
                  <c:v>82.79</c:v>
                </c:pt>
                <c:pt idx="101">
                  <c:v>83.23</c:v>
                </c:pt>
                <c:pt idx="102">
                  <c:v>83.61</c:v>
                </c:pt>
                <c:pt idx="103">
                  <c:v>83.73</c:v>
                </c:pt>
                <c:pt idx="104">
                  <c:v>83.97</c:v>
                </c:pt>
                <c:pt idx="105">
                  <c:v>83.67</c:v>
                </c:pt>
                <c:pt idx="106">
                  <c:v>83.95</c:v>
                </c:pt>
                <c:pt idx="107">
                  <c:v>83.61</c:v>
                </c:pt>
                <c:pt idx="108">
                  <c:v>84.56</c:v>
                </c:pt>
                <c:pt idx="109">
                  <c:v>85.23</c:v>
                </c:pt>
                <c:pt idx="110">
                  <c:v>85.44</c:v>
                </c:pt>
                <c:pt idx="111">
                  <c:v>85.19</c:v>
                </c:pt>
                <c:pt idx="112">
                  <c:v>85.18</c:v>
                </c:pt>
                <c:pt idx="113">
                  <c:v>85.77</c:v>
                </c:pt>
                <c:pt idx="114">
                  <c:v>86.24</c:v>
                </c:pt>
                <c:pt idx="115">
                  <c:v>85.79</c:v>
                </c:pt>
                <c:pt idx="116">
                  <c:v>86.12</c:v>
                </c:pt>
                <c:pt idx="117">
                  <c:v>85.91</c:v>
                </c:pt>
                <c:pt idx="118">
                  <c:v>86.17</c:v>
                </c:pt>
                <c:pt idx="119">
                  <c:v>84.96</c:v>
                </c:pt>
                <c:pt idx="120">
                  <c:v>85.81</c:v>
                </c:pt>
                <c:pt idx="121">
                  <c:v>86.32</c:v>
                </c:pt>
                <c:pt idx="122">
                  <c:v>86.93</c:v>
                </c:pt>
                <c:pt idx="123">
                  <c:v>87.51</c:v>
                </c:pt>
                <c:pt idx="124">
                  <c:v>88.91</c:v>
                </c:pt>
                <c:pt idx="125">
                  <c:v>87.85</c:v>
                </c:pt>
                <c:pt idx="126">
                  <c:v>88.32</c:v>
                </c:pt>
                <c:pt idx="127">
                  <c:v>87.5</c:v>
                </c:pt>
                <c:pt idx="128">
                  <c:v>88.2</c:v>
                </c:pt>
                <c:pt idx="129">
                  <c:v>87.87</c:v>
                </c:pt>
                <c:pt idx="130">
                  <c:v>87.99</c:v>
                </c:pt>
                <c:pt idx="131">
                  <c:v>86.77</c:v>
                </c:pt>
                <c:pt idx="132">
                  <c:v>88.49</c:v>
                </c:pt>
                <c:pt idx="133">
                  <c:v>89.47</c:v>
                </c:pt>
                <c:pt idx="134">
                  <c:v>89.22</c:v>
                </c:pt>
                <c:pt idx="135">
                  <c:v>89.45</c:v>
                </c:pt>
                <c:pt idx="136">
                  <c:v>88.75</c:v>
                </c:pt>
                <c:pt idx="137">
                  <c:v>88.7</c:v>
                </c:pt>
                <c:pt idx="138">
                  <c:v>89.23</c:v>
                </c:pt>
                <c:pt idx="139">
                  <c:v>89.53</c:v>
                </c:pt>
                <c:pt idx="140">
                  <c:v>89.14</c:v>
                </c:pt>
                <c:pt idx="141">
                  <c:v>90.01</c:v>
                </c:pt>
                <c:pt idx="142">
                  <c:v>89.49</c:v>
                </c:pt>
                <c:pt idx="143">
                  <c:v>89.73</c:v>
                </c:pt>
                <c:pt idx="144">
                  <c:v>90.49</c:v>
                </c:pt>
                <c:pt idx="145">
                  <c:v>90.43</c:v>
                </c:pt>
                <c:pt idx="146">
                  <c:v>90.17</c:v>
                </c:pt>
                <c:pt idx="147">
                  <c:v>88.27</c:v>
                </c:pt>
                <c:pt idx="148">
                  <c:v>85.61</c:v>
                </c:pt>
                <c:pt idx="149">
                  <c:v>86.59</c:v>
                </c:pt>
                <c:pt idx="150">
                  <c:v>84.85</c:v>
                </c:pt>
                <c:pt idx="151">
                  <c:v>84.25</c:v>
                </c:pt>
                <c:pt idx="152">
                  <c:v>84.64</c:v>
                </c:pt>
                <c:pt idx="153">
                  <c:v>84.67</c:v>
                </c:pt>
                <c:pt idx="154">
                  <c:v>84.53</c:v>
                </c:pt>
                <c:pt idx="155">
                  <c:v>83.3</c:v>
                </c:pt>
                <c:pt idx="156">
                  <c:v>82.16</c:v>
                </c:pt>
                <c:pt idx="157">
                  <c:v>83.53</c:v>
                </c:pt>
                <c:pt idx="158">
                  <c:v>83.9</c:v>
                </c:pt>
                <c:pt idx="159">
                  <c:v>82.26</c:v>
                </c:pt>
                <c:pt idx="160">
                  <c:v>82.03</c:v>
                </c:pt>
                <c:pt idx="161">
                  <c:v>79.180000000000007</c:v>
                </c:pt>
                <c:pt idx="162">
                  <c:v>81.040000000000006</c:v>
                </c:pt>
                <c:pt idx="163">
                  <c:v>80.58</c:v>
                </c:pt>
                <c:pt idx="164">
                  <c:v>81.760000000000005</c:v>
                </c:pt>
                <c:pt idx="165">
                  <c:v>80.16</c:v>
                </c:pt>
                <c:pt idx="166">
                  <c:v>79.45</c:v>
                </c:pt>
                <c:pt idx="167">
                  <c:v>79.87</c:v>
                </c:pt>
                <c:pt idx="168">
                  <c:v>82.43</c:v>
                </c:pt>
                <c:pt idx="169">
                  <c:v>83.62</c:v>
                </c:pt>
                <c:pt idx="170">
                  <c:v>83.22</c:v>
                </c:pt>
                <c:pt idx="171">
                  <c:v>83.78</c:v>
                </c:pt>
                <c:pt idx="172">
                  <c:v>83.53</c:v>
                </c:pt>
                <c:pt idx="173">
                  <c:v>86.74</c:v>
                </c:pt>
                <c:pt idx="174">
                  <c:v>86.76</c:v>
                </c:pt>
                <c:pt idx="175">
                  <c:v>87.06</c:v>
                </c:pt>
                <c:pt idx="176">
                  <c:v>87.64</c:v>
                </c:pt>
                <c:pt idx="177">
                  <c:v>88.37</c:v>
                </c:pt>
                <c:pt idx="178">
                  <c:v>88.03</c:v>
                </c:pt>
                <c:pt idx="179">
                  <c:v>87.71</c:v>
                </c:pt>
                <c:pt idx="180">
                  <c:v>89.07</c:v>
                </c:pt>
                <c:pt idx="181">
                  <c:v>88.84</c:v>
                </c:pt>
                <c:pt idx="182">
                  <c:v>86.9</c:v>
                </c:pt>
                <c:pt idx="183">
                  <c:v>87.14</c:v>
                </c:pt>
                <c:pt idx="184">
                  <c:v>86.47</c:v>
                </c:pt>
                <c:pt idx="185">
                  <c:v>87.05</c:v>
                </c:pt>
                <c:pt idx="186">
                  <c:v>86.55</c:v>
                </c:pt>
                <c:pt idx="187">
                  <c:v>86.16</c:v>
                </c:pt>
                <c:pt idx="188">
                  <c:v>85.14</c:v>
                </c:pt>
                <c:pt idx="189">
                  <c:v>87.14</c:v>
                </c:pt>
                <c:pt idx="190">
                  <c:v>87.15</c:v>
                </c:pt>
                <c:pt idx="191">
                  <c:v>85.51</c:v>
                </c:pt>
                <c:pt idx="192">
                  <c:v>86.87</c:v>
                </c:pt>
                <c:pt idx="193">
                  <c:v>89.23</c:v>
                </c:pt>
                <c:pt idx="194">
                  <c:v>87.28</c:v>
                </c:pt>
                <c:pt idx="195">
                  <c:v>88.12</c:v>
                </c:pt>
                <c:pt idx="196">
                  <c:v>87.82</c:v>
                </c:pt>
                <c:pt idx="197">
                  <c:v>87.11</c:v>
                </c:pt>
                <c:pt idx="198">
                  <c:v>87.6</c:v>
                </c:pt>
                <c:pt idx="199">
                  <c:v>87.47</c:v>
                </c:pt>
                <c:pt idx="200">
                  <c:v>85.79</c:v>
                </c:pt>
                <c:pt idx="201">
                  <c:v>87.11</c:v>
                </c:pt>
                <c:pt idx="202">
                  <c:v>86.41</c:v>
                </c:pt>
                <c:pt idx="203">
                  <c:v>88.24</c:v>
                </c:pt>
                <c:pt idx="204">
                  <c:v>88.76</c:v>
                </c:pt>
                <c:pt idx="205">
                  <c:v>88.46</c:v>
                </c:pt>
                <c:pt idx="206">
                  <c:v>89.48</c:v>
                </c:pt>
                <c:pt idx="207">
                  <c:v>89.32</c:v>
                </c:pt>
                <c:pt idx="208">
                  <c:v>89.03</c:v>
                </c:pt>
                <c:pt idx="209">
                  <c:v>89.01</c:v>
                </c:pt>
                <c:pt idx="210">
                  <c:v>88.52</c:v>
                </c:pt>
                <c:pt idx="211">
                  <c:v>88.96</c:v>
                </c:pt>
                <c:pt idx="212">
                  <c:v>87.9</c:v>
                </c:pt>
                <c:pt idx="213">
                  <c:v>88.89</c:v>
                </c:pt>
                <c:pt idx="214">
                  <c:v>87.13</c:v>
                </c:pt>
                <c:pt idx="215">
                  <c:v>87.52</c:v>
                </c:pt>
                <c:pt idx="216">
                  <c:v>87.88</c:v>
                </c:pt>
                <c:pt idx="217">
                  <c:v>86.69</c:v>
                </c:pt>
                <c:pt idx="218">
                  <c:v>89.46</c:v>
                </c:pt>
                <c:pt idx="219">
                  <c:v>89.62</c:v>
                </c:pt>
                <c:pt idx="220">
                  <c:v>89.87</c:v>
                </c:pt>
                <c:pt idx="221">
                  <c:v>90.01</c:v>
                </c:pt>
                <c:pt idx="222">
                  <c:v>89.23</c:v>
                </c:pt>
                <c:pt idx="223">
                  <c:v>88.27</c:v>
                </c:pt>
                <c:pt idx="224">
                  <c:v>88.25</c:v>
                </c:pt>
                <c:pt idx="225">
                  <c:v>87.16</c:v>
                </c:pt>
                <c:pt idx="226">
                  <c:v>86.95</c:v>
                </c:pt>
                <c:pt idx="227">
                  <c:v>87.83</c:v>
                </c:pt>
                <c:pt idx="228">
                  <c:v>87.13</c:v>
                </c:pt>
                <c:pt idx="229">
                  <c:v>88.07</c:v>
                </c:pt>
                <c:pt idx="230">
                  <c:v>88.54</c:v>
                </c:pt>
                <c:pt idx="231">
                  <c:v>87.77</c:v>
                </c:pt>
                <c:pt idx="232">
                  <c:v>89.35</c:v>
                </c:pt>
                <c:pt idx="233">
                  <c:v>89.97</c:v>
                </c:pt>
                <c:pt idx="234">
                  <c:v>89.04</c:v>
                </c:pt>
                <c:pt idx="235">
                  <c:v>88.18</c:v>
                </c:pt>
                <c:pt idx="236">
                  <c:v>88.41</c:v>
                </c:pt>
                <c:pt idx="237">
                  <c:v>88.57</c:v>
                </c:pt>
                <c:pt idx="238">
                  <c:v>87.86</c:v>
                </c:pt>
                <c:pt idx="239">
                  <c:v>88.3</c:v>
                </c:pt>
                <c:pt idx="240">
                  <c:v>89.12</c:v>
                </c:pt>
                <c:pt idx="241">
                  <c:v>88.79</c:v>
                </c:pt>
                <c:pt idx="242">
                  <c:v>88.59</c:v>
                </c:pt>
                <c:pt idx="243">
                  <c:v>87.69</c:v>
                </c:pt>
                <c:pt idx="244">
                  <c:v>88.76</c:v>
                </c:pt>
                <c:pt idx="245">
                  <c:v>89.09</c:v>
                </c:pt>
                <c:pt idx="246">
                  <c:v>87.83</c:v>
                </c:pt>
                <c:pt idx="247">
                  <c:v>88.41</c:v>
                </c:pt>
                <c:pt idx="248">
                  <c:v>88.84</c:v>
                </c:pt>
                <c:pt idx="249">
                  <c:v>89.23</c:v>
                </c:pt>
                <c:pt idx="250">
                  <c:v>88.86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9-4FDD-9387-1D9A346E1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7382"/>
        <c:axId val="1332577079"/>
      </c:areaChart>
      <c:dateAx>
        <c:axId val="10207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332577079"/>
        <c:crosses val="autoZero"/>
        <c:auto val="1"/>
        <c:lblOffset val="100"/>
        <c:baseTimeUnit val="days"/>
      </c:dateAx>
      <c:valAx>
        <c:axId val="133257707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020738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QQQ!$F$27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QQQ!$B$28:$B$1000</c:f>
              <c:numCache>
                <c:formatCode>mmm" "d", "yyyy</c:formatCode>
                <c:ptCount val="973"/>
                <c:pt idx="0">
                  <c:v>45138.666666666599</c:v>
                </c:pt>
                <c:pt idx="1">
                  <c:v>45139.666666666599</c:v>
                </c:pt>
                <c:pt idx="2">
                  <c:v>45140.666666666599</c:v>
                </c:pt>
                <c:pt idx="3">
                  <c:v>45141.666666666599</c:v>
                </c:pt>
                <c:pt idx="4">
                  <c:v>45142.666666666599</c:v>
                </c:pt>
                <c:pt idx="5">
                  <c:v>45145.666666666599</c:v>
                </c:pt>
                <c:pt idx="6">
                  <c:v>45146.666666666599</c:v>
                </c:pt>
                <c:pt idx="7">
                  <c:v>45147.666666666599</c:v>
                </c:pt>
                <c:pt idx="8">
                  <c:v>45148.666666666599</c:v>
                </c:pt>
                <c:pt idx="9">
                  <c:v>45149.666666666599</c:v>
                </c:pt>
                <c:pt idx="10">
                  <c:v>45152.666666666599</c:v>
                </c:pt>
                <c:pt idx="11">
                  <c:v>45153.666666666599</c:v>
                </c:pt>
                <c:pt idx="12">
                  <c:v>45154.666666666599</c:v>
                </c:pt>
                <c:pt idx="13">
                  <c:v>45155.666666666599</c:v>
                </c:pt>
                <c:pt idx="14">
                  <c:v>45156.666666666599</c:v>
                </c:pt>
                <c:pt idx="15">
                  <c:v>45159.666666666599</c:v>
                </c:pt>
                <c:pt idx="16">
                  <c:v>45160.666666666599</c:v>
                </c:pt>
                <c:pt idx="17">
                  <c:v>45161.666666666599</c:v>
                </c:pt>
                <c:pt idx="18">
                  <c:v>45162.666666666599</c:v>
                </c:pt>
                <c:pt idx="19">
                  <c:v>45163.666666666599</c:v>
                </c:pt>
                <c:pt idx="20">
                  <c:v>45166.666666666599</c:v>
                </c:pt>
                <c:pt idx="21">
                  <c:v>45167.666666666599</c:v>
                </c:pt>
                <c:pt idx="22">
                  <c:v>45168.666666666599</c:v>
                </c:pt>
                <c:pt idx="23">
                  <c:v>45169.666666666599</c:v>
                </c:pt>
                <c:pt idx="24">
                  <c:v>45170.666666666599</c:v>
                </c:pt>
                <c:pt idx="25">
                  <c:v>45174.666666666599</c:v>
                </c:pt>
                <c:pt idx="26">
                  <c:v>45175.666666666599</c:v>
                </c:pt>
                <c:pt idx="27">
                  <c:v>45176.666666666599</c:v>
                </c:pt>
                <c:pt idx="28">
                  <c:v>45177.666666666599</c:v>
                </c:pt>
                <c:pt idx="29">
                  <c:v>45180.666666666599</c:v>
                </c:pt>
                <c:pt idx="30">
                  <c:v>45181.666666666599</c:v>
                </c:pt>
                <c:pt idx="31">
                  <c:v>45182.666666666599</c:v>
                </c:pt>
                <c:pt idx="32">
                  <c:v>45183.666666666599</c:v>
                </c:pt>
                <c:pt idx="33">
                  <c:v>45184.666666666599</c:v>
                </c:pt>
                <c:pt idx="34">
                  <c:v>45187.666666666599</c:v>
                </c:pt>
                <c:pt idx="35">
                  <c:v>45188.666666666599</c:v>
                </c:pt>
                <c:pt idx="36">
                  <c:v>45189.666666666599</c:v>
                </c:pt>
                <c:pt idx="37">
                  <c:v>45190.666666666599</c:v>
                </c:pt>
                <c:pt idx="38">
                  <c:v>45191.666666666599</c:v>
                </c:pt>
                <c:pt idx="39">
                  <c:v>45194.666666666599</c:v>
                </c:pt>
                <c:pt idx="40">
                  <c:v>45195.666666666599</c:v>
                </c:pt>
                <c:pt idx="41">
                  <c:v>45196.666666666599</c:v>
                </c:pt>
                <c:pt idx="42">
                  <c:v>45197.666666666599</c:v>
                </c:pt>
                <c:pt idx="43">
                  <c:v>45198.666666666599</c:v>
                </c:pt>
                <c:pt idx="44">
                  <c:v>45201.666666666599</c:v>
                </c:pt>
                <c:pt idx="45">
                  <c:v>45202.666666666599</c:v>
                </c:pt>
                <c:pt idx="46">
                  <c:v>45203.666666666599</c:v>
                </c:pt>
                <c:pt idx="47">
                  <c:v>45204.666666666599</c:v>
                </c:pt>
                <c:pt idx="48">
                  <c:v>45205.666666666599</c:v>
                </c:pt>
                <c:pt idx="49">
                  <c:v>45208.666666666599</c:v>
                </c:pt>
                <c:pt idx="50">
                  <c:v>45209.666666666599</c:v>
                </c:pt>
                <c:pt idx="51">
                  <c:v>45210.666666666599</c:v>
                </c:pt>
                <c:pt idx="52">
                  <c:v>45211.666666666599</c:v>
                </c:pt>
                <c:pt idx="53">
                  <c:v>45212.666666666599</c:v>
                </c:pt>
                <c:pt idx="54">
                  <c:v>45215.666666666599</c:v>
                </c:pt>
                <c:pt idx="55">
                  <c:v>45216.666666666599</c:v>
                </c:pt>
                <c:pt idx="56">
                  <c:v>45217.666666666599</c:v>
                </c:pt>
                <c:pt idx="57">
                  <c:v>45218.666666666599</c:v>
                </c:pt>
                <c:pt idx="58">
                  <c:v>45219.666666666599</c:v>
                </c:pt>
                <c:pt idx="59">
                  <c:v>45222.666666666599</c:v>
                </c:pt>
                <c:pt idx="60">
                  <c:v>45223.666666666599</c:v>
                </c:pt>
                <c:pt idx="61">
                  <c:v>45224.666666666599</c:v>
                </c:pt>
                <c:pt idx="62">
                  <c:v>45225.666666666599</c:v>
                </c:pt>
                <c:pt idx="63">
                  <c:v>45226.666666666599</c:v>
                </c:pt>
                <c:pt idx="64">
                  <c:v>45229.666666666599</c:v>
                </c:pt>
                <c:pt idx="65">
                  <c:v>45230.666666666599</c:v>
                </c:pt>
                <c:pt idx="66">
                  <c:v>45231.666666666599</c:v>
                </c:pt>
                <c:pt idx="67">
                  <c:v>45232.666666666599</c:v>
                </c:pt>
                <c:pt idx="68">
                  <c:v>45233.666666666599</c:v>
                </c:pt>
                <c:pt idx="69">
                  <c:v>45236.666666666599</c:v>
                </c:pt>
                <c:pt idx="70">
                  <c:v>45237.666666666599</c:v>
                </c:pt>
                <c:pt idx="71">
                  <c:v>45238.666666666599</c:v>
                </c:pt>
                <c:pt idx="72">
                  <c:v>45239.666666666599</c:v>
                </c:pt>
                <c:pt idx="73">
                  <c:v>45240.666666666599</c:v>
                </c:pt>
                <c:pt idx="74">
                  <c:v>45243.666666666599</c:v>
                </c:pt>
                <c:pt idx="75">
                  <c:v>45244.666666666599</c:v>
                </c:pt>
                <c:pt idx="76">
                  <c:v>45245.666666666599</c:v>
                </c:pt>
                <c:pt idx="77">
                  <c:v>45246.666666666599</c:v>
                </c:pt>
                <c:pt idx="78">
                  <c:v>45247.666666666599</c:v>
                </c:pt>
                <c:pt idx="79">
                  <c:v>45250.666666666599</c:v>
                </c:pt>
                <c:pt idx="80">
                  <c:v>45251.666666666599</c:v>
                </c:pt>
                <c:pt idx="81">
                  <c:v>45252.666666666599</c:v>
                </c:pt>
                <c:pt idx="82">
                  <c:v>45254.545138888803</c:v>
                </c:pt>
                <c:pt idx="83">
                  <c:v>45257.666666666599</c:v>
                </c:pt>
                <c:pt idx="84">
                  <c:v>45258.666666666599</c:v>
                </c:pt>
                <c:pt idx="85">
                  <c:v>45259.666666666599</c:v>
                </c:pt>
                <c:pt idx="86">
                  <c:v>45260.666666666599</c:v>
                </c:pt>
                <c:pt idx="87">
                  <c:v>45261.666666666599</c:v>
                </c:pt>
                <c:pt idx="88">
                  <c:v>45264.666666666599</c:v>
                </c:pt>
                <c:pt idx="89">
                  <c:v>45265.666666666599</c:v>
                </c:pt>
                <c:pt idx="90">
                  <c:v>45266.666666666599</c:v>
                </c:pt>
                <c:pt idx="91">
                  <c:v>45267.666666666599</c:v>
                </c:pt>
                <c:pt idx="92">
                  <c:v>45268.666666666599</c:v>
                </c:pt>
                <c:pt idx="93">
                  <c:v>45271.666666666599</c:v>
                </c:pt>
                <c:pt idx="94">
                  <c:v>45272.666666666599</c:v>
                </c:pt>
                <c:pt idx="95">
                  <c:v>45273.666666666599</c:v>
                </c:pt>
                <c:pt idx="96">
                  <c:v>45274.666666666599</c:v>
                </c:pt>
                <c:pt idx="97">
                  <c:v>45275.666666666599</c:v>
                </c:pt>
                <c:pt idx="98">
                  <c:v>45278.666666666599</c:v>
                </c:pt>
                <c:pt idx="99">
                  <c:v>45279.666666666599</c:v>
                </c:pt>
                <c:pt idx="100">
                  <c:v>45280.666666666599</c:v>
                </c:pt>
                <c:pt idx="101">
                  <c:v>45281.666666666599</c:v>
                </c:pt>
                <c:pt idx="102">
                  <c:v>45282.666666666599</c:v>
                </c:pt>
                <c:pt idx="103">
                  <c:v>45286.666666666599</c:v>
                </c:pt>
                <c:pt idx="104">
                  <c:v>45287.666666666599</c:v>
                </c:pt>
                <c:pt idx="105">
                  <c:v>45288.666666666599</c:v>
                </c:pt>
                <c:pt idx="106">
                  <c:v>45289.666666666599</c:v>
                </c:pt>
                <c:pt idx="107">
                  <c:v>45293.666666666599</c:v>
                </c:pt>
                <c:pt idx="108">
                  <c:v>45294.666666666599</c:v>
                </c:pt>
                <c:pt idx="109">
                  <c:v>45295.666666666599</c:v>
                </c:pt>
                <c:pt idx="110">
                  <c:v>45296.666666666599</c:v>
                </c:pt>
                <c:pt idx="111">
                  <c:v>45299.666666666599</c:v>
                </c:pt>
                <c:pt idx="112">
                  <c:v>45300.666666666599</c:v>
                </c:pt>
                <c:pt idx="113">
                  <c:v>45301.666666666599</c:v>
                </c:pt>
                <c:pt idx="114">
                  <c:v>45302.666666666599</c:v>
                </c:pt>
                <c:pt idx="115">
                  <c:v>45303.666666666599</c:v>
                </c:pt>
                <c:pt idx="116">
                  <c:v>45307.666666666599</c:v>
                </c:pt>
                <c:pt idx="117">
                  <c:v>45308.666666666599</c:v>
                </c:pt>
                <c:pt idx="118">
                  <c:v>45309.666666666599</c:v>
                </c:pt>
                <c:pt idx="119">
                  <c:v>45310.666666666599</c:v>
                </c:pt>
                <c:pt idx="120">
                  <c:v>45313.666666666599</c:v>
                </c:pt>
                <c:pt idx="121">
                  <c:v>45314.666666666599</c:v>
                </c:pt>
                <c:pt idx="122">
                  <c:v>45315.666666666599</c:v>
                </c:pt>
                <c:pt idx="123">
                  <c:v>45316.666666666599</c:v>
                </c:pt>
                <c:pt idx="124">
                  <c:v>45317.666666666599</c:v>
                </c:pt>
                <c:pt idx="125">
                  <c:v>45320.666666666599</c:v>
                </c:pt>
                <c:pt idx="126">
                  <c:v>45321.666666666599</c:v>
                </c:pt>
                <c:pt idx="127">
                  <c:v>45322.666666666599</c:v>
                </c:pt>
                <c:pt idx="128">
                  <c:v>45323.666666666599</c:v>
                </c:pt>
                <c:pt idx="129">
                  <c:v>45324.666666666599</c:v>
                </c:pt>
                <c:pt idx="130">
                  <c:v>45327.666666666599</c:v>
                </c:pt>
                <c:pt idx="131">
                  <c:v>45328.666666666599</c:v>
                </c:pt>
                <c:pt idx="132">
                  <c:v>45329.666666666599</c:v>
                </c:pt>
                <c:pt idx="133">
                  <c:v>45330.666666666599</c:v>
                </c:pt>
                <c:pt idx="134">
                  <c:v>45331.666666666599</c:v>
                </c:pt>
                <c:pt idx="135">
                  <c:v>45334.666666666599</c:v>
                </c:pt>
                <c:pt idx="136">
                  <c:v>45335.666666666599</c:v>
                </c:pt>
                <c:pt idx="137">
                  <c:v>45336.666666666599</c:v>
                </c:pt>
                <c:pt idx="138">
                  <c:v>45337.666666666599</c:v>
                </c:pt>
                <c:pt idx="139">
                  <c:v>45338.666666666599</c:v>
                </c:pt>
                <c:pt idx="140">
                  <c:v>45342.666666666599</c:v>
                </c:pt>
                <c:pt idx="141">
                  <c:v>45343.666666666599</c:v>
                </c:pt>
                <c:pt idx="142">
                  <c:v>45344.666666666599</c:v>
                </c:pt>
                <c:pt idx="143">
                  <c:v>45345.666666666599</c:v>
                </c:pt>
                <c:pt idx="144">
                  <c:v>45348.666666666599</c:v>
                </c:pt>
                <c:pt idx="145">
                  <c:v>45349.666666666599</c:v>
                </c:pt>
                <c:pt idx="146">
                  <c:v>45350.666666666599</c:v>
                </c:pt>
                <c:pt idx="147">
                  <c:v>45351.666666666599</c:v>
                </c:pt>
                <c:pt idx="148">
                  <c:v>45352.666666666599</c:v>
                </c:pt>
                <c:pt idx="149">
                  <c:v>45355.666666666599</c:v>
                </c:pt>
                <c:pt idx="150">
                  <c:v>45356.666666666599</c:v>
                </c:pt>
                <c:pt idx="151">
                  <c:v>45357.666666666599</c:v>
                </c:pt>
                <c:pt idx="152">
                  <c:v>45358.666666666599</c:v>
                </c:pt>
                <c:pt idx="153">
                  <c:v>45359.666666666599</c:v>
                </c:pt>
                <c:pt idx="154">
                  <c:v>45362.666666666599</c:v>
                </c:pt>
                <c:pt idx="155">
                  <c:v>45363.666666666599</c:v>
                </c:pt>
                <c:pt idx="156">
                  <c:v>45364.666666666599</c:v>
                </c:pt>
                <c:pt idx="157">
                  <c:v>45365.666666666599</c:v>
                </c:pt>
                <c:pt idx="158">
                  <c:v>45366.666666666599</c:v>
                </c:pt>
                <c:pt idx="159">
                  <c:v>45369.666666666599</c:v>
                </c:pt>
                <c:pt idx="160">
                  <c:v>45370.666666666599</c:v>
                </c:pt>
                <c:pt idx="161">
                  <c:v>45371.666666666599</c:v>
                </c:pt>
                <c:pt idx="162">
                  <c:v>45372.666666666599</c:v>
                </c:pt>
                <c:pt idx="163">
                  <c:v>45373.666666666599</c:v>
                </c:pt>
                <c:pt idx="164">
                  <c:v>45376.666666666599</c:v>
                </c:pt>
                <c:pt idx="165">
                  <c:v>45377.666666666599</c:v>
                </c:pt>
                <c:pt idx="166">
                  <c:v>45378.666666666599</c:v>
                </c:pt>
                <c:pt idx="167">
                  <c:v>45379.666666666599</c:v>
                </c:pt>
                <c:pt idx="168">
                  <c:v>45383.666666666599</c:v>
                </c:pt>
                <c:pt idx="169">
                  <c:v>45384.666666666599</c:v>
                </c:pt>
                <c:pt idx="170">
                  <c:v>45385.666666666599</c:v>
                </c:pt>
                <c:pt idx="171">
                  <c:v>45386.666666666599</c:v>
                </c:pt>
                <c:pt idx="172">
                  <c:v>45387.666666666599</c:v>
                </c:pt>
                <c:pt idx="173">
                  <c:v>45390.666666666599</c:v>
                </c:pt>
                <c:pt idx="174">
                  <c:v>45391.666666666599</c:v>
                </c:pt>
                <c:pt idx="175">
                  <c:v>45392.666666666599</c:v>
                </c:pt>
                <c:pt idx="176">
                  <c:v>45393.666666666599</c:v>
                </c:pt>
                <c:pt idx="177">
                  <c:v>45394.666666666599</c:v>
                </c:pt>
                <c:pt idx="178">
                  <c:v>45397.666666666599</c:v>
                </c:pt>
                <c:pt idx="179">
                  <c:v>45398.666666666599</c:v>
                </c:pt>
                <c:pt idx="180">
                  <c:v>45399.666666666599</c:v>
                </c:pt>
                <c:pt idx="181">
                  <c:v>45400.666666666599</c:v>
                </c:pt>
                <c:pt idx="182">
                  <c:v>45401.666666666599</c:v>
                </c:pt>
                <c:pt idx="183">
                  <c:v>45404.666666666599</c:v>
                </c:pt>
                <c:pt idx="184">
                  <c:v>45405.666666666599</c:v>
                </c:pt>
                <c:pt idx="185">
                  <c:v>45406.666666666599</c:v>
                </c:pt>
                <c:pt idx="186">
                  <c:v>45407.666666666599</c:v>
                </c:pt>
                <c:pt idx="187">
                  <c:v>45408.666666666599</c:v>
                </c:pt>
                <c:pt idx="188">
                  <c:v>45411.666666666599</c:v>
                </c:pt>
                <c:pt idx="189">
                  <c:v>45412.666666666599</c:v>
                </c:pt>
                <c:pt idx="190">
                  <c:v>45413.666666666599</c:v>
                </c:pt>
                <c:pt idx="191">
                  <c:v>45414.666666666599</c:v>
                </c:pt>
                <c:pt idx="192">
                  <c:v>45415.666666666599</c:v>
                </c:pt>
                <c:pt idx="193">
                  <c:v>45418.666666666599</c:v>
                </c:pt>
                <c:pt idx="194">
                  <c:v>45419.666666666599</c:v>
                </c:pt>
                <c:pt idx="195">
                  <c:v>45420.666666666599</c:v>
                </c:pt>
                <c:pt idx="196">
                  <c:v>45421.666666666599</c:v>
                </c:pt>
                <c:pt idx="197">
                  <c:v>45422.666666666599</c:v>
                </c:pt>
                <c:pt idx="198">
                  <c:v>45425.666666666599</c:v>
                </c:pt>
                <c:pt idx="199">
                  <c:v>45426.666666666599</c:v>
                </c:pt>
                <c:pt idx="200">
                  <c:v>45427.666666666599</c:v>
                </c:pt>
                <c:pt idx="201">
                  <c:v>45428.666666666599</c:v>
                </c:pt>
                <c:pt idx="202">
                  <c:v>45429.666666666599</c:v>
                </c:pt>
                <c:pt idx="203">
                  <c:v>45432.666666666599</c:v>
                </c:pt>
                <c:pt idx="204">
                  <c:v>45433.666666666599</c:v>
                </c:pt>
                <c:pt idx="205">
                  <c:v>45434.666666666599</c:v>
                </c:pt>
                <c:pt idx="206">
                  <c:v>45435.666666666599</c:v>
                </c:pt>
                <c:pt idx="207">
                  <c:v>45436.666666666599</c:v>
                </c:pt>
                <c:pt idx="208">
                  <c:v>45440.666666666599</c:v>
                </c:pt>
                <c:pt idx="209">
                  <c:v>45441.666666666599</c:v>
                </c:pt>
                <c:pt idx="210">
                  <c:v>45442.666666666599</c:v>
                </c:pt>
                <c:pt idx="211">
                  <c:v>45443.666666666599</c:v>
                </c:pt>
                <c:pt idx="212">
                  <c:v>45446.666666666599</c:v>
                </c:pt>
                <c:pt idx="213">
                  <c:v>45447.666666666599</c:v>
                </c:pt>
                <c:pt idx="214">
                  <c:v>45448.666666666599</c:v>
                </c:pt>
                <c:pt idx="215">
                  <c:v>45449.666666666599</c:v>
                </c:pt>
                <c:pt idx="216">
                  <c:v>45450.666666666599</c:v>
                </c:pt>
                <c:pt idx="217">
                  <c:v>45453.666666666599</c:v>
                </c:pt>
                <c:pt idx="218">
                  <c:v>45454.666666666599</c:v>
                </c:pt>
                <c:pt idx="219">
                  <c:v>45455.666666666599</c:v>
                </c:pt>
                <c:pt idx="220">
                  <c:v>45456.666666666599</c:v>
                </c:pt>
                <c:pt idx="221">
                  <c:v>45457.666666666599</c:v>
                </c:pt>
                <c:pt idx="222">
                  <c:v>45460.666666666599</c:v>
                </c:pt>
                <c:pt idx="223">
                  <c:v>45461.666666666599</c:v>
                </c:pt>
                <c:pt idx="224">
                  <c:v>45463.666666666599</c:v>
                </c:pt>
                <c:pt idx="225">
                  <c:v>45464.666666666599</c:v>
                </c:pt>
                <c:pt idx="226">
                  <c:v>45467.666666666599</c:v>
                </c:pt>
                <c:pt idx="227">
                  <c:v>45468.666666666599</c:v>
                </c:pt>
                <c:pt idx="228">
                  <c:v>45469.666666666599</c:v>
                </c:pt>
                <c:pt idx="229">
                  <c:v>45470.666666666599</c:v>
                </c:pt>
                <c:pt idx="230">
                  <c:v>45471.666666666599</c:v>
                </c:pt>
                <c:pt idx="231">
                  <c:v>45474.666666666599</c:v>
                </c:pt>
                <c:pt idx="232">
                  <c:v>45475.666666666599</c:v>
                </c:pt>
                <c:pt idx="233">
                  <c:v>45476.545138888803</c:v>
                </c:pt>
                <c:pt idx="234">
                  <c:v>45478.666666666599</c:v>
                </c:pt>
                <c:pt idx="235">
                  <c:v>45481.666666666599</c:v>
                </c:pt>
                <c:pt idx="236">
                  <c:v>45482.666666666599</c:v>
                </c:pt>
                <c:pt idx="237">
                  <c:v>45483.666666666599</c:v>
                </c:pt>
                <c:pt idx="238">
                  <c:v>45484.666666666599</c:v>
                </c:pt>
                <c:pt idx="239">
                  <c:v>45485.666666666599</c:v>
                </c:pt>
                <c:pt idx="240">
                  <c:v>45488.666666666599</c:v>
                </c:pt>
                <c:pt idx="241">
                  <c:v>45489.666666666599</c:v>
                </c:pt>
                <c:pt idx="242">
                  <c:v>45490.666666666599</c:v>
                </c:pt>
                <c:pt idx="243">
                  <c:v>45491.666666666599</c:v>
                </c:pt>
                <c:pt idx="244">
                  <c:v>45492.666666666599</c:v>
                </c:pt>
                <c:pt idx="245">
                  <c:v>45495.666666666599</c:v>
                </c:pt>
                <c:pt idx="246">
                  <c:v>45496.666666666599</c:v>
                </c:pt>
                <c:pt idx="247">
                  <c:v>45497.666666666599</c:v>
                </c:pt>
                <c:pt idx="248">
                  <c:v>45498.666666666599</c:v>
                </c:pt>
                <c:pt idx="249">
                  <c:v>45499.666666666599</c:v>
                </c:pt>
                <c:pt idx="250">
                  <c:v>45502.666666666599</c:v>
                </c:pt>
                <c:pt idx="251">
                  <c:v>45503.666666666599</c:v>
                </c:pt>
                <c:pt idx="252">
                  <c:v>45504.666666666599</c:v>
                </c:pt>
                <c:pt idx="253">
                  <c:v>45505.666666666599</c:v>
                </c:pt>
                <c:pt idx="254">
                  <c:v>45506.666666666599</c:v>
                </c:pt>
                <c:pt idx="255">
                  <c:v>45509.666666666599</c:v>
                </c:pt>
                <c:pt idx="256">
                  <c:v>45510.666666666599</c:v>
                </c:pt>
                <c:pt idx="257">
                  <c:v>45511.666666666599</c:v>
                </c:pt>
                <c:pt idx="258">
                  <c:v>45512.666666666599</c:v>
                </c:pt>
                <c:pt idx="259">
                  <c:v>45513.666666666599</c:v>
                </c:pt>
                <c:pt idx="260">
                  <c:v>45516.666666666599</c:v>
                </c:pt>
                <c:pt idx="261">
                  <c:v>45517.666666666599</c:v>
                </c:pt>
                <c:pt idx="262">
                  <c:v>45518.666666666599</c:v>
                </c:pt>
                <c:pt idx="263">
                  <c:v>45519.666666666599</c:v>
                </c:pt>
                <c:pt idx="264">
                  <c:v>45520.666666666599</c:v>
                </c:pt>
                <c:pt idx="265">
                  <c:v>45523.666666666599</c:v>
                </c:pt>
                <c:pt idx="266">
                  <c:v>45524.666666666599</c:v>
                </c:pt>
                <c:pt idx="267">
                  <c:v>45525.666666666599</c:v>
                </c:pt>
                <c:pt idx="268">
                  <c:v>45526.666666666599</c:v>
                </c:pt>
                <c:pt idx="269">
                  <c:v>45527.666666666599</c:v>
                </c:pt>
                <c:pt idx="270">
                  <c:v>45530.666666666599</c:v>
                </c:pt>
                <c:pt idx="271">
                  <c:v>45531.666666666599</c:v>
                </c:pt>
                <c:pt idx="272">
                  <c:v>45532.666666666599</c:v>
                </c:pt>
                <c:pt idx="273">
                  <c:v>45533.666666666599</c:v>
                </c:pt>
                <c:pt idx="274">
                  <c:v>45534.666666666599</c:v>
                </c:pt>
                <c:pt idx="275">
                  <c:v>45538.666666666599</c:v>
                </c:pt>
                <c:pt idx="276">
                  <c:v>45539.666666666599</c:v>
                </c:pt>
                <c:pt idx="277">
                  <c:v>45540.666666666599</c:v>
                </c:pt>
                <c:pt idx="278">
                  <c:v>45541.666666666599</c:v>
                </c:pt>
                <c:pt idx="279">
                  <c:v>45544.666666666599</c:v>
                </c:pt>
                <c:pt idx="280">
                  <c:v>45545.666666666599</c:v>
                </c:pt>
                <c:pt idx="281">
                  <c:v>45546.666666666599</c:v>
                </c:pt>
                <c:pt idx="282">
                  <c:v>45547.666666666599</c:v>
                </c:pt>
                <c:pt idx="283">
                  <c:v>45548.666666666599</c:v>
                </c:pt>
                <c:pt idx="284">
                  <c:v>45551.666666666599</c:v>
                </c:pt>
                <c:pt idx="285">
                  <c:v>45552.666666666599</c:v>
                </c:pt>
                <c:pt idx="286">
                  <c:v>45553.666666666599</c:v>
                </c:pt>
                <c:pt idx="287">
                  <c:v>45554.666666666599</c:v>
                </c:pt>
                <c:pt idx="288">
                  <c:v>45555.666666666599</c:v>
                </c:pt>
                <c:pt idx="289">
                  <c:v>45558.666666666599</c:v>
                </c:pt>
                <c:pt idx="290">
                  <c:v>45559.666666666599</c:v>
                </c:pt>
                <c:pt idx="291">
                  <c:v>45560.666666666599</c:v>
                </c:pt>
                <c:pt idx="292">
                  <c:v>45561.666666666599</c:v>
                </c:pt>
                <c:pt idx="293">
                  <c:v>45562.666666666599</c:v>
                </c:pt>
                <c:pt idx="294">
                  <c:v>45565.666666666599</c:v>
                </c:pt>
                <c:pt idx="295">
                  <c:v>45566.666666666599</c:v>
                </c:pt>
                <c:pt idx="296">
                  <c:v>45567.666666666599</c:v>
                </c:pt>
                <c:pt idx="297">
                  <c:v>45568.666666666599</c:v>
                </c:pt>
                <c:pt idx="298">
                  <c:v>45569.666666666599</c:v>
                </c:pt>
                <c:pt idx="299">
                  <c:v>45572.666666666599</c:v>
                </c:pt>
                <c:pt idx="300">
                  <c:v>45573.666666666599</c:v>
                </c:pt>
                <c:pt idx="301">
                  <c:v>45574.666666666599</c:v>
                </c:pt>
                <c:pt idx="302">
                  <c:v>45575.666666666599</c:v>
                </c:pt>
                <c:pt idx="303">
                  <c:v>45576.666666666599</c:v>
                </c:pt>
                <c:pt idx="304">
                  <c:v>45579.666666666599</c:v>
                </c:pt>
                <c:pt idx="305">
                  <c:v>45580.666666666599</c:v>
                </c:pt>
                <c:pt idx="306">
                  <c:v>45581.666666666599</c:v>
                </c:pt>
                <c:pt idx="307">
                  <c:v>45582.666666666599</c:v>
                </c:pt>
                <c:pt idx="308">
                  <c:v>45583.666666666599</c:v>
                </c:pt>
                <c:pt idx="309">
                  <c:v>45586.666666666599</c:v>
                </c:pt>
                <c:pt idx="310">
                  <c:v>45587.666666666599</c:v>
                </c:pt>
                <c:pt idx="311">
                  <c:v>45588.666666666599</c:v>
                </c:pt>
                <c:pt idx="312">
                  <c:v>45589.666666666599</c:v>
                </c:pt>
                <c:pt idx="313">
                  <c:v>45590.666666666599</c:v>
                </c:pt>
                <c:pt idx="314">
                  <c:v>45593.666666666599</c:v>
                </c:pt>
                <c:pt idx="315">
                  <c:v>45594.666666666599</c:v>
                </c:pt>
                <c:pt idx="316">
                  <c:v>45595.666666666599</c:v>
                </c:pt>
                <c:pt idx="317">
                  <c:v>45596.666666666599</c:v>
                </c:pt>
                <c:pt idx="318">
                  <c:v>45597.666666666599</c:v>
                </c:pt>
                <c:pt idx="319">
                  <c:v>45600.666666666599</c:v>
                </c:pt>
                <c:pt idx="320">
                  <c:v>45601.666666666599</c:v>
                </c:pt>
                <c:pt idx="321">
                  <c:v>45602.666666666599</c:v>
                </c:pt>
                <c:pt idx="322">
                  <c:v>45603.666666666599</c:v>
                </c:pt>
                <c:pt idx="323">
                  <c:v>45604.666666666599</c:v>
                </c:pt>
                <c:pt idx="324">
                  <c:v>45607.666666666599</c:v>
                </c:pt>
                <c:pt idx="325">
                  <c:v>45608.666666666599</c:v>
                </c:pt>
                <c:pt idx="326">
                  <c:v>45609.666666666599</c:v>
                </c:pt>
                <c:pt idx="327">
                  <c:v>45610.666666666599</c:v>
                </c:pt>
                <c:pt idx="328">
                  <c:v>45611.666666666599</c:v>
                </c:pt>
                <c:pt idx="329">
                  <c:v>45614.666666666599</c:v>
                </c:pt>
                <c:pt idx="330">
                  <c:v>45615.666666666599</c:v>
                </c:pt>
                <c:pt idx="331">
                  <c:v>45616.666666666599</c:v>
                </c:pt>
                <c:pt idx="332">
                  <c:v>45617.666666666599</c:v>
                </c:pt>
                <c:pt idx="333">
                  <c:v>45618.666666666599</c:v>
                </c:pt>
                <c:pt idx="334">
                  <c:v>45621.666666666599</c:v>
                </c:pt>
                <c:pt idx="335">
                  <c:v>45622.666666666599</c:v>
                </c:pt>
                <c:pt idx="336">
                  <c:v>45623.666666666599</c:v>
                </c:pt>
                <c:pt idx="337">
                  <c:v>45625.545138888803</c:v>
                </c:pt>
                <c:pt idx="338">
                  <c:v>45628.666666666599</c:v>
                </c:pt>
                <c:pt idx="339">
                  <c:v>45629.666666666599</c:v>
                </c:pt>
                <c:pt idx="340">
                  <c:v>45630.666666666599</c:v>
                </c:pt>
                <c:pt idx="341">
                  <c:v>45631.666666666599</c:v>
                </c:pt>
                <c:pt idx="342">
                  <c:v>45632.666666666599</c:v>
                </c:pt>
                <c:pt idx="343">
                  <c:v>45635.666666666599</c:v>
                </c:pt>
                <c:pt idx="344">
                  <c:v>45636.666666666599</c:v>
                </c:pt>
                <c:pt idx="345">
                  <c:v>45637.666666666599</c:v>
                </c:pt>
                <c:pt idx="346">
                  <c:v>45638.666666666599</c:v>
                </c:pt>
                <c:pt idx="347">
                  <c:v>45639.666666666599</c:v>
                </c:pt>
                <c:pt idx="348">
                  <c:v>45642.666666666599</c:v>
                </c:pt>
                <c:pt idx="349">
                  <c:v>45643.666666666599</c:v>
                </c:pt>
                <c:pt idx="350">
                  <c:v>45644.666666666599</c:v>
                </c:pt>
                <c:pt idx="351">
                  <c:v>45645.666666666599</c:v>
                </c:pt>
                <c:pt idx="352">
                  <c:v>45646.666666666599</c:v>
                </c:pt>
                <c:pt idx="353">
                  <c:v>45649.666666666599</c:v>
                </c:pt>
                <c:pt idx="354">
                  <c:v>45650.545138888803</c:v>
                </c:pt>
                <c:pt idx="355">
                  <c:v>45652.666666666599</c:v>
                </c:pt>
                <c:pt idx="356">
                  <c:v>45653.666666666599</c:v>
                </c:pt>
                <c:pt idx="357">
                  <c:v>45656.666666666599</c:v>
                </c:pt>
                <c:pt idx="358">
                  <c:v>45657.666666666599</c:v>
                </c:pt>
                <c:pt idx="359">
                  <c:v>45659.666666666599</c:v>
                </c:pt>
                <c:pt idx="360">
                  <c:v>45660.666666666599</c:v>
                </c:pt>
                <c:pt idx="361">
                  <c:v>45663.666666666599</c:v>
                </c:pt>
                <c:pt idx="362">
                  <c:v>45664.666666666599</c:v>
                </c:pt>
                <c:pt idx="363">
                  <c:v>45665.666666666599</c:v>
                </c:pt>
                <c:pt idx="364">
                  <c:v>45667.666666666599</c:v>
                </c:pt>
                <c:pt idx="365">
                  <c:v>45670.666666666599</c:v>
                </c:pt>
                <c:pt idx="366">
                  <c:v>45671.666666666599</c:v>
                </c:pt>
                <c:pt idx="367">
                  <c:v>45672.666666666599</c:v>
                </c:pt>
                <c:pt idx="368">
                  <c:v>45673.666666666599</c:v>
                </c:pt>
                <c:pt idx="369">
                  <c:v>45674.666666666599</c:v>
                </c:pt>
                <c:pt idx="370">
                  <c:v>45678.666666666599</c:v>
                </c:pt>
                <c:pt idx="371">
                  <c:v>45679.666666666599</c:v>
                </c:pt>
                <c:pt idx="372">
                  <c:v>45680.666666666599</c:v>
                </c:pt>
                <c:pt idx="373">
                  <c:v>45681.666666666599</c:v>
                </c:pt>
                <c:pt idx="374">
                  <c:v>45684.666666666599</c:v>
                </c:pt>
                <c:pt idx="375">
                  <c:v>45685.666666666599</c:v>
                </c:pt>
                <c:pt idx="376">
                  <c:v>45686.666666666599</c:v>
                </c:pt>
                <c:pt idx="377">
                  <c:v>45687.666666666599</c:v>
                </c:pt>
                <c:pt idx="378">
                  <c:v>45688.666666666599</c:v>
                </c:pt>
                <c:pt idx="379">
                  <c:v>45691.666666666599</c:v>
                </c:pt>
                <c:pt idx="380">
                  <c:v>45692.666666666599</c:v>
                </c:pt>
                <c:pt idx="381">
                  <c:v>45693.666666666599</c:v>
                </c:pt>
                <c:pt idx="382">
                  <c:v>45694.666666666599</c:v>
                </c:pt>
                <c:pt idx="383">
                  <c:v>45695.666666666599</c:v>
                </c:pt>
                <c:pt idx="384">
                  <c:v>45698.666666666599</c:v>
                </c:pt>
                <c:pt idx="385">
                  <c:v>45699.666666666599</c:v>
                </c:pt>
                <c:pt idx="386">
                  <c:v>45700.666666666599</c:v>
                </c:pt>
                <c:pt idx="387">
                  <c:v>45701.666666666599</c:v>
                </c:pt>
                <c:pt idx="388">
                  <c:v>45702.666666666599</c:v>
                </c:pt>
                <c:pt idx="389">
                  <c:v>45706.666666666599</c:v>
                </c:pt>
                <c:pt idx="390">
                  <c:v>45707.666666666599</c:v>
                </c:pt>
                <c:pt idx="391">
                  <c:v>45708.666666666599</c:v>
                </c:pt>
                <c:pt idx="392">
                  <c:v>45709.666666666599</c:v>
                </c:pt>
                <c:pt idx="393">
                  <c:v>45712.666666666599</c:v>
                </c:pt>
                <c:pt idx="394">
                  <c:v>45713.666666666599</c:v>
                </c:pt>
                <c:pt idx="395">
                  <c:v>45714.666666666599</c:v>
                </c:pt>
                <c:pt idx="396">
                  <c:v>45715.666666666599</c:v>
                </c:pt>
                <c:pt idx="397">
                  <c:v>45716.666666666599</c:v>
                </c:pt>
                <c:pt idx="398">
                  <c:v>45719.666666666599</c:v>
                </c:pt>
                <c:pt idx="399">
                  <c:v>45720.666666666599</c:v>
                </c:pt>
                <c:pt idx="400">
                  <c:v>45721.666666666599</c:v>
                </c:pt>
                <c:pt idx="401">
                  <c:v>45722.666666666599</c:v>
                </c:pt>
                <c:pt idx="402">
                  <c:v>45723.666666666599</c:v>
                </c:pt>
                <c:pt idx="403">
                  <c:v>45726.666666666599</c:v>
                </c:pt>
                <c:pt idx="404">
                  <c:v>45727.666666666599</c:v>
                </c:pt>
                <c:pt idx="405">
                  <c:v>45728.666666666599</c:v>
                </c:pt>
                <c:pt idx="406">
                  <c:v>45729.666666666599</c:v>
                </c:pt>
                <c:pt idx="407">
                  <c:v>45730.666666666599</c:v>
                </c:pt>
                <c:pt idx="408">
                  <c:v>45733.666666666599</c:v>
                </c:pt>
                <c:pt idx="409">
                  <c:v>45734.666666666599</c:v>
                </c:pt>
                <c:pt idx="410">
                  <c:v>45735.666666666599</c:v>
                </c:pt>
                <c:pt idx="411">
                  <c:v>45736.666666666599</c:v>
                </c:pt>
                <c:pt idx="412">
                  <c:v>45737.666666666599</c:v>
                </c:pt>
                <c:pt idx="413">
                  <c:v>45740.666666666599</c:v>
                </c:pt>
                <c:pt idx="414">
                  <c:v>45741.666666666599</c:v>
                </c:pt>
                <c:pt idx="415">
                  <c:v>45742.666666666599</c:v>
                </c:pt>
                <c:pt idx="416">
                  <c:v>45743.666666666599</c:v>
                </c:pt>
                <c:pt idx="417">
                  <c:v>45744.666666666599</c:v>
                </c:pt>
                <c:pt idx="418">
                  <c:v>45747.666666666599</c:v>
                </c:pt>
                <c:pt idx="419">
                  <c:v>45748.666666666599</c:v>
                </c:pt>
                <c:pt idx="420">
                  <c:v>45749.666666666599</c:v>
                </c:pt>
                <c:pt idx="421">
                  <c:v>45750.666666666599</c:v>
                </c:pt>
                <c:pt idx="422">
                  <c:v>45751.666666666599</c:v>
                </c:pt>
                <c:pt idx="423">
                  <c:v>45754.666666666599</c:v>
                </c:pt>
                <c:pt idx="424">
                  <c:v>45755.666666666599</c:v>
                </c:pt>
                <c:pt idx="425">
                  <c:v>45756.666666666599</c:v>
                </c:pt>
                <c:pt idx="426">
                  <c:v>45757.666666666599</c:v>
                </c:pt>
                <c:pt idx="427">
                  <c:v>45758.666666666599</c:v>
                </c:pt>
                <c:pt idx="428">
                  <c:v>45761.666666666599</c:v>
                </c:pt>
                <c:pt idx="429">
                  <c:v>45762.666666666599</c:v>
                </c:pt>
                <c:pt idx="430">
                  <c:v>45763.666666666599</c:v>
                </c:pt>
                <c:pt idx="431">
                  <c:v>45764.666666666599</c:v>
                </c:pt>
                <c:pt idx="432">
                  <c:v>45768.666666666599</c:v>
                </c:pt>
                <c:pt idx="433">
                  <c:v>45769.666666666599</c:v>
                </c:pt>
                <c:pt idx="434">
                  <c:v>45770.666666666599</c:v>
                </c:pt>
                <c:pt idx="435">
                  <c:v>45771.666666666599</c:v>
                </c:pt>
                <c:pt idx="436">
                  <c:v>45772.666666666599</c:v>
                </c:pt>
                <c:pt idx="437">
                  <c:v>45775.666666666599</c:v>
                </c:pt>
                <c:pt idx="438">
                  <c:v>45776.666666666599</c:v>
                </c:pt>
                <c:pt idx="439">
                  <c:v>45777.666666666599</c:v>
                </c:pt>
                <c:pt idx="440">
                  <c:v>45778.666666666599</c:v>
                </c:pt>
                <c:pt idx="441">
                  <c:v>45779.666666666599</c:v>
                </c:pt>
                <c:pt idx="442">
                  <c:v>45782.666666666599</c:v>
                </c:pt>
                <c:pt idx="443">
                  <c:v>45783.666666666599</c:v>
                </c:pt>
                <c:pt idx="444">
                  <c:v>45784.666666666599</c:v>
                </c:pt>
                <c:pt idx="445">
                  <c:v>45785.666666666599</c:v>
                </c:pt>
                <c:pt idx="446">
                  <c:v>45786.666666666599</c:v>
                </c:pt>
                <c:pt idx="447">
                  <c:v>45789.666666666599</c:v>
                </c:pt>
                <c:pt idx="448">
                  <c:v>45790.666666666599</c:v>
                </c:pt>
                <c:pt idx="449">
                  <c:v>45791.666666666599</c:v>
                </c:pt>
                <c:pt idx="450">
                  <c:v>45792.666666666599</c:v>
                </c:pt>
                <c:pt idx="451">
                  <c:v>45793.666666666599</c:v>
                </c:pt>
                <c:pt idx="452">
                  <c:v>45796.666666666599</c:v>
                </c:pt>
                <c:pt idx="453">
                  <c:v>45797.666666666599</c:v>
                </c:pt>
                <c:pt idx="454">
                  <c:v>45798.666666666599</c:v>
                </c:pt>
                <c:pt idx="455">
                  <c:v>45799.666666666599</c:v>
                </c:pt>
                <c:pt idx="456">
                  <c:v>45800.666666666599</c:v>
                </c:pt>
                <c:pt idx="457">
                  <c:v>45804.666666666599</c:v>
                </c:pt>
                <c:pt idx="458">
                  <c:v>45805.666666666599</c:v>
                </c:pt>
                <c:pt idx="459">
                  <c:v>45806.666666666599</c:v>
                </c:pt>
                <c:pt idx="460">
                  <c:v>45807.666666666599</c:v>
                </c:pt>
                <c:pt idx="461">
                  <c:v>45810.666666666599</c:v>
                </c:pt>
                <c:pt idx="462">
                  <c:v>45811.666666666599</c:v>
                </c:pt>
                <c:pt idx="463">
                  <c:v>45812.666666666599</c:v>
                </c:pt>
                <c:pt idx="464">
                  <c:v>45813.666666666599</c:v>
                </c:pt>
                <c:pt idx="465">
                  <c:v>45814.666666666599</c:v>
                </c:pt>
                <c:pt idx="466">
                  <c:v>45817.666666666599</c:v>
                </c:pt>
                <c:pt idx="467">
                  <c:v>45818.666666666599</c:v>
                </c:pt>
                <c:pt idx="468">
                  <c:v>45819.666666666599</c:v>
                </c:pt>
                <c:pt idx="469">
                  <c:v>45820.666666666599</c:v>
                </c:pt>
                <c:pt idx="470">
                  <c:v>45821.666666666599</c:v>
                </c:pt>
                <c:pt idx="471">
                  <c:v>45824.666666666599</c:v>
                </c:pt>
                <c:pt idx="472">
                  <c:v>45825.666666666599</c:v>
                </c:pt>
                <c:pt idx="473">
                  <c:v>45826.666666666599</c:v>
                </c:pt>
                <c:pt idx="474">
                  <c:v>45828.666666666599</c:v>
                </c:pt>
                <c:pt idx="475">
                  <c:v>45831.666666666599</c:v>
                </c:pt>
                <c:pt idx="476">
                  <c:v>45832.666666666599</c:v>
                </c:pt>
                <c:pt idx="477">
                  <c:v>45833.666666666599</c:v>
                </c:pt>
                <c:pt idx="478">
                  <c:v>45834.666666666599</c:v>
                </c:pt>
                <c:pt idx="479">
                  <c:v>45835.666666666599</c:v>
                </c:pt>
                <c:pt idx="480">
                  <c:v>45838.666666666599</c:v>
                </c:pt>
                <c:pt idx="481">
                  <c:v>45839.666666666599</c:v>
                </c:pt>
                <c:pt idx="482">
                  <c:v>45840.666666666599</c:v>
                </c:pt>
                <c:pt idx="483">
                  <c:v>45841.545138888803</c:v>
                </c:pt>
                <c:pt idx="484">
                  <c:v>45845.666666666599</c:v>
                </c:pt>
                <c:pt idx="485">
                  <c:v>45846.666666666599</c:v>
                </c:pt>
                <c:pt idx="486">
                  <c:v>45847.666666666599</c:v>
                </c:pt>
                <c:pt idx="487">
                  <c:v>45848.666666666599</c:v>
                </c:pt>
                <c:pt idx="488">
                  <c:v>45849.666666666599</c:v>
                </c:pt>
                <c:pt idx="489">
                  <c:v>45852.666666666599</c:v>
                </c:pt>
                <c:pt idx="490">
                  <c:v>45853.666666666599</c:v>
                </c:pt>
                <c:pt idx="491">
                  <c:v>45854.666666666599</c:v>
                </c:pt>
                <c:pt idx="492">
                  <c:v>45855.666666666599</c:v>
                </c:pt>
                <c:pt idx="493">
                  <c:v>45856.666666666599</c:v>
                </c:pt>
                <c:pt idx="494">
                  <c:v>45859.666666666599</c:v>
                </c:pt>
                <c:pt idx="495">
                  <c:v>45860.666666666599</c:v>
                </c:pt>
                <c:pt idx="496">
                  <c:v>45861.666666666599</c:v>
                </c:pt>
                <c:pt idx="497">
                  <c:v>45862.666666666599</c:v>
                </c:pt>
                <c:pt idx="498">
                  <c:v>45863.666666666599</c:v>
                </c:pt>
                <c:pt idx="499">
                  <c:v>45866.666666666599</c:v>
                </c:pt>
                <c:pt idx="500">
                  <c:v>45867.666666666599</c:v>
                </c:pt>
                <c:pt idx="501">
                  <c:v>45868.666666666599</c:v>
                </c:pt>
                <c:pt idx="502">
                  <c:v>45869.666666666599</c:v>
                </c:pt>
                <c:pt idx="503">
                  <c:v>45870.666666666599</c:v>
                </c:pt>
                <c:pt idx="504">
                  <c:v>45873.666666666599</c:v>
                </c:pt>
                <c:pt idx="505">
                  <c:v>45874.666666666599</c:v>
                </c:pt>
                <c:pt idx="506">
                  <c:v>45875.666666666599</c:v>
                </c:pt>
                <c:pt idx="507">
                  <c:v>45876.666666666599</c:v>
                </c:pt>
                <c:pt idx="508">
                  <c:v>45877.666666666599</c:v>
                </c:pt>
                <c:pt idx="509">
                  <c:v>45880.666666666599</c:v>
                </c:pt>
                <c:pt idx="510">
                  <c:v>45881.666666666599</c:v>
                </c:pt>
                <c:pt idx="511">
                  <c:v>45882.666666666599</c:v>
                </c:pt>
                <c:pt idx="512">
                  <c:v>45883.666666666599</c:v>
                </c:pt>
                <c:pt idx="513">
                  <c:v>45884.666666666599</c:v>
                </c:pt>
                <c:pt idx="514">
                  <c:v>45887.666666666599</c:v>
                </c:pt>
                <c:pt idx="515">
                  <c:v>45888.666666666599</c:v>
                </c:pt>
                <c:pt idx="516">
                  <c:v>45889.666666666599</c:v>
                </c:pt>
                <c:pt idx="517">
                  <c:v>45890.666666666599</c:v>
                </c:pt>
                <c:pt idx="518">
                  <c:v>45891.666666666599</c:v>
                </c:pt>
                <c:pt idx="519">
                  <c:v>45894.666666666599</c:v>
                </c:pt>
                <c:pt idx="520">
                  <c:v>45895.666666666599</c:v>
                </c:pt>
                <c:pt idx="521">
                  <c:v>45896.666666666599</c:v>
                </c:pt>
                <c:pt idx="522">
                  <c:v>45897.666666666599</c:v>
                </c:pt>
                <c:pt idx="523">
                  <c:v>45898.666666666599</c:v>
                </c:pt>
                <c:pt idx="524">
                  <c:v>45902.666666666599</c:v>
                </c:pt>
                <c:pt idx="525">
                  <c:v>45903.666666666599</c:v>
                </c:pt>
                <c:pt idx="526">
                  <c:v>45904.666666666599</c:v>
                </c:pt>
                <c:pt idx="527">
                  <c:v>45905.666666666599</c:v>
                </c:pt>
                <c:pt idx="528">
                  <c:v>45908.666666666599</c:v>
                </c:pt>
                <c:pt idx="529">
                  <c:v>45909.666666666599</c:v>
                </c:pt>
                <c:pt idx="530">
                  <c:v>45910.666666666599</c:v>
                </c:pt>
                <c:pt idx="531">
                  <c:v>45911.666666666599</c:v>
                </c:pt>
                <c:pt idx="532">
                  <c:v>45912.666666666599</c:v>
                </c:pt>
                <c:pt idx="533">
                  <c:v>45915.666666666599</c:v>
                </c:pt>
                <c:pt idx="534">
                  <c:v>45916.666666666599</c:v>
                </c:pt>
                <c:pt idx="535">
                  <c:v>45917.666666666599</c:v>
                </c:pt>
                <c:pt idx="536">
                  <c:v>45918.666666666599</c:v>
                </c:pt>
                <c:pt idx="537">
                  <c:v>45919.666666666599</c:v>
                </c:pt>
                <c:pt idx="538">
                  <c:v>45922.666666666599</c:v>
                </c:pt>
                <c:pt idx="539">
                  <c:v>45923.666666666599</c:v>
                </c:pt>
                <c:pt idx="540">
                  <c:v>45924.666666666599</c:v>
                </c:pt>
                <c:pt idx="541">
                  <c:v>45925.666666666599</c:v>
                </c:pt>
                <c:pt idx="542">
                  <c:v>45926.666666666599</c:v>
                </c:pt>
                <c:pt idx="543">
                  <c:v>45929.666666666599</c:v>
                </c:pt>
                <c:pt idx="544">
                  <c:v>45930.666666666599</c:v>
                </c:pt>
                <c:pt idx="545">
                  <c:v>45931.666666666599</c:v>
                </c:pt>
                <c:pt idx="546">
                  <c:v>45932.666666666599</c:v>
                </c:pt>
                <c:pt idx="547">
                  <c:v>45933.666666666599</c:v>
                </c:pt>
                <c:pt idx="548">
                  <c:v>45936.666666666599</c:v>
                </c:pt>
                <c:pt idx="549">
                  <c:v>45937.666666666599</c:v>
                </c:pt>
                <c:pt idx="550">
                  <c:v>45938.666666666599</c:v>
                </c:pt>
                <c:pt idx="551">
                  <c:v>45939.666666666599</c:v>
                </c:pt>
                <c:pt idx="552">
                  <c:v>45940.666666666599</c:v>
                </c:pt>
                <c:pt idx="553">
                  <c:v>45943.666666666599</c:v>
                </c:pt>
                <c:pt idx="554">
                  <c:v>45944.666666666599</c:v>
                </c:pt>
                <c:pt idx="555">
                  <c:v>45945.666666666599</c:v>
                </c:pt>
                <c:pt idx="556">
                  <c:v>45946.666666666599</c:v>
                </c:pt>
                <c:pt idx="557">
                  <c:v>45947.666666666599</c:v>
                </c:pt>
                <c:pt idx="558">
                  <c:v>45950.666666666599</c:v>
                </c:pt>
                <c:pt idx="559">
                  <c:v>45951.666666666599</c:v>
                </c:pt>
                <c:pt idx="560">
                  <c:v>45952.666666666599</c:v>
                </c:pt>
                <c:pt idx="561">
                  <c:v>45953.666666666599</c:v>
                </c:pt>
                <c:pt idx="562">
                  <c:v>45954.666666666599</c:v>
                </c:pt>
                <c:pt idx="563">
                  <c:v>45957.666666666599</c:v>
                </c:pt>
                <c:pt idx="564">
                  <c:v>45958.666666666599</c:v>
                </c:pt>
                <c:pt idx="565">
                  <c:v>45959.666666666599</c:v>
                </c:pt>
                <c:pt idx="566">
                  <c:v>45960.666666666599</c:v>
                </c:pt>
                <c:pt idx="567">
                  <c:v>45961.666666666599</c:v>
                </c:pt>
                <c:pt idx="568">
                  <c:v>45964.666666666599</c:v>
                </c:pt>
                <c:pt idx="569">
                  <c:v>45965.666666666599</c:v>
                </c:pt>
                <c:pt idx="570">
                  <c:v>45966.666666666599</c:v>
                </c:pt>
                <c:pt idx="571">
                  <c:v>45967.666666666599</c:v>
                </c:pt>
                <c:pt idx="572">
                  <c:v>45968.666666666599</c:v>
                </c:pt>
                <c:pt idx="573">
                  <c:v>45971.666666666599</c:v>
                </c:pt>
                <c:pt idx="574">
                  <c:v>45972.666666666599</c:v>
                </c:pt>
                <c:pt idx="575">
                  <c:v>45973.666666666599</c:v>
                </c:pt>
                <c:pt idx="576">
                  <c:v>45974.666666666599</c:v>
                </c:pt>
                <c:pt idx="577">
                  <c:v>45975.666666666599</c:v>
                </c:pt>
                <c:pt idx="578">
                  <c:v>45978.666666666599</c:v>
                </c:pt>
                <c:pt idx="579">
                  <c:v>45979.666666666599</c:v>
                </c:pt>
                <c:pt idx="580">
                  <c:v>45980.666666666599</c:v>
                </c:pt>
                <c:pt idx="581">
                  <c:v>45981.666666666599</c:v>
                </c:pt>
                <c:pt idx="582">
                  <c:v>45982.666666666599</c:v>
                </c:pt>
                <c:pt idx="583">
                  <c:v>45985.666666666599</c:v>
                </c:pt>
                <c:pt idx="584">
                  <c:v>45986.666666666599</c:v>
                </c:pt>
                <c:pt idx="585">
                  <c:v>45987.666666666599</c:v>
                </c:pt>
                <c:pt idx="586">
                  <c:v>45989.545138888803</c:v>
                </c:pt>
                <c:pt idx="587">
                  <c:v>45992.666666666599</c:v>
                </c:pt>
                <c:pt idx="588">
                  <c:v>45993.666666666599</c:v>
                </c:pt>
                <c:pt idx="589">
                  <c:v>45994.666666666599</c:v>
                </c:pt>
                <c:pt idx="590">
                  <c:v>45995.666666666599</c:v>
                </c:pt>
                <c:pt idx="591">
                  <c:v>45996.666666666599</c:v>
                </c:pt>
                <c:pt idx="592">
                  <c:v>45999.666666666599</c:v>
                </c:pt>
                <c:pt idx="593">
                  <c:v>46000.666666666599</c:v>
                </c:pt>
                <c:pt idx="594">
                  <c:v>46001.666666666599</c:v>
                </c:pt>
                <c:pt idx="595">
                  <c:v>46002.666666666599</c:v>
                </c:pt>
                <c:pt idx="596">
                  <c:v>46003.666666666599</c:v>
                </c:pt>
                <c:pt idx="597">
                  <c:v>46006.666666666599</c:v>
                </c:pt>
                <c:pt idx="598">
                  <c:v>46007.666666666599</c:v>
                </c:pt>
                <c:pt idx="599">
                  <c:v>46008.666666666599</c:v>
                </c:pt>
                <c:pt idx="600">
                  <c:v>46009.666666666599</c:v>
                </c:pt>
                <c:pt idx="601">
                  <c:v>46010.666666666599</c:v>
                </c:pt>
                <c:pt idx="602">
                  <c:v>46013.666666666599</c:v>
                </c:pt>
                <c:pt idx="603">
                  <c:v>46014.666666666599</c:v>
                </c:pt>
                <c:pt idx="604">
                  <c:v>46015.545138888803</c:v>
                </c:pt>
                <c:pt idx="605">
                  <c:v>46017.666666666599</c:v>
                </c:pt>
                <c:pt idx="606">
                  <c:v>46020.666666666599</c:v>
                </c:pt>
                <c:pt idx="607">
                  <c:v>46021.666666666599</c:v>
                </c:pt>
                <c:pt idx="608">
                  <c:v>46022.666666666599</c:v>
                </c:pt>
                <c:pt idx="609">
                  <c:v>46024.666666666599</c:v>
                </c:pt>
                <c:pt idx="610">
                  <c:v>46027.666666666599</c:v>
                </c:pt>
                <c:pt idx="611">
                  <c:v>46028.666666666599</c:v>
                </c:pt>
                <c:pt idx="612">
                  <c:v>46029.666666666599</c:v>
                </c:pt>
                <c:pt idx="613">
                  <c:v>46030.666666666599</c:v>
                </c:pt>
                <c:pt idx="614">
                  <c:v>46031.666666666599</c:v>
                </c:pt>
                <c:pt idx="615">
                  <c:v>46034.666666666599</c:v>
                </c:pt>
                <c:pt idx="616">
                  <c:v>46035.666666666599</c:v>
                </c:pt>
                <c:pt idx="617">
                  <c:v>46036.666666666599</c:v>
                </c:pt>
                <c:pt idx="618">
                  <c:v>46037.666666666599</c:v>
                </c:pt>
                <c:pt idx="619">
                  <c:v>46038.666666666599</c:v>
                </c:pt>
                <c:pt idx="620">
                  <c:v>46042.666666666599</c:v>
                </c:pt>
                <c:pt idx="621">
                  <c:v>46043.666666666599</c:v>
                </c:pt>
                <c:pt idx="622">
                  <c:v>46044.666666666599</c:v>
                </c:pt>
                <c:pt idx="623">
                  <c:v>46045.666666666599</c:v>
                </c:pt>
                <c:pt idx="624">
                  <c:v>46048.666666666599</c:v>
                </c:pt>
                <c:pt idx="625">
                  <c:v>46049.666666666599</c:v>
                </c:pt>
                <c:pt idx="626">
                  <c:v>46050.666666666599</c:v>
                </c:pt>
                <c:pt idx="627">
                  <c:v>46051.666666666599</c:v>
                </c:pt>
                <c:pt idx="628">
                  <c:v>46052.666666666599</c:v>
                </c:pt>
                <c:pt idx="629">
                  <c:v>46055.666666666599</c:v>
                </c:pt>
                <c:pt idx="630">
                  <c:v>46056.666666666599</c:v>
                </c:pt>
                <c:pt idx="631">
                  <c:v>46057.666666666599</c:v>
                </c:pt>
                <c:pt idx="632">
                  <c:v>46058.666666666599</c:v>
                </c:pt>
                <c:pt idx="633">
                  <c:v>46059.666666666599</c:v>
                </c:pt>
                <c:pt idx="634">
                  <c:v>46062.666666666599</c:v>
                </c:pt>
                <c:pt idx="635">
                  <c:v>46063.666666666599</c:v>
                </c:pt>
                <c:pt idx="636">
                  <c:v>46064.666666666599</c:v>
                </c:pt>
                <c:pt idx="637">
                  <c:v>46065.666666666599</c:v>
                </c:pt>
                <c:pt idx="638">
                  <c:v>46066.666666666599</c:v>
                </c:pt>
                <c:pt idx="639">
                  <c:v>46070.666666666599</c:v>
                </c:pt>
                <c:pt idx="640">
                  <c:v>46071.666666666599</c:v>
                </c:pt>
                <c:pt idx="641">
                  <c:v>46072.666666666599</c:v>
                </c:pt>
                <c:pt idx="642">
                  <c:v>46073.666666666599</c:v>
                </c:pt>
                <c:pt idx="643">
                  <c:v>46076.666666666599</c:v>
                </c:pt>
                <c:pt idx="644">
                  <c:v>46077.666666666599</c:v>
                </c:pt>
                <c:pt idx="645">
                  <c:v>46078.666666666599</c:v>
                </c:pt>
                <c:pt idx="646">
                  <c:v>46079.666666666599</c:v>
                </c:pt>
                <c:pt idx="647">
                  <c:v>46080.666666666599</c:v>
                </c:pt>
                <c:pt idx="648">
                  <c:v>46083.666666666599</c:v>
                </c:pt>
                <c:pt idx="649">
                  <c:v>46084.666666666599</c:v>
                </c:pt>
                <c:pt idx="650">
                  <c:v>46085.666666666599</c:v>
                </c:pt>
                <c:pt idx="651">
                  <c:v>46086.666666666599</c:v>
                </c:pt>
                <c:pt idx="652">
                  <c:v>46087.666666666599</c:v>
                </c:pt>
                <c:pt idx="653">
                  <c:v>46090.666666666599</c:v>
                </c:pt>
                <c:pt idx="654">
                  <c:v>46091.666666666599</c:v>
                </c:pt>
                <c:pt idx="655">
                  <c:v>46092.666666666599</c:v>
                </c:pt>
                <c:pt idx="656">
                  <c:v>46093.666666666599</c:v>
                </c:pt>
                <c:pt idx="657">
                  <c:v>46094.666666666599</c:v>
                </c:pt>
                <c:pt idx="658">
                  <c:v>46097.666666666599</c:v>
                </c:pt>
                <c:pt idx="659">
                  <c:v>46098.666666666599</c:v>
                </c:pt>
                <c:pt idx="660">
                  <c:v>46099.666666666599</c:v>
                </c:pt>
                <c:pt idx="661">
                  <c:v>46100.666666666599</c:v>
                </c:pt>
                <c:pt idx="662">
                  <c:v>46101.666666666599</c:v>
                </c:pt>
                <c:pt idx="663">
                  <c:v>46104.666666666599</c:v>
                </c:pt>
                <c:pt idx="664">
                  <c:v>46105.666666666599</c:v>
                </c:pt>
                <c:pt idx="665">
                  <c:v>46106.666666666599</c:v>
                </c:pt>
                <c:pt idx="666">
                  <c:v>46107.666666666599</c:v>
                </c:pt>
                <c:pt idx="667">
                  <c:v>46108.666666666599</c:v>
                </c:pt>
                <c:pt idx="668">
                  <c:v>46111.666666666599</c:v>
                </c:pt>
                <c:pt idx="669">
                  <c:v>46112.666666666599</c:v>
                </c:pt>
                <c:pt idx="670">
                  <c:v>46113.666666666599</c:v>
                </c:pt>
                <c:pt idx="671">
                  <c:v>46114.666666666599</c:v>
                </c:pt>
                <c:pt idx="672">
                  <c:v>46118.666666666599</c:v>
                </c:pt>
                <c:pt idx="673">
                  <c:v>46119.666666666599</c:v>
                </c:pt>
                <c:pt idx="674">
                  <c:v>46120.666666666599</c:v>
                </c:pt>
                <c:pt idx="675">
                  <c:v>46121.666666666599</c:v>
                </c:pt>
                <c:pt idx="676">
                  <c:v>46122.666666666599</c:v>
                </c:pt>
                <c:pt idx="677">
                  <c:v>46125.666666666599</c:v>
                </c:pt>
                <c:pt idx="678">
                  <c:v>46126.666666666599</c:v>
                </c:pt>
                <c:pt idx="679">
                  <c:v>46127.666666666599</c:v>
                </c:pt>
                <c:pt idx="680">
                  <c:v>46128.666666666599</c:v>
                </c:pt>
                <c:pt idx="681">
                  <c:v>46129.666666666599</c:v>
                </c:pt>
                <c:pt idx="682">
                  <c:v>46132.666666666599</c:v>
                </c:pt>
                <c:pt idx="683">
                  <c:v>46133.666666666599</c:v>
                </c:pt>
                <c:pt idx="684">
                  <c:v>46134.666666666599</c:v>
                </c:pt>
                <c:pt idx="685">
                  <c:v>46135.666666666599</c:v>
                </c:pt>
                <c:pt idx="686">
                  <c:v>46136.666666666599</c:v>
                </c:pt>
                <c:pt idx="687">
                  <c:v>46139.666666666599</c:v>
                </c:pt>
                <c:pt idx="688">
                  <c:v>46140.666666666599</c:v>
                </c:pt>
                <c:pt idx="689">
                  <c:v>46141.666666666599</c:v>
                </c:pt>
                <c:pt idx="690">
                  <c:v>46142.666666666599</c:v>
                </c:pt>
                <c:pt idx="691">
                  <c:v>46143.666666666599</c:v>
                </c:pt>
                <c:pt idx="692">
                  <c:v>46146.666666666599</c:v>
                </c:pt>
                <c:pt idx="693">
                  <c:v>46147.666666666599</c:v>
                </c:pt>
                <c:pt idx="694">
                  <c:v>46148.666666666599</c:v>
                </c:pt>
                <c:pt idx="695">
                  <c:v>46149.666666666599</c:v>
                </c:pt>
                <c:pt idx="696">
                  <c:v>46150.666666666599</c:v>
                </c:pt>
                <c:pt idx="697">
                  <c:v>46153.666666666599</c:v>
                </c:pt>
                <c:pt idx="698">
                  <c:v>46154.666666666599</c:v>
                </c:pt>
                <c:pt idx="699">
                  <c:v>46155.666666666599</c:v>
                </c:pt>
                <c:pt idx="700">
                  <c:v>46156.666666666599</c:v>
                </c:pt>
                <c:pt idx="701">
                  <c:v>46157.666666666599</c:v>
                </c:pt>
                <c:pt idx="702">
                  <c:v>46160.666666666599</c:v>
                </c:pt>
                <c:pt idx="703">
                  <c:v>46161.666666666599</c:v>
                </c:pt>
                <c:pt idx="704">
                  <c:v>46162.666666666599</c:v>
                </c:pt>
                <c:pt idx="705">
                  <c:v>46163.666666666599</c:v>
                </c:pt>
                <c:pt idx="706">
                  <c:v>46164.666666666599</c:v>
                </c:pt>
                <c:pt idx="707">
                  <c:v>46168.666666666599</c:v>
                </c:pt>
                <c:pt idx="708">
                  <c:v>46169.666666666599</c:v>
                </c:pt>
                <c:pt idx="709">
                  <c:v>46170.666666666599</c:v>
                </c:pt>
                <c:pt idx="710">
                  <c:v>46171.666666666599</c:v>
                </c:pt>
                <c:pt idx="711">
                  <c:v>46174.666666666599</c:v>
                </c:pt>
                <c:pt idx="712">
                  <c:v>46175.666666666599</c:v>
                </c:pt>
                <c:pt idx="713">
                  <c:v>46176.666666666599</c:v>
                </c:pt>
                <c:pt idx="714">
                  <c:v>46177.666666666599</c:v>
                </c:pt>
                <c:pt idx="715">
                  <c:v>46178.666666666599</c:v>
                </c:pt>
                <c:pt idx="716">
                  <c:v>46181.666666666599</c:v>
                </c:pt>
                <c:pt idx="717">
                  <c:v>46182.666666666599</c:v>
                </c:pt>
                <c:pt idx="718">
                  <c:v>46183.666666666599</c:v>
                </c:pt>
                <c:pt idx="719">
                  <c:v>46184.666666666599</c:v>
                </c:pt>
                <c:pt idx="720">
                  <c:v>46185.666666666599</c:v>
                </c:pt>
                <c:pt idx="721">
                  <c:v>46188.666666666599</c:v>
                </c:pt>
                <c:pt idx="722">
                  <c:v>46189.666666666599</c:v>
                </c:pt>
                <c:pt idx="723">
                  <c:v>46190.666666666599</c:v>
                </c:pt>
                <c:pt idx="724">
                  <c:v>46191.666666666599</c:v>
                </c:pt>
                <c:pt idx="725">
                  <c:v>46195.666666666599</c:v>
                </c:pt>
                <c:pt idx="726">
                  <c:v>46196.666666666599</c:v>
                </c:pt>
                <c:pt idx="727">
                  <c:v>46197.666666666599</c:v>
                </c:pt>
                <c:pt idx="728">
                  <c:v>46198.666666666599</c:v>
                </c:pt>
                <c:pt idx="729">
                  <c:v>46199.666666666599</c:v>
                </c:pt>
                <c:pt idx="730">
                  <c:v>46202.666666666599</c:v>
                </c:pt>
                <c:pt idx="731">
                  <c:v>46203.666666666599</c:v>
                </c:pt>
                <c:pt idx="732">
                  <c:v>46204.666666666599</c:v>
                </c:pt>
                <c:pt idx="733">
                  <c:v>46205.666666666599</c:v>
                </c:pt>
                <c:pt idx="734">
                  <c:v>46209.666666666599</c:v>
                </c:pt>
                <c:pt idx="735">
                  <c:v>46210.666666666599</c:v>
                </c:pt>
                <c:pt idx="736">
                  <c:v>46211.666666666599</c:v>
                </c:pt>
                <c:pt idx="737">
                  <c:v>46212.666666666599</c:v>
                </c:pt>
                <c:pt idx="738">
                  <c:v>46213.666666666599</c:v>
                </c:pt>
                <c:pt idx="739">
                  <c:v>46216.666666666599</c:v>
                </c:pt>
                <c:pt idx="740">
                  <c:v>46217.666666666599</c:v>
                </c:pt>
                <c:pt idx="741">
                  <c:v>46218.666666666599</c:v>
                </c:pt>
                <c:pt idx="742">
                  <c:v>46219.666666666599</c:v>
                </c:pt>
                <c:pt idx="743">
                  <c:v>46220.666666666599</c:v>
                </c:pt>
                <c:pt idx="744">
                  <c:v>46223.666666666599</c:v>
                </c:pt>
                <c:pt idx="745">
                  <c:v>46224.666666666599</c:v>
                </c:pt>
                <c:pt idx="746">
                  <c:v>46225.666666666599</c:v>
                </c:pt>
                <c:pt idx="747">
                  <c:v>46226.666666666599</c:v>
                </c:pt>
                <c:pt idx="748">
                  <c:v>46227.666666666599</c:v>
                </c:pt>
                <c:pt idx="749">
                  <c:v>46230.666666666599</c:v>
                </c:pt>
                <c:pt idx="750">
                  <c:v>46231.666666666599</c:v>
                </c:pt>
                <c:pt idx="751">
                  <c:v>46232.666666666599</c:v>
                </c:pt>
              </c:numCache>
            </c:numRef>
          </c:cat>
          <c:val>
            <c:numRef>
              <c:f>QQQ!$F$28:$F$1000</c:f>
              <c:numCache>
                <c:formatCode>#,##0.00</c:formatCode>
                <c:ptCount val="973"/>
                <c:pt idx="0">
                  <c:v>196.45</c:v>
                </c:pt>
                <c:pt idx="1">
                  <c:v>195.61</c:v>
                </c:pt>
                <c:pt idx="2">
                  <c:v>192.58</c:v>
                </c:pt>
                <c:pt idx="3">
                  <c:v>191.17</c:v>
                </c:pt>
                <c:pt idx="4">
                  <c:v>181.99</c:v>
                </c:pt>
                <c:pt idx="5">
                  <c:v>178.85</c:v>
                </c:pt>
                <c:pt idx="6">
                  <c:v>179.8</c:v>
                </c:pt>
                <c:pt idx="7">
                  <c:v>178.19</c:v>
                </c:pt>
                <c:pt idx="8">
                  <c:v>177.97</c:v>
                </c:pt>
                <c:pt idx="9">
                  <c:v>177.79</c:v>
                </c:pt>
                <c:pt idx="10">
                  <c:v>179.46</c:v>
                </c:pt>
                <c:pt idx="11">
                  <c:v>177.45</c:v>
                </c:pt>
                <c:pt idx="12">
                  <c:v>176.57</c:v>
                </c:pt>
                <c:pt idx="13">
                  <c:v>174</c:v>
                </c:pt>
                <c:pt idx="14">
                  <c:v>174.49</c:v>
                </c:pt>
                <c:pt idx="15">
                  <c:v>175.84</c:v>
                </c:pt>
                <c:pt idx="16">
                  <c:v>177.23</c:v>
                </c:pt>
                <c:pt idx="17">
                  <c:v>181.12</c:v>
                </c:pt>
                <c:pt idx="18">
                  <c:v>176.38</c:v>
                </c:pt>
                <c:pt idx="19">
                  <c:v>178.61</c:v>
                </c:pt>
                <c:pt idx="20">
                  <c:v>180.19</c:v>
                </c:pt>
                <c:pt idx="21">
                  <c:v>184.12</c:v>
                </c:pt>
                <c:pt idx="22">
                  <c:v>187.65</c:v>
                </c:pt>
                <c:pt idx="23">
                  <c:v>187.87</c:v>
                </c:pt>
                <c:pt idx="24">
                  <c:v>189.46</c:v>
                </c:pt>
                <c:pt idx="25">
                  <c:v>189.7</c:v>
                </c:pt>
                <c:pt idx="26">
                  <c:v>182.91</c:v>
                </c:pt>
                <c:pt idx="27">
                  <c:v>177.56</c:v>
                </c:pt>
                <c:pt idx="28">
                  <c:v>178.18</c:v>
                </c:pt>
                <c:pt idx="29">
                  <c:v>179.36</c:v>
                </c:pt>
                <c:pt idx="30">
                  <c:v>176.3</c:v>
                </c:pt>
                <c:pt idx="31">
                  <c:v>174.21</c:v>
                </c:pt>
                <c:pt idx="32">
                  <c:v>175.74</c:v>
                </c:pt>
                <c:pt idx="33">
                  <c:v>175.01</c:v>
                </c:pt>
                <c:pt idx="34">
                  <c:v>177.97</c:v>
                </c:pt>
                <c:pt idx="35">
                  <c:v>179.07</c:v>
                </c:pt>
                <c:pt idx="36">
                  <c:v>175.49</c:v>
                </c:pt>
                <c:pt idx="37">
                  <c:v>173.93</c:v>
                </c:pt>
                <c:pt idx="38">
                  <c:v>174.79</c:v>
                </c:pt>
                <c:pt idx="39">
                  <c:v>176.08</c:v>
                </c:pt>
                <c:pt idx="40">
                  <c:v>171.96</c:v>
                </c:pt>
                <c:pt idx="41">
                  <c:v>170.43</c:v>
                </c:pt>
                <c:pt idx="42">
                  <c:v>170.69</c:v>
                </c:pt>
                <c:pt idx="43">
                  <c:v>171.21</c:v>
                </c:pt>
                <c:pt idx="44">
                  <c:v>173.75</c:v>
                </c:pt>
                <c:pt idx="45">
                  <c:v>172.4</c:v>
                </c:pt>
                <c:pt idx="46">
                  <c:v>173.66</c:v>
                </c:pt>
                <c:pt idx="47">
                  <c:v>174.91</c:v>
                </c:pt>
                <c:pt idx="48">
                  <c:v>177.49</c:v>
                </c:pt>
                <c:pt idx="49">
                  <c:v>178.99</c:v>
                </c:pt>
                <c:pt idx="50">
                  <c:v>178.39</c:v>
                </c:pt>
                <c:pt idx="51">
                  <c:v>179.8</c:v>
                </c:pt>
                <c:pt idx="52">
                  <c:v>180.71</c:v>
                </c:pt>
                <c:pt idx="53">
                  <c:v>178.85</c:v>
                </c:pt>
                <c:pt idx="54">
                  <c:v>178.72</c:v>
                </c:pt>
                <c:pt idx="55">
                  <c:v>177.15</c:v>
                </c:pt>
                <c:pt idx="56">
                  <c:v>175.84</c:v>
                </c:pt>
                <c:pt idx="57">
                  <c:v>175.46</c:v>
                </c:pt>
                <c:pt idx="58">
                  <c:v>172.88</c:v>
                </c:pt>
                <c:pt idx="59">
                  <c:v>173</c:v>
                </c:pt>
                <c:pt idx="60">
                  <c:v>173.44</c:v>
                </c:pt>
                <c:pt idx="61">
                  <c:v>171.1</c:v>
                </c:pt>
                <c:pt idx="62">
                  <c:v>166.89</c:v>
                </c:pt>
                <c:pt idx="63">
                  <c:v>168.22</c:v>
                </c:pt>
                <c:pt idx="64">
                  <c:v>170.29</c:v>
                </c:pt>
                <c:pt idx="65">
                  <c:v>170.77</c:v>
                </c:pt>
                <c:pt idx="66">
                  <c:v>173.97</c:v>
                </c:pt>
                <c:pt idx="67">
                  <c:v>177.57</c:v>
                </c:pt>
                <c:pt idx="68">
                  <c:v>176.65</c:v>
                </c:pt>
                <c:pt idx="69">
                  <c:v>179.23</c:v>
                </c:pt>
                <c:pt idx="70">
                  <c:v>181.82</c:v>
                </c:pt>
                <c:pt idx="71">
                  <c:v>182.89</c:v>
                </c:pt>
                <c:pt idx="72">
                  <c:v>182.41</c:v>
                </c:pt>
                <c:pt idx="73">
                  <c:v>186.4</c:v>
                </c:pt>
                <c:pt idx="74">
                  <c:v>184.8</c:v>
                </c:pt>
                <c:pt idx="75">
                  <c:v>187.44</c:v>
                </c:pt>
                <c:pt idx="76">
                  <c:v>188.01</c:v>
                </c:pt>
                <c:pt idx="77">
                  <c:v>189.71</c:v>
                </c:pt>
                <c:pt idx="78">
                  <c:v>189.69</c:v>
                </c:pt>
                <c:pt idx="79">
                  <c:v>191.45</c:v>
                </c:pt>
                <c:pt idx="80">
                  <c:v>190.64</c:v>
                </c:pt>
                <c:pt idx="81">
                  <c:v>191.31</c:v>
                </c:pt>
                <c:pt idx="82">
                  <c:v>189.97</c:v>
                </c:pt>
                <c:pt idx="83">
                  <c:v>189.79</c:v>
                </c:pt>
                <c:pt idx="84">
                  <c:v>190.4</c:v>
                </c:pt>
                <c:pt idx="85">
                  <c:v>189.37</c:v>
                </c:pt>
                <c:pt idx="86">
                  <c:v>189.95</c:v>
                </c:pt>
                <c:pt idx="87">
                  <c:v>191.24</c:v>
                </c:pt>
                <c:pt idx="88">
                  <c:v>189.43</c:v>
                </c:pt>
                <c:pt idx="89">
                  <c:v>193.42</c:v>
                </c:pt>
                <c:pt idx="90">
                  <c:v>192.32</c:v>
                </c:pt>
                <c:pt idx="91">
                  <c:v>194.27</c:v>
                </c:pt>
                <c:pt idx="92">
                  <c:v>195.71</c:v>
                </c:pt>
                <c:pt idx="93">
                  <c:v>193.18</c:v>
                </c:pt>
                <c:pt idx="94">
                  <c:v>194.71</c:v>
                </c:pt>
                <c:pt idx="95">
                  <c:v>197.96</c:v>
                </c:pt>
                <c:pt idx="96">
                  <c:v>198.11</c:v>
                </c:pt>
                <c:pt idx="97">
                  <c:v>197.57</c:v>
                </c:pt>
                <c:pt idx="98">
                  <c:v>195.89</c:v>
                </c:pt>
                <c:pt idx="99">
                  <c:v>196.94</c:v>
                </c:pt>
                <c:pt idx="100">
                  <c:v>194.83</c:v>
                </c:pt>
                <c:pt idx="101">
                  <c:v>194.68</c:v>
                </c:pt>
                <c:pt idx="102">
                  <c:v>193.6</c:v>
                </c:pt>
                <c:pt idx="103">
                  <c:v>193.05</c:v>
                </c:pt>
                <c:pt idx="104">
                  <c:v>193.15</c:v>
                </c:pt>
                <c:pt idx="105">
                  <c:v>193.58</c:v>
                </c:pt>
                <c:pt idx="106">
                  <c:v>192.53</c:v>
                </c:pt>
                <c:pt idx="107">
                  <c:v>185.64</c:v>
                </c:pt>
                <c:pt idx="108">
                  <c:v>184.25</c:v>
                </c:pt>
                <c:pt idx="109">
                  <c:v>181.91</c:v>
                </c:pt>
                <c:pt idx="110">
                  <c:v>181.18</c:v>
                </c:pt>
                <c:pt idx="111">
                  <c:v>185.56</c:v>
                </c:pt>
                <c:pt idx="112">
                  <c:v>185.14</c:v>
                </c:pt>
                <c:pt idx="113">
                  <c:v>186.19</c:v>
                </c:pt>
                <c:pt idx="114">
                  <c:v>185.59</c:v>
                </c:pt>
                <c:pt idx="115">
                  <c:v>185.92</c:v>
                </c:pt>
                <c:pt idx="116">
                  <c:v>183.63</c:v>
                </c:pt>
                <c:pt idx="117">
                  <c:v>182.68</c:v>
                </c:pt>
                <c:pt idx="118">
                  <c:v>188.63</c:v>
                </c:pt>
                <c:pt idx="119">
                  <c:v>191.56</c:v>
                </c:pt>
                <c:pt idx="120">
                  <c:v>193.89</c:v>
                </c:pt>
                <c:pt idx="121">
                  <c:v>195.18</c:v>
                </c:pt>
                <c:pt idx="122">
                  <c:v>194.5</c:v>
                </c:pt>
                <c:pt idx="123">
                  <c:v>194.17</c:v>
                </c:pt>
                <c:pt idx="124">
                  <c:v>192.42</c:v>
                </c:pt>
                <c:pt idx="125">
                  <c:v>191.73</c:v>
                </c:pt>
                <c:pt idx="126">
                  <c:v>188.04</c:v>
                </c:pt>
                <c:pt idx="127">
                  <c:v>184.4</c:v>
                </c:pt>
                <c:pt idx="128">
                  <c:v>186.86</c:v>
                </c:pt>
                <c:pt idx="129">
                  <c:v>185.85</c:v>
                </c:pt>
                <c:pt idx="130">
                  <c:v>187.68</c:v>
                </c:pt>
                <c:pt idx="131">
                  <c:v>189.3</c:v>
                </c:pt>
                <c:pt idx="132">
                  <c:v>189.41</c:v>
                </c:pt>
                <c:pt idx="133">
                  <c:v>188.32</c:v>
                </c:pt>
                <c:pt idx="134">
                  <c:v>188.85</c:v>
                </c:pt>
                <c:pt idx="135">
                  <c:v>187.15</c:v>
                </c:pt>
                <c:pt idx="136">
                  <c:v>185.04</c:v>
                </c:pt>
                <c:pt idx="137">
                  <c:v>184.15</c:v>
                </c:pt>
                <c:pt idx="138">
                  <c:v>183.86</c:v>
                </c:pt>
                <c:pt idx="139">
                  <c:v>182.31</c:v>
                </c:pt>
                <c:pt idx="140">
                  <c:v>181.56</c:v>
                </c:pt>
                <c:pt idx="141">
                  <c:v>182.32</c:v>
                </c:pt>
                <c:pt idx="142">
                  <c:v>184.37</c:v>
                </c:pt>
                <c:pt idx="143">
                  <c:v>182.52</c:v>
                </c:pt>
                <c:pt idx="144">
                  <c:v>181.16</c:v>
                </c:pt>
                <c:pt idx="145">
                  <c:v>182.63</c:v>
                </c:pt>
                <c:pt idx="146">
                  <c:v>181.42</c:v>
                </c:pt>
                <c:pt idx="147">
                  <c:v>180.75</c:v>
                </c:pt>
                <c:pt idx="148">
                  <c:v>179.66</c:v>
                </c:pt>
                <c:pt idx="149">
                  <c:v>175.1</c:v>
                </c:pt>
                <c:pt idx="150">
                  <c:v>170.12</c:v>
                </c:pt>
                <c:pt idx="151">
                  <c:v>169.12</c:v>
                </c:pt>
                <c:pt idx="152">
                  <c:v>169</c:v>
                </c:pt>
                <c:pt idx="153">
                  <c:v>170.73</c:v>
                </c:pt>
                <c:pt idx="154">
                  <c:v>172.75</c:v>
                </c:pt>
                <c:pt idx="155">
                  <c:v>173.23</c:v>
                </c:pt>
                <c:pt idx="156">
                  <c:v>171.13</c:v>
                </c:pt>
                <c:pt idx="157">
                  <c:v>173</c:v>
                </c:pt>
                <c:pt idx="158">
                  <c:v>172.62</c:v>
                </c:pt>
                <c:pt idx="159">
                  <c:v>173.72</c:v>
                </c:pt>
                <c:pt idx="160">
                  <c:v>176.08</c:v>
                </c:pt>
                <c:pt idx="161">
                  <c:v>178.67</c:v>
                </c:pt>
                <c:pt idx="162">
                  <c:v>171.37</c:v>
                </c:pt>
                <c:pt idx="163">
                  <c:v>172.28</c:v>
                </c:pt>
                <c:pt idx="164">
                  <c:v>170.85</c:v>
                </c:pt>
                <c:pt idx="165">
                  <c:v>169.71</c:v>
                </c:pt>
                <c:pt idx="166">
                  <c:v>173.31</c:v>
                </c:pt>
                <c:pt idx="167">
                  <c:v>171.48</c:v>
                </c:pt>
                <c:pt idx="168">
                  <c:v>170.03</c:v>
                </c:pt>
                <c:pt idx="169">
                  <c:v>168.84</c:v>
                </c:pt>
                <c:pt idx="170">
                  <c:v>169.65</c:v>
                </c:pt>
                <c:pt idx="171">
                  <c:v>168.82</c:v>
                </c:pt>
                <c:pt idx="172">
                  <c:v>169.58</c:v>
                </c:pt>
                <c:pt idx="173">
                  <c:v>168.45</c:v>
                </c:pt>
                <c:pt idx="174">
                  <c:v>169.67</c:v>
                </c:pt>
                <c:pt idx="175">
                  <c:v>167.78</c:v>
                </c:pt>
                <c:pt idx="176">
                  <c:v>175.04</c:v>
                </c:pt>
                <c:pt idx="177">
                  <c:v>176.55</c:v>
                </c:pt>
                <c:pt idx="178">
                  <c:v>172.69</c:v>
                </c:pt>
                <c:pt idx="179">
                  <c:v>169.38</c:v>
                </c:pt>
                <c:pt idx="180">
                  <c:v>168</c:v>
                </c:pt>
                <c:pt idx="181">
                  <c:v>167.04</c:v>
                </c:pt>
                <c:pt idx="182">
                  <c:v>165</c:v>
                </c:pt>
                <c:pt idx="183">
                  <c:v>165.84</c:v>
                </c:pt>
                <c:pt idx="184">
                  <c:v>166.9</c:v>
                </c:pt>
                <c:pt idx="185">
                  <c:v>169.02</c:v>
                </c:pt>
                <c:pt idx="186">
                  <c:v>169.89</c:v>
                </c:pt>
                <c:pt idx="187">
                  <c:v>169.3</c:v>
                </c:pt>
                <c:pt idx="188">
                  <c:v>173.5</c:v>
                </c:pt>
                <c:pt idx="189">
                  <c:v>170.33</c:v>
                </c:pt>
                <c:pt idx="190">
                  <c:v>169.3</c:v>
                </c:pt>
                <c:pt idx="191">
                  <c:v>173.03</c:v>
                </c:pt>
                <c:pt idx="192">
                  <c:v>183.38</c:v>
                </c:pt>
                <c:pt idx="193">
                  <c:v>181.71</c:v>
                </c:pt>
                <c:pt idx="194">
                  <c:v>182.4</c:v>
                </c:pt>
                <c:pt idx="195">
                  <c:v>182.74</c:v>
                </c:pt>
                <c:pt idx="196">
                  <c:v>184.57</c:v>
                </c:pt>
                <c:pt idx="197">
                  <c:v>183.05</c:v>
                </c:pt>
                <c:pt idx="198">
                  <c:v>186.28</c:v>
                </c:pt>
                <c:pt idx="199">
                  <c:v>187.43</c:v>
                </c:pt>
                <c:pt idx="200">
                  <c:v>189.72</c:v>
                </c:pt>
                <c:pt idx="201">
                  <c:v>189.84</c:v>
                </c:pt>
                <c:pt idx="202">
                  <c:v>189.87</c:v>
                </c:pt>
                <c:pt idx="203">
                  <c:v>191.04</c:v>
                </c:pt>
                <c:pt idx="204">
                  <c:v>192.35</c:v>
                </c:pt>
                <c:pt idx="205">
                  <c:v>190.9</c:v>
                </c:pt>
                <c:pt idx="206">
                  <c:v>186.88</c:v>
                </c:pt>
                <c:pt idx="207">
                  <c:v>189.98</c:v>
                </c:pt>
                <c:pt idx="208">
                  <c:v>189.99</c:v>
                </c:pt>
                <c:pt idx="209">
                  <c:v>190.29</c:v>
                </c:pt>
                <c:pt idx="210">
                  <c:v>191.29</c:v>
                </c:pt>
                <c:pt idx="211">
                  <c:v>192.25</c:v>
                </c:pt>
                <c:pt idx="212">
                  <c:v>194.03</c:v>
                </c:pt>
                <c:pt idx="213">
                  <c:v>194.35</c:v>
                </c:pt>
                <c:pt idx="214">
                  <c:v>195.87</c:v>
                </c:pt>
                <c:pt idx="215">
                  <c:v>194.48</c:v>
                </c:pt>
                <c:pt idx="216">
                  <c:v>196.89</c:v>
                </c:pt>
                <c:pt idx="217">
                  <c:v>193.12</c:v>
                </c:pt>
                <c:pt idx="218">
                  <c:v>207.15</c:v>
                </c:pt>
                <c:pt idx="219">
                  <c:v>213.07</c:v>
                </c:pt>
                <c:pt idx="220">
                  <c:v>214.24</c:v>
                </c:pt>
                <c:pt idx="221">
                  <c:v>212.49</c:v>
                </c:pt>
                <c:pt idx="222">
                  <c:v>216.67</c:v>
                </c:pt>
                <c:pt idx="223">
                  <c:v>214.29</c:v>
                </c:pt>
                <c:pt idx="224">
                  <c:v>209.68</c:v>
                </c:pt>
                <c:pt idx="225">
                  <c:v>207.49</c:v>
                </c:pt>
                <c:pt idx="226">
                  <c:v>208.14</c:v>
                </c:pt>
                <c:pt idx="227">
                  <c:v>209.07</c:v>
                </c:pt>
                <c:pt idx="228">
                  <c:v>213.25</c:v>
                </c:pt>
                <c:pt idx="229">
                  <c:v>214.1</c:v>
                </c:pt>
                <c:pt idx="230">
                  <c:v>210.62</c:v>
                </c:pt>
                <c:pt idx="231">
                  <c:v>216.75</c:v>
                </c:pt>
                <c:pt idx="232">
                  <c:v>220.27</c:v>
                </c:pt>
                <c:pt idx="233">
                  <c:v>221.55</c:v>
                </c:pt>
                <c:pt idx="234">
                  <c:v>226.34</c:v>
                </c:pt>
                <c:pt idx="235">
                  <c:v>227.82</c:v>
                </c:pt>
                <c:pt idx="236">
                  <c:v>228.68</c:v>
                </c:pt>
                <c:pt idx="237">
                  <c:v>232.98</c:v>
                </c:pt>
                <c:pt idx="238">
                  <c:v>227.57</c:v>
                </c:pt>
                <c:pt idx="239">
                  <c:v>230.54</c:v>
                </c:pt>
                <c:pt idx="240">
                  <c:v>234.4</c:v>
                </c:pt>
                <c:pt idx="241">
                  <c:v>234.82</c:v>
                </c:pt>
                <c:pt idx="242">
                  <c:v>228.88</c:v>
                </c:pt>
                <c:pt idx="243">
                  <c:v>224.18</c:v>
                </c:pt>
                <c:pt idx="244">
                  <c:v>224.31</c:v>
                </c:pt>
                <c:pt idx="245">
                  <c:v>223.96</c:v>
                </c:pt>
                <c:pt idx="246">
                  <c:v>225.01</c:v>
                </c:pt>
                <c:pt idx="247">
                  <c:v>218.54</c:v>
                </c:pt>
                <c:pt idx="248">
                  <c:v>217.49</c:v>
                </c:pt>
                <c:pt idx="249">
                  <c:v>217.96</c:v>
                </c:pt>
                <c:pt idx="250">
                  <c:v>218.24</c:v>
                </c:pt>
                <c:pt idx="251">
                  <c:v>218.8</c:v>
                </c:pt>
                <c:pt idx="252">
                  <c:v>222.08</c:v>
                </c:pt>
                <c:pt idx="253">
                  <c:v>218.36</c:v>
                </c:pt>
                <c:pt idx="254">
                  <c:v>219.86</c:v>
                </c:pt>
                <c:pt idx="255">
                  <c:v>209.27</c:v>
                </c:pt>
                <c:pt idx="256">
                  <c:v>207.23</c:v>
                </c:pt>
                <c:pt idx="257">
                  <c:v>209.82</c:v>
                </c:pt>
                <c:pt idx="258">
                  <c:v>213.31</c:v>
                </c:pt>
                <c:pt idx="259">
                  <c:v>216.24</c:v>
                </c:pt>
                <c:pt idx="260">
                  <c:v>217.53</c:v>
                </c:pt>
                <c:pt idx="261">
                  <c:v>221.27</c:v>
                </c:pt>
                <c:pt idx="262">
                  <c:v>221.72</c:v>
                </c:pt>
                <c:pt idx="263">
                  <c:v>224.72</c:v>
                </c:pt>
                <c:pt idx="264">
                  <c:v>226.05</c:v>
                </c:pt>
                <c:pt idx="265">
                  <c:v>225.89</c:v>
                </c:pt>
                <c:pt idx="266">
                  <c:v>226.51</c:v>
                </c:pt>
                <c:pt idx="267">
                  <c:v>226.4</c:v>
                </c:pt>
                <c:pt idx="268">
                  <c:v>224.53</c:v>
                </c:pt>
                <c:pt idx="269">
                  <c:v>226.84</c:v>
                </c:pt>
                <c:pt idx="270">
                  <c:v>227.18</c:v>
                </c:pt>
                <c:pt idx="271">
                  <c:v>228.03</c:v>
                </c:pt>
                <c:pt idx="272">
                  <c:v>226.49</c:v>
                </c:pt>
                <c:pt idx="273">
                  <c:v>229.79</c:v>
                </c:pt>
                <c:pt idx="274">
                  <c:v>229</c:v>
                </c:pt>
                <c:pt idx="275">
                  <c:v>222.77</c:v>
                </c:pt>
                <c:pt idx="276">
                  <c:v>220.85</c:v>
                </c:pt>
                <c:pt idx="277">
                  <c:v>222.38</c:v>
                </c:pt>
                <c:pt idx="278">
                  <c:v>220.82</c:v>
                </c:pt>
                <c:pt idx="279">
                  <c:v>220.91</c:v>
                </c:pt>
                <c:pt idx="280">
                  <c:v>220.11</c:v>
                </c:pt>
                <c:pt idx="281">
                  <c:v>222.66</c:v>
                </c:pt>
                <c:pt idx="282">
                  <c:v>222.77</c:v>
                </c:pt>
                <c:pt idx="283">
                  <c:v>222.5</c:v>
                </c:pt>
                <c:pt idx="284">
                  <c:v>216.32</c:v>
                </c:pt>
                <c:pt idx="285">
                  <c:v>216.79</c:v>
                </c:pt>
                <c:pt idx="286">
                  <c:v>220.69</c:v>
                </c:pt>
                <c:pt idx="287">
                  <c:v>228.87</c:v>
                </c:pt>
                <c:pt idx="288">
                  <c:v>228.2</c:v>
                </c:pt>
                <c:pt idx="289">
                  <c:v>226.47</c:v>
                </c:pt>
                <c:pt idx="290">
                  <c:v>227.37</c:v>
                </c:pt>
                <c:pt idx="291">
                  <c:v>226.37</c:v>
                </c:pt>
                <c:pt idx="292">
                  <c:v>227.52</c:v>
                </c:pt>
                <c:pt idx="293">
                  <c:v>227.79</c:v>
                </c:pt>
                <c:pt idx="294">
                  <c:v>233</c:v>
                </c:pt>
                <c:pt idx="295">
                  <c:v>226.21</c:v>
                </c:pt>
                <c:pt idx="296">
                  <c:v>226.78</c:v>
                </c:pt>
                <c:pt idx="297">
                  <c:v>225.67</c:v>
                </c:pt>
                <c:pt idx="298">
                  <c:v>226.8</c:v>
                </c:pt>
                <c:pt idx="299">
                  <c:v>221.69</c:v>
                </c:pt>
                <c:pt idx="300">
                  <c:v>225.77</c:v>
                </c:pt>
                <c:pt idx="301">
                  <c:v>229.54</c:v>
                </c:pt>
                <c:pt idx="302">
                  <c:v>229.04</c:v>
                </c:pt>
                <c:pt idx="303">
                  <c:v>227.55</c:v>
                </c:pt>
                <c:pt idx="304">
                  <c:v>231.3</c:v>
                </c:pt>
                <c:pt idx="305">
                  <c:v>233.85</c:v>
                </c:pt>
                <c:pt idx="306">
                  <c:v>231.78</c:v>
                </c:pt>
                <c:pt idx="307">
                  <c:v>232.15</c:v>
                </c:pt>
                <c:pt idx="308">
                  <c:v>235</c:v>
                </c:pt>
                <c:pt idx="309">
                  <c:v>236.48</c:v>
                </c:pt>
                <c:pt idx="310">
                  <c:v>235.86</c:v>
                </c:pt>
                <c:pt idx="311">
                  <c:v>230.76</c:v>
                </c:pt>
                <c:pt idx="312">
                  <c:v>230.57</c:v>
                </c:pt>
                <c:pt idx="313">
                  <c:v>231.41</c:v>
                </c:pt>
                <c:pt idx="314">
                  <c:v>233.4</c:v>
                </c:pt>
                <c:pt idx="315">
                  <c:v>233.67</c:v>
                </c:pt>
                <c:pt idx="316">
                  <c:v>230.1</c:v>
                </c:pt>
                <c:pt idx="317">
                  <c:v>225.91</c:v>
                </c:pt>
                <c:pt idx="318">
                  <c:v>222.91</c:v>
                </c:pt>
                <c:pt idx="319">
                  <c:v>222.01</c:v>
                </c:pt>
                <c:pt idx="320">
                  <c:v>223.45</c:v>
                </c:pt>
                <c:pt idx="321">
                  <c:v>222.72</c:v>
                </c:pt>
                <c:pt idx="322">
                  <c:v>227.48</c:v>
                </c:pt>
                <c:pt idx="323">
                  <c:v>226.96</c:v>
                </c:pt>
                <c:pt idx="324">
                  <c:v>224.23</c:v>
                </c:pt>
                <c:pt idx="325">
                  <c:v>224.23</c:v>
                </c:pt>
                <c:pt idx="326">
                  <c:v>225.12</c:v>
                </c:pt>
                <c:pt idx="327">
                  <c:v>228.22</c:v>
                </c:pt>
                <c:pt idx="328">
                  <c:v>225</c:v>
                </c:pt>
                <c:pt idx="329">
                  <c:v>228.02</c:v>
                </c:pt>
                <c:pt idx="330">
                  <c:v>228.28</c:v>
                </c:pt>
                <c:pt idx="331">
                  <c:v>229</c:v>
                </c:pt>
                <c:pt idx="332">
                  <c:v>228.52</c:v>
                </c:pt>
                <c:pt idx="333">
                  <c:v>229.87</c:v>
                </c:pt>
                <c:pt idx="334">
                  <c:v>232.87</c:v>
                </c:pt>
                <c:pt idx="335">
                  <c:v>235.06</c:v>
                </c:pt>
                <c:pt idx="336">
                  <c:v>234.93</c:v>
                </c:pt>
                <c:pt idx="337">
                  <c:v>237.33</c:v>
                </c:pt>
                <c:pt idx="338">
                  <c:v>239.59</c:v>
                </c:pt>
                <c:pt idx="339">
                  <c:v>242.65</c:v>
                </c:pt>
                <c:pt idx="340">
                  <c:v>243.01</c:v>
                </c:pt>
                <c:pt idx="341">
                  <c:v>243.04</c:v>
                </c:pt>
                <c:pt idx="342">
                  <c:v>242.84</c:v>
                </c:pt>
                <c:pt idx="343">
                  <c:v>246.75</c:v>
                </c:pt>
                <c:pt idx="344">
                  <c:v>247.77</c:v>
                </c:pt>
                <c:pt idx="345">
                  <c:v>246.49</c:v>
                </c:pt>
                <c:pt idx="346">
                  <c:v>247.96</c:v>
                </c:pt>
                <c:pt idx="347">
                  <c:v>248.13</c:v>
                </c:pt>
                <c:pt idx="348">
                  <c:v>251.04</c:v>
                </c:pt>
                <c:pt idx="349">
                  <c:v>253.48</c:v>
                </c:pt>
                <c:pt idx="350">
                  <c:v>248.05</c:v>
                </c:pt>
                <c:pt idx="351">
                  <c:v>249.79</c:v>
                </c:pt>
                <c:pt idx="352">
                  <c:v>254.49</c:v>
                </c:pt>
                <c:pt idx="353">
                  <c:v>255.27</c:v>
                </c:pt>
                <c:pt idx="354">
                  <c:v>258.2</c:v>
                </c:pt>
                <c:pt idx="355">
                  <c:v>259.02</c:v>
                </c:pt>
                <c:pt idx="356">
                  <c:v>255.59</c:v>
                </c:pt>
                <c:pt idx="357">
                  <c:v>252.2</c:v>
                </c:pt>
                <c:pt idx="358">
                  <c:v>250.42</c:v>
                </c:pt>
                <c:pt idx="359">
                  <c:v>243.85</c:v>
                </c:pt>
                <c:pt idx="360">
                  <c:v>243.36</c:v>
                </c:pt>
                <c:pt idx="361">
                  <c:v>245</c:v>
                </c:pt>
                <c:pt idx="362">
                  <c:v>242.21</c:v>
                </c:pt>
                <c:pt idx="363">
                  <c:v>242.7</c:v>
                </c:pt>
                <c:pt idx="364">
                  <c:v>236.85</c:v>
                </c:pt>
                <c:pt idx="365">
                  <c:v>234.4</c:v>
                </c:pt>
                <c:pt idx="366">
                  <c:v>233.28</c:v>
                </c:pt>
                <c:pt idx="367">
                  <c:v>237.87</c:v>
                </c:pt>
                <c:pt idx="368">
                  <c:v>228.26</c:v>
                </c:pt>
                <c:pt idx="369">
                  <c:v>229.98</c:v>
                </c:pt>
                <c:pt idx="370">
                  <c:v>222.64</c:v>
                </c:pt>
                <c:pt idx="371">
                  <c:v>223.83</c:v>
                </c:pt>
                <c:pt idx="372">
                  <c:v>223.66</c:v>
                </c:pt>
                <c:pt idx="373">
                  <c:v>222.78</c:v>
                </c:pt>
                <c:pt idx="374">
                  <c:v>229.86</c:v>
                </c:pt>
                <c:pt idx="375">
                  <c:v>238.26</c:v>
                </c:pt>
                <c:pt idx="376">
                  <c:v>239.36</c:v>
                </c:pt>
                <c:pt idx="377">
                  <c:v>237.59</c:v>
                </c:pt>
                <c:pt idx="378">
                  <c:v>236</c:v>
                </c:pt>
                <c:pt idx="379">
                  <c:v>228.01</c:v>
                </c:pt>
                <c:pt idx="380">
                  <c:v>232.8</c:v>
                </c:pt>
                <c:pt idx="381">
                  <c:v>232.47</c:v>
                </c:pt>
                <c:pt idx="382">
                  <c:v>233.22</c:v>
                </c:pt>
                <c:pt idx="383">
                  <c:v>227.63</c:v>
                </c:pt>
                <c:pt idx="384">
                  <c:v>227.65</c:v>
                </c:pt>
                <c:pt idx="385">
                  <c:v>232.62</c:v>
                </c:pt>
                <c:pt idx="386">
                  <c:v>236.87</c:v>
                </c:pt>
                <c:pt idx="387">
                  <c:v>241.53</c:v>
                </c:pt>
                <c:pt idx="388">
                  <c:v>244.6</c:v>
                </c:pt>
                <c:pt idx="389">
                  <c:v>244.47</c:v>
                </c:pt>
                <c:pt idx="390">
                  <c:v>244.87</c:v>
                </c:pt>
                <c:pt idx="391">
                  <c:v>245.83</c:v>
                </c:pt>
                <c:pt idx="392">
                  <c:v>245.55</c:v>
                </c:pt>
                <c:pt idx="393">
                  <c:v>247.1</c:v>
                </c:pt>
                <c:pt idx="394">
                  <c:v>247.04</c:v>
                </c:pt>
                <c:pt idx="395">
                  <c:v>240.36</c:v>
                </c:pt>
                <c:pt idx="396">
                  <c:v>237.3</c:v>
                </c:pt>
                <c:pt idx="397">
                  <c:v>241.84</c:v>
                </c:pt>
                <c:pt idx="398">
                  <c:v>238.03</c:v>
                </c:pt>
                <c:pt idx="399">
                  <c:v>235.93</c:v>
                </c:pt>
                <c:pt idx="400">
                  <c:v>235.74</c:v>
                </c:pt>
                <c:pt idx="401">
                  <c:v>235.33</c:v>
                </c:pt>
                <c:pt idx="402">
                  <c:v>239.07</c:v>
                </c:pt>
                <c:pt idx="403">
                  <c:v>227.48</c:v>
                </c:pt>
                <c:pt idx="404">
                  <c:v>220.84</c:v>
                </c:pt>
                <c:pt idx="405">
                  <c:v>216.98</c:v>
                </c:pt>
                <c:pt idx="406">
                  <c:v>209.68</c:v>
                </c:pt>
                <c:pt idx="407">
                  <c:v>213.49</c:v>
                </c:pt>
                <c:pt idx="408">
                  <c:v>214</c:v>
                </c:pt>
                <c:pt idx="409">
                  <c:v>212.69</c:v>
                </c:pt>
                <c:pt idx="410">
                  <c:v>215.24</c:v>
                </c:pt>
                <c:pt idx="411">
                  <c:v>214.1</c:v>
                </c:pt>
                <c:pt idx="412">
                  <c:v>218.27</c:v>
                </c:pt>
                <c:pt idx="413">
                  <c:v>220.73</c:v>
                </c:pt>
                <c:pt idx="414">
                  <c:v>223.75</c:v>
                </c:pt>
                <c:pt idx="415">
                  <c:v>221.53</c:v>
                </c:pt>
                <c:pt idx="416">
                  <c:v>223.85</c:v>
                </c:pt>
                <c:pt idx="417">
                  <c:v>217.9</c:v>
                </c:pt>
                <c:pt idx="418">
                  <c:v>222.13</c:v>
                </c:pt>
                <c:pt idx="419">
                  <c:v>223.19</c:v>
                </c:pt>
                <c:pt idx="420">
                  <c:v>223.89</c:v>
                </c:pt>
                <c:pt idx="421">
                  <c:v>203.19</c:v>
                </c:pt>
                <c:pt idx="422">
                  <c:v>188.38</c:v>
                </c:pt>
                <c:pt idx="423">
                  <c:v>181.46</c:v>
                </c:pt>
                <c:pt idx="424">
                  <c:v>172.42</c:v>
                </c:pt>
                <c:pt idx="425">
                  <c:v>198.85</c:v>
                </c:pt>
                <c:pt idx="426">
                  <c:v>190.42</c:v>
                </c:pt>
                <c:pt idx="427">
                  <c:v>198.15</c:v>
                </c:pt>
                <c:pt idx="428">
                  <c:v>202.52</c:v>
                </c:pt>
                <c:pt idx="429">
                  <c:v>202.14</c:v>
                </c:pt>
                <c:pt idx="430">
                  <c:v>194.27</c:v>
                </c:pt>
                <c:pt idx="431">
                  <c:v>196.98</c:v>
                </c:pt>
                <c:pt idx="432">
                  <c:v>193.16</c:v>
                </c:pt>
                <c:pt idx="433">
                  <c:v>199.74</c:v>
                </c:pt>
                <c:pt idx="434">
                  <c:v>204.6</c:v>
                </c:pt>
                <c:pt idx="435">
                  <c:v>208.37</c:v>
                </c:pt>
                <c:pt idx="436">
                  <c:v>209.28</c:v>
                </c:pt>
                <c:pt idx="437">
                  <c:v>210.14</c:v>
                </c:pt>
                <c:pt idx="438">
                  <c:v>211.21</c:v>
                </c:pt>
                <c:pt idx="439">
                  <c:v>212.5</c:v>
                </c:pt>
                <c:pt idx="440">
                  <c:v>213.32</c:v>
                </c:pt>
                <c:pt idx="441">
                  <c:v>205.35</c:v>
                </c:pt>
                <c:pt idx="442">
                  <c:v>198.89</c:v>
                </c:pt>
                <c:pt idx="443">
                  <c:v>198.51</c:v>
                </c:pt>
                <c:pt idx="444">
                  <c:v>196.25</c:v>
                </c:pt>
                <c:pt idx="445">
                  <c:v>197.49</c:v>
                </c:pt>
                <c:pt idx="446">
                  <c:v>198.53</c:v>
                </c:pt>
                <c:pt idx="447">
                  <c:v>210.79</c:v>
                </c:pt>
                <c:pt idx="448">
                  <c:v>212.93</c:v>
                </c:pt>
                <c:pt idx="449">
                  <c:v>212.33</c:v>
                </c:pt>
                <c:pt idx="450">
                  <c:v>211.45</c:v>
                </c:pt>
                <c:pt idx="451">
                  <c:v>211.26</c:v>
                </c:pt>
                <c:pt idx="452">
                  <c:v>208.78</c:v>
                </c:pt>
                <c:pt idx="453">
                  <c:v>206.86</c:v>
                </c:pt>
                <c:pt idx="454">
                  <c:v>202.09</c:v>
                </c:pt>
                <c:pt idx="455">
                  <c:v>202.09</c:v>
                </c:pt>
                <c:pt idx="456">
                  <c:v>195.27</c:v>
                </c:pt>
                <c:pt idx="457">
                  <c:v>200.21</c:v>
                </c:pt>
                <c:pt idx="458">
                  <c:v>200.42</c:v>
                </c:pt>
                <c:pt idx="459">
                  <c:v>199.95</c:v>
                </c:pt>
                <c:pt idx="460">
                  <c:v>200.85</c:v>
                </c:pt>
                <c:pt idx="461">
                  <c:v>201.7</c:v>
                </c:pt>
                <c:pt idx="462">
                  <c:v>203.27</c:v>
                </c:pt>
                <c:pt idx="463">
                  <c:v>202.82</c:v>
                </c:pt>
                <c:pt idx="464">
                  <c:v>200.63</c:v>
                </c:pt>
                <c:pt idx="465">
                  <c:v>203.92</c:v>
                </c:pt>
                <c:pt idx="466">
                  <c:v>201.45</c:v>
                </c:pt>
                <c:pt idx="467">
                  <c:v>202.67</c:v>
                </c:pt>
                <c:pt idx="468">
                  <c:v>198.78</c:v>
                </c:pt>
                <c:pt idx="469">
                  <c:v>199.2</c:v>
                </c:pt>
                <c:pt idx="470">
                  <c:v>196.45</c:v>
                </c:pt>
                <c:pt idx="471">
                  <c:v>198.42</c:v>
                </c:pt>
                <c:pt idx="472">
                  <c:v>195.64</c:v>
                </c:pt>
                <c:pt idx="473">
                  <c:v>196.58</c:v>
                </c:pt>
                <c:pt idx="474">
                  <c:v>201</c:v>
                </c:pt>
                <c:pt idx="475">
                  <c:v>201.5</c:v>
                </c:pt>
                <c:pt idx="476">
                  <c:v>200.3</c:v>
                </c:pt>
                <c:pt idx="477">
                  <c:v>201.56</c:v>
                </c:pt>
                <c:pt idx="478">
                  <c:v>201</c:v>
                </c:pt>
                <c:pt idx="479">
                  <c:v>201.08</c:v>
                </c:pt>
                <c:pt idx="480">
                  <c:v>205.17</c:v>
                </c:pt>
                <c:pt idx="481">
                  <c:v>207.82</c:v>
                </c:pt>
                <c:pt idx="482">
                  <c:v>212.44</c:v>
                </c:pt>
                <c:pt idx="483">
                  <c:v>213.55</c:v>
                </c:pt>
                <c:pt idx="484">
                  <c:v>209.95</c:v>
                </c:pt>
                <c:pt idx="485">
                  <c:v>210.01</c:v>
                </c:pt>
                <c:pt idx="486">
                  <c:v>211.14</c:v>
                </c:pt>
                <c:pt idx="487">
                  <c:v>212.41</c:v>
                </c:pt>
                <c:pt idx="488">
                  <c:v>211.16</c:v>
                </c:pt>
                <c:pt idx="489">
                  <c:v>208.62</c:v>
                </c:pt>
                <c:pt idx="490">
                  <c:v>209.11</c:v>
                </c:pt>
                <c:pt idx="491">
                  <c:v>210.16</c:v>
                </c:pt>
                <c:pt idx="492">
                  <c:v>210.02</c:v>
                </c:pt>
                <c:pt idx="493">
                  <c:v>211.18</c:v>
                </c:pt>
                <c:pt idx="494">
                  <c:v>212.48</c:v>
                </c:pt>
                <c:pt idx="495">
                  <c:v>214.4</c:v>
                </c:pt>
                <c:pt idx="496">
                  <c:v>214.15</c:v>
                </c:pt>
                <c:pt idx="497">
                  <c:v>213.76</c:v>
                </c:pt>
                <c:pt idx="498">
                  <c:v>213.88</c:v>
                </c:pt>
                <c:pt idx="499">
                  <c:v>214.05</c:v>
                </c:pt>
                <c:pt idx="500">
                  <c:v>211.27</c:v>
                </c:pt>
                <c:pt idx="501">
                  <c:v>209.05</c:v>
                </c:pt>
                <c:pt idx="502">
                  <c:v>207.57</c:v>
                </c:pt>
                <c:pt idx="503">
                  <c:v>202.38</c:v>
                </c:pt>
                <c:pt idx="504">
                  <c:v>203.35</c:v>
                </c:pt>
                <c:pt idx="505">
                  <c:v>202.92</c:v>
                </c:pt>
                <c:pt idx="506">
                  <c:v>213.25</c:v>
                </c:pt>
                <c:pt idx="507">
                  <c:v>220.03</c:v>
                </c:pt>
                <c:pt idx="508">
                  <c:v>229.35</c:v>
                </c:pt>
                <c:pt idx="509">
                  <c:v>227.18</c:v>
                </c:pt>
                <c:pt idx="510">
                  <c:v>229.65</c:v>
                </c:pt>
                <c:pt idx="511">
                  <c:v>233.33</c:v>
                </c:pt>
                <c:pt idx="512">
                  <c:v>232.78</c:v>
                </c:pt>
                <c:pt idx="513">
                  <c:v>231.59</c:v>
                </c:pt>
                <c:pt idx="514">
                  <c:v>230.89</c:v>
                </c:pt>
                <c:pt idx="515">
                  <c:v>230.56</c:v>
                </c:pt>
                <c:pt idx="516">
                  <c:v>226.01</c:v>
                </c:pt>
                <c:pt idx="517">
                  <c:v>224.9</c:v>
                </c:pt>
                <c:pt idx="518">
                  <c:v>227.76</c:v>
                </c:pt>
                <c:pt idx="519">
                  <c:v>227.16</c:v>
                </c:pt>
                <c:pt idx="520">
                  <c:v>229.31</c:v>
                </c:pt>
                <c:pt idx="521">
                  <c:v>230.49</c:v>
                </c:pt>
                <c:pt idx="522">
                  <c:v>232.56</c:v>
                </c:pt>
                <c:pt idx="523">
                  <c:v>232.14</c:v>
                </c:pt>
                <c:pt idx="524">
                  <c:v>229.72</c:v>
                </c:pt>
                <c:pt idx="525">
                  <c:v>238.47</c:v>
                </c:pt>
                <c:pt idx="526">
                  <c:v>239.78</c:v>
                </c:pt>
                <c:pt idx="527">
                  <c:v>239.69</c:v>
                </c:pt>
                <c:pt idx="528">
                  <c:v>237.88</c:v>
                </c:pt>
                <c:pt idx="529">
                  <c:v>234.35</c:v>
                </c:pt>
                <c:pt idx="530">
                  <c:v>226.79</c:v>
                </c:pt>
                <c:pt idx="531">
                  <c:v>230.03</c:v>
                </c:pt>
                <c:pt idx="532">
                  <c:v>234.07</c:v>
                </c:pt>
                <c:pt idx="533">
                  <c:v>236.7</c:v>
                </c:pt>
                <c:pt idx="534">
                  <c:v>238.15</c:v>
                </c:pt>
                <c:pt idx="535">
                  <c:v>238.99</c:v>
                </c:pt>
                <c:pt idx="536">
                  <c:v>237.88</c:v>
                </c:pt>
                <c:pt idx="537">
                  <c:v>245.5</c:v>
                </c:pt>
                <c:pt idx="538">
                  <c:v>256.08</c:v>
                </c:pt>
                <c:pt idx="539">
                  <c:v>254.43</c:v>
                </c:pt>
                <c:pt idx="540">
                  <c:v>252.31</c:v>
                </c:pt>
                <c:pt idx="541">
                  <c:v>256.87</c:v>
                </c:pt>
                <c:pt idx="542">
                  <c:v>255.46</c:v>
                </c:pt>
                <c:pt idx="543">
                  <c:v>254.43</c:v>
                </c:pt>
                <c:pt idx="544">
                  <c:v>254.63</c:v>
                </c:pt>
                <c:pt idx="545">
                  <c:v>255.45</c:v>
                </c:pt>
                <c:pt idx="546">
                  <c:v>257.13</c:v>
                </c:pt>
                <c:pt idx="547">
                  <c:v>258.02</c:v>
                </c:pt>
                <c:pt idx="548">
                  <c:v>256.69</c:v>
                </c:pt>
                <c:pt idx="549">
                  <c:v>256.48</c:v>
                </c:pt>
                <c:pt idx="550">
                  <c:v>258.06</c:v>
                </c:pt>
                <c:pt idx="551">
                  <c:v>254.04</c:v>
                </c:pt>
                <c:pt idx="552">
                  <c:v>245.27</c:v>
                </c:pt>
                <c:pt idx="553">
                  <c:v>247.66</c:v>
                </c:pt>
                <c:pt idx="554">
                  <c:v>247.77</c:v>
                </c:pt>
                <c:pt idx="555">
                  <c:v>249.34</c:v>
                </c:pt>
                <c:pt idx="556">
                  <c:v>247.45</c:v>
                </c:pt>
                <c:pt idx="557">
                  <c:v>252.29</c:v>
                </c:pt>
                <c:pt idx="558">
                  <c:v>262.24</c:v>
                </c:pt>
                <c:pt idx="559">
                  <c:v>262.77</c:v>
                </c:pt>
                <c:pt idx="560">
                  <c:v>258.45</c:v>
                </c:pt>
                <c:pt idx="561">
                  <c:v>259.58</c:v>
                </c:pt>
                <c:pt idx="562">
                  <c:v>262.82</c:v>
                </c:pt>
                <c:pt idx="563">
                  <c:v>268.81</c:v>
                </c:pt>
                <c:pt idx="564">
                  <c:v>269</c:v>
                </c:pt>
                <c:pt idx="565">
                  <c:v>269.7</c:v>
                </c:pt>
                <c:pt idx="566">
                  <c:v>271.39999999999998</c:v>
                </c:pt>
                <c:pt idx="567">
                  <c:v>270.37</c:v>
                </c:pt>
                <c:pt idx="568">
                  <c:v>269.05</c:v>
                </c:pt>
                <c:pt idx="569">
                  <c:v>270.04000000000002</c:v>
                </c:pt>
                <c:pt idx="570">
                  <c:v>270.14</c:v>
                </c:pt>
                <c:pt idx="571">
                  <c:v>269.77</c:v>
                </c:pt>
                <c:pt idx="572">
                  <c:v>268.47000000000003</c:v>
                </c:pt>
                <c:pt idx="573">
                  <c:v>269.43</c:v>
                </c:pt>
                <c:pt idx="574">
                  <c:v>275.25</c:v>
                </c:pt>
                <c:pt idx="575">
                  <c:v>273.47000000000003</c:v>
                </c:pt>
                <c:pt idx="576">
                  <c:v>272.95</c:v>
                </c:pt>
                <c:pt idx="577">
                  <c:v>272.41000000000003</c:v>
                </c:pt>
                <c:pt idx="578">
                  <c:v>267.45999999999998</c:v>
                </c:pt>
                <c:pt idx="579">
                  <c:v>267.44</c:v>
                </c:pt>
                <c:pt idx="580">
                  <c:v>268.56</c:v>
                </c:pt>
                <c:pt idx="581">
                  <c:v>266.25</c:v>
                </c:pt>
                <c:pt idx="582">
                  <c:v>271.49</c:v>
                </c:pt>
                <c:pt idx="583">
                  <c:v>275.92</c:v>
                </c:pt>
                <c:pt idx="584">
                  <c:v>276.97000000000003</c:v>
                </c:pt>
                <c:pt idx="585">
                  <c:v>277.55</c:v>
                </c:pt>
                <c:pt idx="586">
                  <c:v>278.85000000000002</c:v>
                </c:pt>
                <c:pt idx="587">
                  <c:v>283.10000000000002</c:v>
                </c:pt>
                <c:pt idx="588">
                  <c:v>286.19</c:v>
                </c:pt>
                <c:pt idx="589">
                  <c:v>284.14999999999998</c:v>
                </c:pt>
                <c:pt idx="590">
                  <c:v>280.7</c:v>
                </c:pt>
                <c:pt idx="591">
                  <c:v>278.77999999999997</c:v>
                </c:pt>
                <c:pt idx="592">
                  <c:v>277.89</c:v>
                </c:pt>
                <c:pt idx="593">
                  <c:v>277.18</c:v>
                </c:pt>
                <c:pt idx="594">
                  <c:v>278.77999999999997</c:v>
                </c:pt>
                <c:pt idx="595">
                  <c:v>278.02999999999997</c:v>
                </c:pt>
                <c:pt idx="596">
                  <c:v>278.27999999999997</c:v>
                </c:pt>
                <c:pt idx="597">
                  <c:v>274.11</c:v>
                </c:pt>
                <c:pt idx="598">
                  <c:v>274.61</c:v>
                </c:pt>
                <c:pt idx="599">
                  <c:v>271.83999999999997</c:v>
                </c:pt>
                <c:pt idx="600">
                  <c:v>272.19</c:v>
                </c:pt>
                <c:pt idx="601">
                  <c:v>273.67</c:v>
                </c:pt>
                <c:pt idx="602">
                  <c:v>270.97000000000003</c:v>
                </c:pt>
                <c:pt idx="603">
                  <c:v>272.36</c:v>
                </c:pt>
                <c:pt idx="604">
                  <c:v>273.81</c:v>
                </c:pt>
                <c:pt idx="605">
                  <c:v>273.39999999999998</c:v>
                </c:pt>
                <c:pt idx="606">
                  <c:v>273.76</c:v>
                </c:pt>
                <c:pt idx="607">
                  <c:v>273.08</c:v>
                </c:pt>
                <c:pt idx="608">
                  <c:v>271.86</c:v>
                </c:pt>
                <c:pt idx="609">
                  <c:v>271.01</c:v>
                </c:pt>
                <c:pt idx="610">
                  <c:v>267.26</c:v>
                </c:pt>
                <c:pt idx="611">
                  <c:v>262.36</c:v>
                </c:pt>
                <c:pt idx="612">
                  <c:v>260.33</c:v>
                </c:pt>
                <c:pt idx="613">
                  <c:v>259.04000000000002</c:v>
                </c:pt>
                <c:pt idx="614">
                  <c:v>259.37</c:v>
                </c:pt>
                <c:pt idx="615">
                  <c:v>260.25</c:v>
                </c:pt>
                <c:pt idx="616">
                  <c:v>261.05</c:v>
                </c:pt>
                <c:pt idx="617">
                  <c:v>259.95999999999998</c:v>
                </c:pt>
                <c:pt idx="618">
                  <c:v>258.20999999999998</c:v>
                </c:pt>
                <c:pt idx="619">
                  <c:v>255.53</c:v>
                </c:pt>
                <c:pt idx="620">
                  <c:v>246.7</c:v>
                </c:pt>
                <c:pt idx="621">
                  <c:v>247.65</c:v>
                </c:pt>
                <c:pt idx="622">
                  <c:v>248.35</c:v>
                </c:pt>
                <c:pt idx="623">
                  <c:v>248.04</c:v>
                </c:pt>
                <c:pt idx="624">
                  <c:v>255.41</c:v>
                </c:pt>
                <c:pt idx="625">
                  <c:v>258.27</c:v>
                </c:pt>
                <c:pt idx="626">
                  <c:v>256.44</c:v>
                </c:pt>
                <c:pt idx="627">
                  <c:v>258.27999999999997</c:v>
                </c:pt>
                <c:pt idx="628">
                  <c:v>259.48</c:v>
                </c:pt>
                <c:pt idx="629">
                  <c:v>270.01</c:v>
                </c:pt>
                <c:pt idx="630">
                  <c:v>269.48</c:v>
                </c:pt>
                <c:pt idx="631">
                  <c:v>276.49</c:v>
                </c:pt>
                <c:pt idx="632">
                  <c:v>275.91000000000003</c:v>
                </c:pt>
                <c:pt idx="633">
                  <c:v>278.12</c:v>
                </c:pt>
                <c:pt idx="634">
                  <c:v>274.62</c:v>
                </c:pt>
                <c:pt idx="635">
                  <c:v>273.68</c:v>
                </c:pt>
                <c:pt idx="636">
                  <c:v>275.5</c:v>
                </c:pt>
                <c:pt idx="637">
                  <c:v>261.73</c:v>
                </c:pt>
                <c:pt idx="638">
                  <c:v>255.78</c:v>
                </c:pt>
                <c:pt idx="639">
                  <c:v>263.88</c:v>
                </c:pt>
                <c:pt idx="640">
                  <c:v>264.35000000000002</c:v>
                </c:pt>
                <c:pt idx="641">
                  <c:v>260.58</c:v>
                </c:pt>
                <c:pt idx="642">
                  <c:v>264.58</c:v>
                </c:pt>
                <c:pt idx="643">
                  <c:v>266.18</c:v>
                </c:pt>
                <c:pt idx="644">
                  <c:v>272.14</c:v>
                </c:pt>
                <c:pt idx="645">
                  <c:v>274.23</c:v>
                </c:pt>
                <c:pt idx="646">
                  <c:v>272.95</c:v>
                </c:pt>
                <c:pt idx="647">
                  <c:v>264.18</c:v>
                </c:pt>
                <c:pt idx="648">
                  <c:v>264.72000000000003</c:v>
                </c:pt>
                <c:pt idx="649">
                  <c:v>263.75</c:v>
                </c:pt>
                <c:pt idx="650">
                  <c:v>262.52</c:v>
                </c:pt>
                <c:pt idx="651">
                  <c:v>260.29000000000002</c:v>
                </c:pt>
                <c:pt idx="652">
                  <c:v>257.45999999999998</c:v>
                </c:pt>
                <c:pt idx="653">
                  <c:v>259.88</c:v>
                </c:pt>
                <c:pt idx="654">
                  <c:v>260.83</c:v>
                </c:pt>
                <c:pt idx="655">
                  <c:v>260.81</c:v>
                </c:pt>
                <c:pt idx="656">
                  <c:v>255.76</c:v>
                </c:pt>
                <c:pt idx="657">
                  <c:v>250.12</c:v>
                </c:pt>
                <c:pt idx="658">
                  <c:v>252.82</c:v>
                </c:pt>
                <c:pt idx="659">
                  <c:v>254.23</c:v>
                </c:pt>
                <c:pt idx="660">
                  <c:v>249.94</c:v>
                </c:pt>
                <c:pt idx="661">
                  <c:v>248.96</c:v>
                </c:pt>
                <c:pt idx="662">
                  <c:v>247.99</c:v>
                </c:pt>
                <c:pt idx="663">
                  <c:v>251.49</c:v>
                </c:pt>
                <c:pt idx="664">
                  <c:v>251.64</c:v>
                </c:pt>
                <c:pt idx="665">
                  <c:v>252.62</c:v>
                </c:pt>
                <c:pt idx="666">
                  <c:v>252.89</c:v>
                </c:pt>
                <c:pt idx="667">
                  <c:v>248.8</c:v>
                </c:pt>
                <c:pt idx="668">
                  <c:v>246.63</c:v>
                </c:pt>
                <c:pt idx="669">
                  <c:v>253.79</c:v>
                </c:pt>
                <c:pt idx="670">
                  <c:v>255.63</c:v>
                </c:pt>
                <c:pt idx="671">
                  <c:v>255.92</c:v>
                </c:pt>
                <c:pt idx="672">
                  <c:v>258.86</c:v>
                </c:pt>
                <c:pt idx="673">
                  <c:v>253.5</c:v>
                </c:pt>
                <c:pt idx="674">
                  <c:v>258.89999999999998</c:v>
                </c:pt>
                <c:pt idx="675">
                  <c:v>260.49</c:v>
                </c:pt>
                <c:pt idx="676">
                  <c:v>260.48</c:v>
                </c:pt>
                <c:pt idx="677">
                  <c:v>259.2</c:v>
                </c:pt>
                <c:pt idx="678">
                  <c:v>258.83</c:v>
                </c:pt>
                <c:pt idx="679">
                  <c:v>266.43</c:v>
                </c:pt>
                <c:pt idx="680">
                  <c:v>263.39999999999998</c:v>
                </c:pt>
                <c:pt idx="681">
                  <c:v>270.23</c:v>
                </c:pt>
                <c:pt idx="682">
                  <c:v>273.05</c:v>
                </c:pt>
                <c:pt idx="683">
                  <c:v>266.17</c:v>
                </c:pt>
                <c:pt idx="684">
                  <c:v>273.17</c:v>
                </c:pt>
                <c:pt idx="685">
                  <c:v>273.43</c:v>
                </c:pt>
                <c:pt idx="686">
                  <c:v>271.06</c:v>
                </c:pt>
                <c:pt idx="687">
                  <c:v>267.61</c:v>
                </c:pt>
                <c:pt idx="688">
                  <c:v>270.70999999999998</c:v>
                </c:pt>
                <c:pt idx="689">
                  <c:v>270.17</c:v>
                </c:pt>
                <c:pt idx="690">
                  <c:v>271.35000000000002</c:v>
                </c:pt>
                <c:pt idx="691">
                  <c:v>280.14</c:v>
                </c:pt>
                <c:pt idx="692">
                  <c:v>276.83</c:v>
                </c:pt>
                <c:pt idx="693">
                  <c:v>284.18</c:v>
                </c:pt>
                <c:pt idx="694">
                  <c:v>287.51</c:v>
                </c:pt>
                <c:pt idx="695">
                  <c:v>287.44</c:v>
                </c:pt>
                <c:pt idx="696">
                  <c:v>293.32</c:v>
                </c:pt>
                <c:pt idx="697">
                  <c:v>292.68</c:v>
                </c:pt>
                <c:pt idx="698">
                  <c:v>294.8</c:v>
                </c:pt>
                <c:pt idx="699">
                  <c:v>298.87</c:v>
                </c:pt>
                <c:pt idx="700">
                  <c:v>298.20999999999998</c:v>
                </c:pt>
                <c:pt idx="701">
                  <c:v>300.23</c:v>
                </c:pt>
                <c:pt idx="702">
                  <c:v>297.83999999999997</c:v>
                </c:pt>
                <c:pt idx="703">
                  <c:v>298.97000000000003</c:v>
                </c:pt>
                <c:pt idx="704">
                  <c:v>302.25</c:v>
                </c:pt>
                <c:pt idx="705">
                  <c:v>304.99</c:v>
                </c:pt>
                <c:pt idx="706">
                  <c:v>308.82</c:v>
                </c:pt>
                <c:pt idx="707">
                  <c:v>308.33</c:v>
                </c:pt>
                <c:pt idx="708">
                  <c:v>310.85000000000002</c:v>
                </c:pt>
                <c:pt idx="709">
                  <c:v>312.51</c:v>
                </c:pt>
                <c:pt idx="710">
                  <c:v>312.06</c:v>
                </c:pt>
                <c:pt idx="711">
                  <c:v>306.31</c:v>
                </c:pt>
                <c:pt idx="712">
                  <c:v>315.2</c:v>
                </c:pt>
                <c:pt idx="713">
                  <c:v>310.26</c:v>
                </c:pt>
                <c:pt idx="714">
                  <c:v>311.23</c:v>
                </c:pt>
                <c:pt idx="715">
                  <c:v>307.33999999999997</c:v>
                </c:pt>
                <c:pt idx="716">
                  <c:v>301.54000000000002</c:v>
                </c:pt>
                <c:pt idx="717">
                  <c:v>290.55</c:v>
                </c:pt>
                <c:pt idx="718">
                  <c:v>291.58</c:v>
                </c:pt>
                <c:pt idx="719">
                  <c:v>295.63</c:v>
                </c:pt>
                <c:pt idx="720">
                  <c:v>291.13</c:v>
                </c:pt>
                <c:pt idx="721">
                  <c:v>296.42</c:v>
                </c:pt>
                <c:pt idx="722">
                  <c:v>299.24</c:v>
                </c:pt>
                <c:pt idx="723">
                  <c:v>295.95</c:v>
                </c:pt>
                <c:pt idx="724">
                  <c:v>298.01</c:v>
                </c:pt>
                <c:pt idx="725">
                  <c:v>297.01</c:v>
                </c:pt>
                <c:pt idx="726">
                  <c:v>294.3</c:v>
                </c:pt>
                <c:pt idx="727">
                  <c:v>293.08</c:v>
                </c:pt>
                <c:pt idx="728">
                  <c:v>275.14999999999998</c:v>
                </c:pt>
                <c:pt idx="729">
                  <c:v>283.77999999999997</c:v>
                </c:pt>
                <c:pt idx="730">
                  <c:v>281.74</c:v>
                </c:pt>
                <c:pt idx="731">
                  <c:v>289.36</c:v>
                </c:pt>
                <c:pt idx="732">
                  <c:v>294.38</c:v>
                </c:pt>
                <c:pt idx="733">
                  <c:v>308.63</c:v>
                </c:pt>
                <c:pt idx="734">
                  <c:v>312.66000000000003</c:v>
                </c:pt>
                <c:pt idx="735">
                  <c:v>310.66000000000003</c:v>
                </c:pt>
                <c:pt idx="736">
                  <c:v>313.39</c:v>
                </c:pt>
                <c:pt idx="737">
                  <c:v>316.22000000000003</c:v>
                </c:pt>
                <c:pt idx="738">
                  <c:v>315.32</c:v>
                </c:pt>
                <c:pt idx="739">
                  <c:v>317.31</c:v>
                </c:pt>
                <c:pt idx="740">
                  <c:v>314.86</c:v>
                </c:pt>
                <c:pt idx="741">
                  <c:v>327.5</c:v>
                </c:pt>
                <c:pt idx="742">
                  <c:v>333.26</c:v>
                </c:pt>
                <c:pt idx="743">
                  <c:v>333.74</c:v>
                </c:pt>
                <c:pt idx="744">
                  <c:v>326.58999999999997</c:v>
                </c:pt>
                <c:pt idx="745">
                  <c:v>327.74</c:v>
                </c:pt>
                <c:pt idx="746">
                  <c:v>325.89</c:v>
                </c:pt>
                <c:pt idx="747">
                  <c:v>321.66000000000003</c:v>
                </c:pt>
                <c:pt idx="748">
                  <c:v>333.02</c:v>
                </c:pt>
                <c:pt idx="749">
                  <c:v>336.91</c:v>
                </c:pt>
                <c:pt idx="750">
                  <c:v>340.08</c:v>
                </c:pt>
                <c:pt idx="751">
                  <c:v>338.19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7-46A6-AED4-930D3D8C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10647"/>
        <c:axId val="1896920279"/>
      </c:areaChart>
      <c:dateAx>
        <c:axId val="641110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896920279"/>
        <c:crosses val="autoZero"/>
        <c:auto val="1"/>
        <c:lblOffset val="100"/>
        <c:baseTimeUnit val="days"/>
      </c:dateAx>
      <c:valAx>
        <c:axId val="189692027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6411106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DBC!$F$27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DBC!$B$28:$B$1000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DBC!$F$28:$F$1000</c:f>
              <c:numCache>
                <c:formatCode>#,##0.00</c:formatCode>
                <c:ptCount val="973"/>
                <c:pt idx="0">
                  <c:v>22.64</c:v>
                </c:pt>
                <c:pt idx="1">
                  <c:v>22.45</c:v>
                </c:pt>
                <c:pt idx="2">
                  <c:v>22.09</c:v>
                </c:pt>
                <c:pt idx="3">
                  <c:v>22.01</c:v>
                </c:pt>
                <c:pt idx="4">
                  <c:v>21.82</c:v>
                </c:pt>
                <c:pt idx="5">
                  <c:v>21.77</c:v>
                </c:pt>
                <c:pt idx="6">
                  <c:v>21.84</c:v>
                </c:pt>
                <c:pt idx="7">
                  <c:v>21.84</c:v>
                </c:pt>
                <c:pt idx="8">
                  <c:v>21.87</c:v>
                </c:pt>
                <c:pt idx="9">
                  <c:v>21.78</c:v>
                </c:pt>
                <c:pt idx="10">
                  <c:v>21.75</c:v>
                </c:pt>
                <c:pt idx="11">
                  <c:v>21.84</c:v>
                </c:pt>
                <c:pt idx="12">
                  <c:v>21.77</c:v>
                </c:pt>
                <c:pt idx="13">
                  <c:v>21.79</c:v>
                </c:pt>
                <c:pt idx="14">
                  <c:v>21.62</c:v>
                </c:pt>
                <c:pt idx="15">
                  <c:v>21.86</c:v>
                </c:pt>
                <c:pt idx="16">
                  <c:v>21.99</c:v>
                </c:pt>
                <c:pt idx="17">
                  <c:v>22.08</c:v>
                </c:pt>
                <c:pt idx="18">
                  <c:v>22.19</c:v>
                </c:pt>
                <c:pt idx="19">
                  <c:v>22.02</c:v>
                </c:pt>
                <c:pt idx="20">
                  <c:v>22.04</c:v>
                </c:pt>
                <c:pt idx="21">
                  <c:v>22.18</c:v>
                </c:pt>
                <c:pt idx="22">
                  <c:v>22.21</c:v>
                </c:pt>
                <c:pt idx="23">
                  <c:v>22.57</c:v>
                </c:pt>
                <c:pt idx="24">
                  <c:v>22.37</c:v>
                </c:pt>
                <c:pt idx="25">
                  <c:v>22.21</c:v>
                </c:pt>
                <c:pt idx="26">
                  <c:v>22.03</c:v>
                </c:pt>
                <c:pt idx="27">
                  <c:v>22.18</c:v>
                </c:pt>
                <c:pt idx="28">
                  <c:v>22.24</c:v>
                </c:pt>
                <c:pt idx="29">
                  <c:v>22.39</c:v>
                </c:pt>
                <c:pt idx="30">
                  <c:v>22.22</c:v>
                </c:pt>
                <c:pt idx="31">
                  <c:v>22.35</c:v>
                </c:pt>
                <c:pt idx="32">
                  <c:v>22.55</c:v>
                </c:pt>
                <c:pt idx="33">
                  <c:v>22.78</c:v>
                </c:pt>
                <c:pt idx="34">
                  <c:v>22.54</c:v>
                </c:pt>
                <c:pt idx="35">
                  <c:v>22.44</c:v>
                </c:pt>
                <c:pt idx="36">
                  <c:v>22.26</c:v>
                </c:pt>
                <c:pt idx="37">
                  <c:v>22.26</c:v>
                </c:pt>
                <c:pt idx="38">
                  <c:v>22.49</c:v>
                </c:pt>
                <c:pt idx="39">
                  <c:v>22.64</c:v>
                </c:pt>
                <c:pt idx="40">
                  <c:v>22.8</c:v>
                </c:pt>
                <c:pt idx="41">
                  <c:v>22.81</c:v>
                </c:pt>
                <c:pt idx="42">
                  <c:v>22.62</c:v>
                </c:pt>
                <c:pt idx="43">
                  <c:v>22.53</c:v>
                </c:pt>
                <c:pt idx="44">
                  <c:v>22.49</c:v>
                </c:pt>
                <c:pt idx="45">
                  <c:v>22.34</c:v>
                </c:pt>
                <c:pt idx="46">
                  <c:v>22.41</c:v>
                </c:pt>
                <c:pt idx="47">
                  <c:v>22.64</c:v>
                </c:pt>
                <c:pt idx="48">
                  <c:v>22.73</c:v>
                </c:pt>
                <c:pt idx="49">
                  <c:v>22.76</c:v>
                </c:pt>
                <c:pt idx="50">
                  <c:v>22.55</c:v>
                </c:pt>
                <c:pt idx="51">
                  <c:v>22.07</c:v>
                </c:pt>
                <c:pt idx="52">
                  <c:v>22.35</c:v>
                </c:pt>
                <c:pt idx="53">
                  <c:v>22.1</c:v>
                </c:pt>
                <c:pt idx="54">
                  <c:v>22.18</c:v>
                </c:pt>
                <c:pt idx="55">
                  <c:v>22.14</c:v>
                </c:pt>
                <c:pt idx="56">
                  <c:v>22.12</c:v>
                </c:pt>
                <c:pt idx="57">
                  <c:v>22.34</c:v>
                </c:pt>
                <c:pt idx="58">
                  <c:v>22.11</c:v>
                </c:pt>
                <c:pt idx="59">
                  <c:v>22.46</c:v>
                </c:pt>
                <c:pt idx="60">
                  <c:v>22.84</c:v>
                </c:pt>
                <c:pt idx="61">
                  <c:v>22.85</c:v>
                </c:pt>
                <c:pt idx="62">
                  <c:v>22.8</c:v>
                </c:pt>
                <c:pt idx="63">
                  <c:v>22.59</c:v>
                </c:pt>
                <c:pt idx="64">
                  <c:v>22.71</c:v>
                </c:pt>
                <c:pt idx="65">
                  <c:v>22.72</c:v>
                </c:pt>
                <c:pt idx="66">
                  <c:v>22.88</c:v>
                </c:pt>
                <c:pt idx="67">
                  <c:v>23.05</c:v>
                </c:pt>
                <c:pt idx="68">
                  <c:v>22.89</c:v>
                </c:pt>
                <c:pt idx="69">
                  <c:v>22.82</c:v>
                </c:pt>
                <c:pt idx="70">
                  <c:v>22.85</c:v>
                </c:pt>
                <c:pt idx="71">
                  <c:v>22.9</c:v>
                </c:pt>
                <c:pt idx="72">
                  <c:v>23.15</c:v>
                </c:pt>
                <c:pt idx="73">
                  <c:v>23.3</c:v>
                </c:pt>
                <c:pt idx="74">
                  <c:v>23.04</c:v>
                </c:pt>
                <c:pt idx="75">
                  <c:v>22.92</c:v>
                </c:pt>
                <c:pt idx="76">
                  <c:v>22.97</c:v>
                </c:pt>
                <c:pt idx="77">
                  <c:v>22.94</c:v>
                </c:pt>
                <c:pt idx="78">
                  <c:v>23.13</c:v>
                </c:pt>
                <c:pt idx="79">
                  <c:v>22.9</c:v>
                </c:pt>
                <c:pt idx="80">
                  <c:v>22.68</c:v>
                </c:pt>
                <c:pt idx="81">
                  <c:v>22.53</c:v>
                </c:pt>
                <c:pt idx="82">
                  <c:v>22.64</c:v>
                </c:pt>
                <c:pt idx="83">
                  <c:v>22.52</c:v>
                </c:pt>
                <c:pt idx="84">
                  <c:v>22.76</c:v>
                </c:pt>
                <c:pt idx="85">
                  <c:v>23.06</c:v>
                </c:pt>
                <c:pt idx="86">
                  <c:v>23.12</c:v>
                </c:pt>
                <c:pt idx="87">
                  <c:v>23.02</c:v>
                </c:pt>
                <c:pt idx="88">
                  <c:v>23.13</c:v>
                </c:pt>
                <c:pt idx="89">
                  <c:v>23.19</c:v>
                </c:pt>
                <c:pt idx="90">
                  <c:v>23.33</c:v>
                </c:pt>
                <c:pt idx="91">
                  <c:v>23.04</c:v>
                </c:pt>
                <c:pt idx="92">
                  <c:v>22.99</c:v>
                </c:pt>
                <c:pt idx="93">
                  <c:v>23.13</c:v>
                </c:pt>
                <c:pt idx="94">
                  <c:v>23.11</c:v>
                </c:pt>
                <c:pt idx="95">
                  <c:v>22.92</c:v>
                </c:pt>
                <c:pt idx="96">
                  <c:v>22.81</c:v>
                </c:pt>
                <c:pt idx="97">
                  <c:v>22.58</c:v>
                </c:pt>
                <c:pt idx="98">
                  <c:v>22.85</c:v>
                </c:pt>
                <c:pt idx="99">
                  <c:v>22.69</c:v>
                </c:pt>
                <c:pt idx="100">
                  <c:v>22.85</c:v>
                </c:pt>
                <c:pt idx="101">
                  <c:v>22.39</c:v>
                </c:pt>
                <c:pt idx="102">
                  <c:v>22.64</c:v>
                </c:pt>
                <c:pt idx="103">
                  <c:v>22.63</c:v>
                </c:pt>
                <c:pt idx="104">
                  <c:v>22.7</c:v>
                </c:pt>
                <c:pt idx="105">
                  <c:v>22.49</c:v>
                </c:pt>
                <c:pt idx="106">
                  <c:v>22.64</c:v>
                </c:pt>
                <c:pt idx="107">
                  <c:v>22.36</c:v>
                </c:pt>
                <c:pt idx="108">
                  <c:v>22.39</c:v>
                </c:pt>
                <c:pt idx="109">
                  <c:v>22.81</c:v>
                </c:pt>
                <c:pt idx="110">
                  <c:v>22.8</c:v>
                </c:pt>
                <c:pt idx="111">
                  <c:v>22.59</c:v>
                </c:pt>
                <c:pt idx="112">
                  <c:v>22.88</c:v>
                </c:pt>
                <c:pt idx="113">
                  <c:v>22.9</c:v>
                </c:pt>
                <c:pt idx="114">
                  <c:v>23.19</c:v>
                </c:pt>
                <c:pt idx="115">
                  <c:v>23.37</c:v>
                </c:pt>
                <c:pt idx="116">
                  <c:v>23.39</c:v>
                </c:pt>
                <c:pt idx="117">
                  <c:v>23.2</c:v>
                </c:pt>
                <c:pt idx="118">
                  <c:v>23.16</c:v>
                </c:pt>
                <c:pt idx="119">
                  <c:v>23.48</c:v>
                </c:pt>
                <c:pt idx="120">
                  <c:v>23.75</c:v>
                </c:pt>
                <c:pt idx="121">
                  <c:v>23.74</c:v>
                </c:pt>
                <c:pt idx="122">
                  <c:v>24.18</c:v>
                </c:pt>
                <c:pt idx="123">
                  <c:v>24.29</c:v>
                </c:pt>
                <c:pt idx="124">
                  <c:v>24.62</c:v>
                </c:pt>
                <c:pt idx="125">
                  <c:v>24.94</c:v>
                </c:pt>
                <c:pt idx="126">
                  <c:v>25.3</c:v>
                </c:pt>
                <c:pt idx="127">
                  <c:v>24.43</c:v>
                </c:pt>
                <c:pt idx="128">
                  <c:v>23.54</c:v>
                </c:pt>
                <c:pt idx="129">
                  <c:v>24.15</c:v>
                </c:pt>
                <c:pt idx="130">
                  <c:v>24.19</c:v>
                </c:pt>
                <c:pt idx="131">
                  <c:v>23.76</c:v>
                </c:pt>
                <c:pt idx="132">
                  <c:v>24.01</c:v>
                </c:pt>
                <c:pt idx="133">
                  <c:v>24.25</c:v>
                </c:pt>
                <c:pt idx="134">
                  <c:v>24.14</c:v>
                </c:pt>
                <c:pt idx="135">
                  <c:v>24.37</c:v>
                </c:pt>
                <c:pt idx="136">
                  <c:v>23.8</c:v>
                </c:pt>
                <c:pt idx="137">
                  <c:v>23.88</c:v>
                </c:pt>
                <c:pt idx="138">
                  <c:v>23.59</c:v>
                </c:pt>
                <c:pt idx="139">
                  <c:v>24.21</c:v>
                </c:pt>
                <c:pt idx="140">
                  <c:v>24.43</c:v>
                </c:pt>
                <c:pt idx="141">
                  <c:v>24.6</c:v>
                </c:pt>
                <c:pt idx="142">
                  <c:v>24.75</c:v>
                </c:pt>
                <c:pt idx="143">
                  <c:v>24.72</c:v>
                </c:pt>
                <c:pt idx="144">
                  <c:v>24.75</c:v>
                </c:pt>
                <c:pt idx="145">
                  <c:v>24.76</c:v>
                </c:pt>
                <c:pt idx="146">
                  <c:v>25.1</c:v>
                </c:pt>
                <c:pt idx="147">
                  <c:v>25.81</c:v>
                </c:pt>
                <c:pt idx="148">
                  <c:v>25.91</c:v>
                </c:pt>
                <c:pt idx="149">
                  <c:v>26.14</c:v>
                </c:pt>
                <c:pt idx="150">
                  <c:v>26.52</c:v>
                </c:pt>
                <c:pt idx="151">
                  <c:v>27.51</c:v>
                </c:pt>
                <c:pt idx="152">
                  <c:v>27.14</c:v>
                </c:pt>
                <c:pt idx="153">
                  <c:v>27.6</c:v>
                </c:pt>
                <c:pt idx="154">
                  <c:v>28.13</c:v>
                </c:pt>
                <c:pt idx="155">
                  <c:v>28.86</c:v>
                </c:pt>
                <c:pt idx="156">
                  <c:v>28.71</c:v>
                </c:pt>
                <c:pt idx="157">
                  <c:v>28.31</c:v>
                </c:pt>
                <c:pt idx="158">
                  <c:v>28.76</c:v>
                </c:pt>
                <c:pt idx="159">
                  <c:v>29.27</c:v>
                </c:pt>
                <c:pt idx="160">
                  <c:v>28.84</c:v>
                </c:pt>
                <c:pt idx="161">
                  <c:v>28.94</c:v>
                </c:pt>
                <c:pt idx="162">
                  <c:v>27.75</c:v>
                </c:pt>
                <c:pt idx="163">
                  <c:v>28.24</c:v>
                </c:pt>
                <c:pt idx="164">
                  <c:v>28.17</c:v>
                </c:pt>
                <c:pt idx="165">
                  <c:v>28.44</c:v>
                </c:pt>
                <c:pt idx="166">
                  <c:v>29.1</c:v>
                </c:pt>
                <c:pt idx="167">
                  <c:v>29.26</c:v>
                </c:pt>
                <c:pt idx="168">
                  <c:v>28.95</c:v>
                </c:pt>
                <c:pt idx="169">
                  <c:v>28.68</c:v>
                </c:pt>
                <c:pt idx="170">
                  <c:v>29.33</c:v>
                </c:pt>
                <c:pt idx="171">
                  <c:v>29.48</c:v>
                </c:pt>
                <c:pt idx="172">
                  <c:v>29.37</c:v>
                </c:pt>
                <c:pt idx="173">
                  <c:v>28.56</c:v>
                </c:pt>
                <c:pt idx="174">
                  <c:v>28.71</c:v>
                </c:pt>
                <c:pt idx="175">
                  <c:v>28.5</c:v>
                </c:pt>
                <c:pt idx="176">
                  <c:v>28.96</c:v>
                </c:pt>
                <c:pt idx="177">
                  <c:v>28.84</c:v>
                </c:pt>
                <c:pt idx="178">
                  <c:v>28.89</c:v>
                </c:pt>
                <c:pt idx="179">
                  <c:v>29.11</c:v>
                </c:pt>
                <c:pt idx="180">
                  <c:v>28.29</c:v>
                </c:pt>
                <c:pt idx="181">
                  <c:v>28.67</c:v>
                </c:pt>
                <c:pt idx="182">
                  <c:v>29.21</c:v>
                </c:pt>
                <c:pt idx="183">
                  <c:v>29.51</c:v>
                </c:pt>
                <c:pt idx="184">
                  <c:v>29.89</c:v>
                </c:pt>
                <c:pt idx="185">
                  <c:v>29.86</c:v>
                </c:pt>
                <c:pt idx="186">
                  <c:v>30.09</c:v>
                </c:pt>
                <c:pt idx="187">
                  <c:v>30.34</c:v>
                </c:pt>
                <c:pt idx="188">
                  <c:v>31.08</c:v>
                </c:pt>
                <c:pt idx="189">
                  <c:v>31.1</c:v>
                </c:pt>
                <c:pt idx="190">
                  <c:v>30.81</c:v>
                </c:pt>
                <c:pt idx="191">
                  <c:v>31.33</c:v>
                </c:pt>
                <c:pt idx="192">
                  <c:v>31.2</c:v>
                </c:pt>
                <c:pt idx="193">
                  <c:v>30.21</c:v>
                </c:pt>
                <c:pt idx="194">
                  <c:v>30.25</c:v>
                </c:pt>
                <c:pt idx="195">
                  <c:v>30.3</c:v>
                </c:pt>
                <c:pt idx="196">
                  <c:v>31.06</c:v>
                </c:pt>
                <c:pt idx="197">
                  <c:v>31.69</c:v>
                </c:pt>
                <c:pt idx="198">
                  <c:v>31.37</c:v>
                </c:pt>
                <c:pt idx="199">
                  <c:v>31.15</c:v>
                </c:pt>
                <c:pt idx="200">
                  <c:v>31.19</c:v>
                </c:pt>
                <c:pt idx="201">
                  <c:v>31.38</c:v>
                </c:pt>
                <c:pt idx="202">
                  <c:v>31.61</c:v>
                </c:pt>
                <c:pt idx="203">
                  <c:v>30.88</c:v>
                </c:pt>
                <c:pt idx="204">
                  <c:v>30.7</c:v>
                </c:pt>
                <c:pt idx="205">
                  <c:v>30.54</c:v>
                </c:pt>
                <c:pt idx="206">
                  <c:v>30.03</c:v>
                </c:pt>
                <c:pt idx="207">
                  <c:v>29.49</c:v>
                </c:pt>
                <c:pt idx="208">
                  <c:v>29.72</c:v>
                </c:pt>
                <c:pt idx="209">
                  <c:v>29.48</c:v>
                </c:pt>
                <c:pt idx="210">
                  <c:v>29.99</c:v>
                </c:pt>
                <c:pt idx="211">
                  <c:v>30.12</c:v>
                </c:pt>
                <c:pt idx="212">
                  <c:v>30.29</c:v>
                </c:pt>
                <c:pt idx="213">
                  <c:v>29.88</c:v>
                </c:pt>
                <c:pt idx="214">
                  <c:v>29.23</c:v>
                </c:pt>
                <c:pt idx="215">
                  <c:v>29.47</c:v>
                </c:pt>
                <c:pt idx="216">
                  <c:v>29.07</c:v>
                </c:pt>
                <c:pt idx="217">
                  <c:v>29.17</c:v>
                </c:pt>
                <c:pt idx="218">
                  <c:v>28.85</c:v>
                </c:pt>
                <c:pt idx="219">
                  <c:v>28.55</c:v>
                </c:pt>
                <c:pt idx="220">
                  <c:v>28.22</c:v>
                </c:pt>
                <c:pt idx="221">
                  <c:v>27.9</c:v>
                </c:pt>
                <c:pt idx="222">
                  <c:v>27.71</c:v>
                </c:pt>
                <c:pt idx="223">
                  <c:v>27.63</c:v>
                </c:pt>
                <c:pt idx="224">
                  <c:v>27.41</c:v>
                </c:pt>
                <c:pt idx="225">
                  <c:v>27.12</c:v>
                </c:pt>
                <c:pt idx="226">
                  <c:v>26.45</c:v>
                </c:pt>
                <c:pt idx="227">
                  <c:v>26.93</c:v>
                </c:pt>
                <c:pt idx="228">
                  <c:v>26.57</c:v>
                </c:pt>
                <c:pt idx="229">
                  <c:v>26.56</c:v>
                </c:pt>
                <c:pt idx="230">
                  <c:v>26.66</c:v>
                </c:pt>
                <c:pt idx="231">
                  <c:v>26.45</c:v>
                </c:pt>
                <c:pt idx="232">
                  <c:v>26.57</c:v>
                </c:pt>
                <c:pt idx="233">
                  <c:v>27</c:v>
                </c:pt>
                <c:pt idx="234">
                  <c:v>27.35</c:v>
                </c:pt>
                <c:pt idx="235">
                  <c:v>27.8</c:v>
                </c:pt>
                <c:pt idx="236">
                  <c:v>27.58</c:v>
                </c:pt>
                <c:pt idx="237">
                  <c:v>27.52</c:v>
                </c:pt>
                <c:pt idx="238">
                  <c:v>28.33</c:v>
                </c:pt>
                <c:pt idx="239">
                  <c:v>28.63</c:v>
                </c:pt>
                <c:pt idx="240">
                  <c:v>28.79</c:v>
                </c:pt>
                <c:pt idx="241">
                  <c:v>28.46</c:v>
                </c:pt>
                <c:pt idx="242">
                  <c:v>28.98</c:v>
                </c:pt>
                <c:pt idx="243">
                  <c:v>29.14</c:v>
                </c:pt>
                <c:pt idx="244">
                  <c:v>29.57</c:v>
                </c:pt>
                <c:pt idx="245">
                  <c:v>29.86</c:v>
                </c:pt>
                <c:pt idx="246">
                  <c:v>30.31</c:v>
                </c:pt>
                <c:pt idx="247">
                  <c:v>30.1</c:v>
                </c:pt>
                <c:pt idx="248">
                  <c:v>29.01</c:v>
                </c:pt>
                <c:pt idx="249">
                  <c:v>28.6</c:v>
                </c:pt>
                <c:pt idx="250">
                  <c:v>29.42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3-4C5E-A054-98A31A804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01682"/>
        <c:axId val="1100594984"/>
      </c:areaChart>
      <c:dateAx>
        <c:axId val="887601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100594984"/>
        <c:crosses val="autoZero"/>
        <c:auto val="1"/>
        <c:lblOffset val="100"/>
        <c:baseTimeUnit val="days"/>
      </c:dateAx>
      <c:valAx>
        <c:axId val="110059498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88760168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BND!$F$27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BND!$B$28:$B$1000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45989.545138888803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46015.545138888803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BND!$F$28:$F$1000</c:f>
              <c:numCache>
                <c:formatCode>#,##0.00</c:formatCode>
                <c:ptCount val="973"/>
                <c:pt idx="0">
                  <c:v>73.19</c:v>
                </c:pt>
                <c:pt idx="1">
                  <c:v>73.2</c:v>
                </c:pt>
                <c:pt idx="2">
                  <c:v>73.59</c:v>
                </c:pt>
                <c:pt idx="3">
                  <c:v>73.64</c:v>
                </c:pt>
                <c:pt idx="4">
                  <c:v>73.67</c:v>
                </c:pt>
                <c:pt idx="5">
                  <c:v>73.61</c:v>
                </c:pt>
                <c:pt idx="6">
                  <c:v>73.58</c:v>
                </c:pt>
                <c:pt idx="7">
                  <c:v>73.42</c:v>
                </c:pt>
                <c:pt idx="8">
                  <c:v>73.47</c:v>
                </c:pt>
                <c:pt idx="9">
                  <c:v>73.48</c:v>
                </c:pt>
                <c:pt idx="10">
                  <c:v>73.75</c:v>
                </c:pt>
                <c:pt idx="11">
                  <c:v>73.540000000000006</c:v>
                </c:pt>
                <c:pt idx="12">
                  <c:v>73.44</c:v>
                </c:pt>
                <c:pt idx="13">
                  <c:v>73.36</c:v>
                </c:pt>
                <c:pt idx="14">
                  <c:v>73.5</c:v>
                </c:pt>
                <c:pt idx="15">
                  <c:v>73.55</c:v>
                </c:pt>
                <c:pt idx="16">
                  <c:v>73.37</c:v>
                </c:pt>
                <c:pt idx="17">
                  <c:v>73.739999999999995</c:v>
                </c:pt>
                <c:pt idx="18">
                  <c:v>73.64</c:v>
                </c:pt>
                <c:pt idx="19">
                  <c:v>73.73</c:v>
                </c:pt>
                <c:pt idx="20">
                  <c:v>73.8</c:v>
                </c:pt>
                <c:pt idx="21">
                  <c:v>73.89</c:v>
                </c:pt>
                <c:pt idx="22">
                  <c:v>73.8</c:v>
                </c:pt>
                <c:pt idx="23">
                  <c:v>73.400000000000006</c:v>
                </c:pt>
                <c:pt idx="24">
                  <c:v>73.64</c:v>
                </c:pt>
                <c:pt idx="25">
                  <c:v>73.92</c:v>
                </c:pt>
                <c:pt idx="26">
                  <c:v>74.27</c:v>
                </c:pt>
                <c:pt idx="27">
                  <c:v>74.510000000000005</c:v>
                </c:pt>
                <c:pt idx="28">
                  <c:v>74.37</c:v>
                </c:pt>
                <c:pt idx="29">
                  <c:v>74.5</c:v>
                </c:pt>
                <c:pt idx="30">
                  <c:v>74.66</c:v>
                </c:pt>
                <c:pt idx="31">
                  <c:v>74.569999999999993</c:v>
                </c:pt>
                <c:pt idx="32">
                  <c:v>74.709999999999994</c:v>
                </c:pt>
                <c:pt idx="33">
                  <c:v>74.72</c:v>
                </c:pt>
                <c:pt idx="34">
                  <c:v>74.59</c:v>
                </c:pt>
                <c:pt idx="35">
                  <c:v>74.400000000000006</c:v>
                </c:pt>
                <c:pt idx="36">
                  <c:v>74.430000000000007</c:v>
                </c:pt>
                <c:pt idx="37">
                  <c:v>74.290000000000006</c:v>
                </c:pt>
                <c:pt idx="38">
                  <c:v>74.44</c:v>
                </c:pt>
                <c:pt idx="39">
                  <c:v>74.290000000000006</c:v>
                </c:pt>
                <c:pt idx="40">
                  <c:v>74.209999999999994</c:v>
                </c:pt>
                <c:pt idx="41">
                  <c:v>74.209999999999994</c:v>
                </c:pt>
                <c:pt idx="42">
                  <c:v>74.400000000000006</c:v>
                </c:pt>
                <c:pt idx="43">
                  <c:v>74.37</c:v>
                </c:pt>
                <c:pt idx="44">
                  <c:v>74.319999999999993</c:v>
                </c:pt>
                <c:pt idx="45">
                  <c:v>74.400000000000006</c:v>
                </c:pt>
                <c:pt idx="46">
                  <c:v>74.31</c:v>
                </c:pt>
                <c:pt idx="47">
                  <c:v>74.14</c:v>
                </c:pt>
                <c:pt idx="48">
                  <c:v>74.28</c:v>
                </c:pt>
                <c:pt idx="49">
                  <c:v>74.28</c:v>
                </c:pt>
                <c:pt idx="50">
                  <c:v>74.23</c:v>
                </c:pt>
                <c:pt idx="51">
                  <c:v>74.52</c:v>
                </c:pt>
                <c:pt idx="52">
                  <c:v>74.64</c:v>
                </c:pt>
                <c:pt idx="53">
                  <c:v>74.75</c:v>
                </c:pt>
                <c:pt idx="54">
                  <c:v>74.7</c:v>
                </c:pt>
                <c:pt idx="55">
                  <c:v>74.98</c:v>
                </c:pt>
                <c:pt idx="56">
                  <c:v>74.88</c:v>
                </c:pt>
                <c:pt idx="57">
                  <c:v>74.98</c:v>
                </c:pt>
                <c:pt idx="58">
                  <c:v>75.069999999999993</c:v>
                </c:pt>
                <c:pt idx="59">
                  <c:v>75.069999999999993</c:v>
                </c:pt>
                <c:pt idx="60">
                  <c:v>74.92</c:v>
                </c:pt>
                <c:pt idx="61">
                  <c:v>75.02</c:v>
                </c:pt>
                <c:pt idx="62">
                  <c:v>75.06</c:v>
                </c:pt>
                <c:pt idx="63">
                  <c:v>75.099999999999994</c:v>
                </c:pt>
                <c:pt idx="64">
                  <c:v>74.73</c:v>
                </c:pt>
                <c:pt idx="65">
                  <c:v>74.599999999999994</c:v>
                </c:pt>
                <c:pt idx="66">
                  <c:v>74.58</c:v>
                </c:pt>
                <c:pt idx="67">
                  <c:v>74.25</c:v>
                </c:pt>
                <c:pt idx="68">
                  <c:v>74.290000000000006</c:v>
                </c:pt>
                <c:pt idx="69">
                  <c:v>74.08</c:v>
                </c:pt>
                <c:pt idx="70">
                  <c:v>74.37</c:v>
                </c:pt>
                <c:pt idx="71">
                  <c:v>74.33</c:v>
                </c:pt>
                <c:pt idx="72">
                  <c:v>74.31</c:v>
                </c:pt>
                <c:pt idx="73">
                  <c:v>74.52</c:v>
                </c:pt>
                <c:pt idx="74">
                  <c:v>74.489999999999995</c:v>
                </c:pt>
                <c:pt idx="75">
                  <c:v>74.27</c:v>
                </c:pt>
                <c:pt idx="76">
                  <c:v>74.16</c:v>
                </c:pt>
                <c:pt idx="77">
                  <c:v>74.2</c:v>
                </c:pt>
                <c:pt idx="78">
                  <c:v>74.260000000000005</c:v>
                </c:pt>
                <c:pt idx="79">
                  <c:v>74.23</c:v>
                </c:pt>
                <c:pt idx="80">
                  <c:v>74.34</c:v>
                </c:pt>
                <c:pt idx="81">
                  <c:v>74.52</c:v>
                </c:pt>
                <c:pt idx="82">
                  <c:v>74.650000000000006</c:v>
                </c:pt>
                <c:pt idx="83">
                  <c:v>74.819999999999993</c:v>
                </c:pt>
                <c:pt idx="84">
                  <c:v>74.900000000000006</c:v>
                </c:pt>
                <c:pt idx="85">
                  <c:v>74.78</c:v>
                </c:pt>
                <c:pt idx="86">
                  <c:v>74.25</c:v>
                </c:pt>
                <c:pt idx="87">
                  <c:v>74.319999999999993</c:v>
                </c:pt>
                <c:pt idx="88">
                  <c:v>74.430000000000007</c:v>
                </c:pt>
                <c:pt idx="89">
                  <c:v>74.290000000000006</c:v>
                </c:pt>
                <c:pt idx="90">
                  <c:v>74.2</c:v>
                </c:pt>
                <c:pt idx="91">
                  <c:v>74.09</c:v>
                </c:pt>
                <c:pt idx="92">
                  <c:v>74.040000000000006</c:v>
                </c:pt>
                <c:pt idx="93">
                  <c:v>74.260000000000005</c:v>
                </c:pt>
                <c:pt idx="94">
                  <c:v>74.260000000000005</c:v>
                </c:pt>
                <c:pt idx="95">
                  <c:v>74.03</c:v>
                </c:pt>
                <c:pt idx="96">
                  <c:v>74.12</c:v>
                </c:pt>
                <c:pt idx="97">
                  <c:v>74.260000000000005</c:v>
                </c:pt>
                <c:pt idx="98">
                  <c:v>74.239999999999995</c:v>
                </c:pt>
                <c:pt idx="99">
                  <c:v>74.150000000000006</c:v>
                </c:pt>
                <c:pt idx="100">
                  <c:v>74.040000000000006</c:v>
                </c:pt>
                <c:pt idx="101">
                  <c:v>74.02</c:v>
                </c:pt>
                <c:pt idx="102">
                  <c:v>74.010000000000005</c:v>
                </c:pt>
                <c:pt idx="103">
                  <c:v>74.19</c:v>
                </c:pt>
                <c:pt idx="104">
                  <c:v>74.19</c:v>
                </c:pt>
                <c:pt idx="105">
                  <c:v>74.3</c:v>
                </c:pt>
                <c:pt idx="106">
                  <c:v>74.27</c:v>
                </c:pt>
                <c:pt idx="107">
                  <c:v>74.069999999999993</c:v>
                </c:pt>
                <c:pt idx="108">
                  <c:v>74.040000000000006</c:v>
                </c:pt>
                <c:pt idx="109">
                  <c:v>74.180000000000007</c:v>
                </c:pt>
                <c:pt idx="110">
                  <c:v>74.180000000000007</c:v>
                </c:pt>
                <c:pt idx="111">
                  <c:v>74.260000000000005</c:v>
                </c:pt>
                <c:pt idx="112">
                  <c:v>74.13</c:v>
                </c:pt>
                <c:pt idx="113">
                  <c:v>74.290000000000006</c:v>
                </c:pt>
                <c:pt idx="114">
                  <c:v>74.22</c:v>
                </c:pt>
                <c:pt idx="115">
                  <c:v>74.28</c:v>
                </c:pt>
                <c:pt idx="116">
                  <c:v>74.430000000000007</c:v>
                </c:pt>
                <c:pt idx="117">
                  <c:v>74.319999999999993</c:v>
                </c:pt>
                <c:pt idx="118">
                  <c:v>74.2</c:v>
                </c:pt>
                <c:pt idx="119">
                  <c:v>73.930000000000007</c:v>
                </c:pt>
                <c:pt idx="120">
                  <c:v>74.14</c:v>
                </c:pt>
                <c:pt idx="121">
                  <c:v>74.17</c:v>
                </c:pt>
                <c:pt idx="122">
                  <c:v>74.25</c:v>
                </c:pt>
                <c:pt idx="123">
                  <c:v>74.34</c:v>
                </c:pt>
                <c:pt idx="124">
                  <c:v>74.28</c:v>
                </c:pt>
                <c:pt idx="125">
                  <c:v>74.25</c:v>
                </c:pt>
                <c:pt idx="126">
                  <c:v>74.260000000000005</c:v>
                </c:pt>
                <c:pt idx="127">
                  <c:v>74.23</c:v>
                </c:pt>
                <c:pt idx="128">
                  <c:v>73.91</c:v>
                </c:pt>
                <c:pt idx="129">
                  <c:v>73.930000000000007</c:v>
                </c:pt>
                <c:pt idx="130">
                  <c:v>73.900000000000006</c:v>
                </c:pt>
                <c:pt idx="131">
                  <c:v>74.22</c:v>
                </c:pt>
                <c:pt idx="132">
                  <c:v>74.23</c:v>
                </c:pt>
                <c:pt idx="133">
                  <c:v>74.25</c:v>
                </c:pt>
                <c:pt idx="134">
                  <c:v>74.47</c:v>
                </c:pt>
                <c:pt idx="135">
                  <c:v>74.319999999999993</c:v>
                </c:pt>
                <c:pt idx="136">
                  <c:v>74.66</c:v>
                </c:pt>
                <c:pt idx="137">
                  <c:v>74.88</c:v>
                </c:pt>
                <c:pt idx="138">
                  <c:v>74.87</c:v>
                </c:pt>
                <c:pt idx="139">
                  <c:v>74.790000000000006</c:v>
                </c:pt>
                <c:pt idx="140">
                  <c:v>74.819999999999993</c:v>
                </c:pt>
                <c:pt idx="141">
                  <c:v>74.81</c:v>
                </c:pt>
                <c:pt idx="142">
                  <c:v>74.97</c:v>
                </c:pt>
                <c:pt idx="143">
                  <c:v>74.930000000000007</c:v>
                </c:pt>
                <c:pt idx="144">
                  <c:v>74.91</c:v>
                </c:pt>
                <c:pt idx="145">
                  <c:v>75.02</c:v>
                </c:pt>
                <c:pt idx="146">
                  <c:v>75.17</c:v>
                </c:pt>
                <c:pt idx="147">
                  <c:v>74.64</c:v>
                </c:pt>
                <c:pt idx="148">
                  <c:v>74.56</c:v>
                </c:pt>
                <c:pt idx="149">
                  <c:v>74.510000000000005</c:v>
                </c:pt>
                <c:pt idx="150">
                  <c:v>74.34</c:v>
                </c:pt>
                <c:pt idx="151">
                  <c:v>74.239999999999995</c:v>
                </c:pt>
                <c:pt idx="152">
                  <c:v>74.45</c:v>
                </c:pt>
                <c:pt idx="153">
                  <c:v>74.22</c:v>
                </c:pt>
                <c:pt idx="154">
                  <c:v>73.89</c:v>
                </c:pt>
                <c:pt idx="155">
                  <c:v>73.62</c:v>
                </c:pt>
                <c:pt idx="156">
                  <c:v>73.55</c:v>
                </c:pt>
                <c:pt idx="157">
                  <c:v>73.83</c:v>
                </c:pt>
                <c:pt idx="158">
                  <c:v>73.98</c:v>
                </c:pt>
                <c:pt idx="159">
                  <c:v>73.680000000000007</c:v>
                </c:pt>
                <c:pt idx="160">
                  <c:v>73.760000000000005</c:v>
                </c:pt>
                <c:pt idx="161">
                  <c:v>73.17</c:v>
                </c:pt>
                <c:pt idx="162">
                  <c:v>73.45</c:v>
                </c:pt>
                <c:pt idx="163">
                  <c:v>73.260000000000005</c:v>
                </c:pt>
                <c:pt idx="164">
                  <c:v>73.540000000000006</c:v>
                </c:pt>
                <c:pt idx="165">
                  <c:v>73.11</c:v>
                </c:pt>
                <c:pt idx="166">
                  <c:v>73.11</c:v>
                </c:pt>
                <c:pt idx="167">
                  <c:v>73.48</c:v>
                </c:pt>
                <c:pt idx="168">
                  <c:v>73.64</c:v>
                </c:pt>
                <c:pt idx="169">
                  <c:v>73.42</c:v>
                </c:pt>
                <c:pt idx="170">
                  <c:v>73.58</c:v>
                </c:pt>
                <c:pt idx="171">
                  <c:v>73.47</c:v>
                </c:pt>
                <c:pt idx="172">
                  <c:v>73.58</c:v>
                </c:pt>
                <c:pt idx="173">
                  <c:v>73.72</c:v>
                </c:pt>
                <c:pt idx="174">
                  <c:v>73.75</c:v>
                </c:pt>
                <c:pt idx="175">
                  <c:v>73.64</c:v>
                </c:pt>
                <c:pt idx="176">
                  <c:v>73.8</c:v>
                </c:pt>
                <c:pt idx="177">
                  <c:v>73.98</c:v>
                </c:pt>
                <c:pt idx="178">
                  <c:v>73.88</c:v>
                </c:pt>
                <c:pt idx="179">
                  <c:v>73.77</c:v>
                </c:pt>
                <c:pt idx="180">
                  <c:v>74.06</c:v>
                </c:pt>
                <c:pt idx="181">
                  <c:v>74.010000000000005</c:v>
                </c:pt>
                <c:pt idx="182">
                  <c:v>73.78</c:v>
                </c:pt>
                <c:pt idx="183">
                  <c:v>73.86</c:v>
                </c:pt>
                <c:pt idx="184">
                  <c:v>73.73</c:v>
                </c:pt>
                <c:pt idx="185">
                  <c:v>73.86</c:v>
                </c:pt>
                <c:pt idx="186">
                  <c:v>73.739999999999995</c:v>
                </c:pt>
                <c:pt idx="187">
                  <c:v>73.72</c:v>
                </c:pt>
                <c:pt idx="188">
                  <c:v>73.39</c:v>
                </c:pt>
                <c:pt idx="189">
                  <c:v>73.5</c:v>
                </c:pt>
                <c:pt idx="190">
                  <c:v>73.36</c:v>
                </c:pt>
                <c:pt idx="191">
                  <c:v>73.11</c:v>
                </c:pt>
                <c:pt idx="192">
                  <c:v>73.239999999999995</c:v>
                </c:pt>
                <c:pt idx="193">
                  <c:v>73.55</c:v>
                </c:pt>
                <c:pt idx="194">
                  <c:v>73.36</c:v>
                </c:pt>
                <c:pt idx="195">
                  <c:v>73.55</c:v>
                </c:pt>
                <c:pt idx="196">
                  <c:v>73.37</c:v>
                </c:pt>
                <c:pt idx="197">
                  <c:v>73.150000000000006</c:v>
                </c:pt>
                <c:pt idx="198">
                  <c:v>73.180000000000007</c:v>
                </c:pt>
                <c:pt idx="199">
                  <c:v>73.16</c:v>
                </c:pt>
                <c:pt idx="200">
                  <c:v>72.739999999999995</c:v>
                </c:pt>
                <c:pt idx="201">
                  <c:v>72.69</c:v>
                </c:pt>
                <c:pt idx="202">
                  <c:v>72.45</c:v>
                </c:pt>
                <c:pt idx="203">
                  <c:v>72.849999999999994</c:v>
                </c:pt>
                <c:pt idx="204">
                  <c:v>72.930000000000007</c:v>
                </c:pt>
                <c:pt idx="205">
                  <c:v>73</c:v>
                </c:pt>
                <c:pt idx="206">
                  <c:v>73.209999999999994</c:v>
                </c:pt>
                <c:pt idx="207">
                  <c:v>73.28</c:v>
                </c:pt>
                <c:pt idx="208">
                  <c:v>73.42</c:v>
                </c:pt>
                <c:pt idx="209">
                  <c:v>73.459999999999994</c:v>
                </c:pt>
                <c:pt idx="210">
                  <c:v>73.180000000000007</c:v>
                </c:pt>
                <c:pt idx="211">
                  <c:v>73.2</c:v>
                </c:pt>
                <c:pt idx="212">
                  <c:v>73.06</c:v>
                </c:pt>
                <c:pt idx="213">
                  <c:v>73.16</c:v>
                </c:pt>
                <c:pt idx="214">
                  <c:v>72.83</c:v>
                </c:pt>
                <c:pt idx="215">
                  <c:v>72.81</c:v>
                </c:pt>
                <c:pt idx="216">
                  <c:v>72.97</c:v>
                </c:pt>
                <c:pt idx="217">
                  <c:v>72.91</c:v>
                </c:pt>
                <c:pt idx="218">
                  <c:v>73.33</c:v>
                </c:pt>
                <c:pt idx="219">
                  <c:v>73.239999999999995</c:v>
                </c:pt>
                <c:pt idx="220">
                  <c:v>73.3</c:v>
                </c:pt>
                <c:pt idx="221">
                  <c:v>73.41</c:v>
                </c:pt>
                <c:pt idx="222">
                  <c:v>73.14</c:v>
                </c:pt>
                <c:pt idx="223">
                  <c:v>73.34</c:v>
                </c:pt>
                <c:pt idx="224">
                  <c:v>73.14</c:v>
                </c:pt>
                <c:pt idx="225">
                  <c:v>73.22</c:v>
                </c:pt>
                <c:pt idx="226">
                  <c:v>73.55</c:v>
                </c:pt>
                <c:pt idx="227">
                  <c:v>73.599999999999994</c:v>
                </c:pt>
                <c:pt idx="228">
                  <c:v>73.67</c:v>
                </c:pt>
                <c:pt idx="229">
                  <c:v>73.709999999999994</c:v>
                </c:pt>
                <c:pt idx="230">
                  <c:v>73.41</c:v>
                </c:pt>
                <c:pt idx="231">
                  <c:v>73.06</c:v>
                </c:pt>
                <c:pt idx="232">
                  <c:v>73.11</c:v>
                </c:pt>
                <c:pt idx="233">
                  <c:v>73.14</c:v>
                </c:pt>
                <c:pt idx="234">
                  <c:v>72.849999999999994</c:v>
                </c:pt>
                <c:pt idx="235">
                  <c:v>72.7</c:v>
                </c:pt>
                <c:pt idx="236">
                  <c:v>72.83</c:v>
                </c:pt>
                <c:pt idx="237">
                  <c:v>72.77</c:v>
                </c:pt>
                <c:pt idx="238">
                  <c:v>72.5</c:v>
                </c:pt>
                <c:pt idx="239">
                  <c:v>72.7</c:v>
                </c:pt>
                <c:pt idx="240">
                  <c:v>72.819999999999993</c:v>
                </c:pt>
                <c:pt idx="241">
                  <c:v>72.81</c:v>
                </c:pt>
                <c:pt idx="242">
                  <c:v>72.86</c:v>
                </c:pt>
                <c:pt idx="243">
                  <c:v>72.680000000000007</c:v>
                </c:pt>
                <c:pt idx="244">
                  <c:v>72.52</c:v>
                </c:pt>
                <c:pt idx="245">
                  <c:v>72.400000000000006</c:v>
                </c:pt>
                <c:pt idx="246">
                  <c:v>72.25</c:v>
                </c:pt>
                <c:pt idx="247">
                  <c:v>72.31</c:v>
                </c:pt>
                <c:pt idx="248">
                  <c:v>72.459999999999994</c:v>
                </c:pt>
                <c:pt idx="249">
                  <c:v>72.64</c:v>
                </c:pt>
                <c:pt idx="250">
                  <c:v>72.38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5-4FD4-B510-F901B7D3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007410"/>
        <c:axId val="1617785591"/>
      </c:areaChart>
      <c:dateAx>
        <c:axId val="1834007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617785591"/>
        <c:crosses val="autoZero"/>
        <c:auto val="1"/>
        <c:lblOffset val="100"/>
        <c:baseTimeUnit val="days"/>
      </c:dateAx>
      <c:valAx>
        <c:axId val="1617785591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8340074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VWO!$F$27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VWO!$B$28:$B$1000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VWO!$F$28:$F$1000</c:f>
              <c:numCache>
                <c:formatCode>#,##0.00</c:formatCode>
                <c:ptCount val="973"/>
                <c:pt idx="0">
                  <c:v>50.06</c:v>
                </c:pt>
                <c:pt idx="1">
                  <c:v>49.8</c:v>
                </c:pt>
                <c:pt idx="2">
                  <c:v>49.54</c:v>
                </c:pt>
                <c:pt idx="3">
                  <c:v>50</c:v>
                </c:pt>
                <c:pt idx="4">
                  <c:v>50.16</c:v>
                </c:pt>
                <c:pt idx="5">
                  <c:v>50.38</c:v>
                </c:pt>
                <c:pt idx="6">
                  <c:v>50.75</c:v>
                </c:pt>
                <c:pt idx="7">
                  <c:v>50.69</c:v>
                </c:pt>
                <c:pt idx="8">
                  <c:v>50.63</c:v>
                </c:pt>
                <c:pt idx="9">
                  <c:v>51.21</c:v>
                </c:pt>
                <c:pt idx="10">
                  <c:v>51.79</c:v>
                </c:pt>
                <c:pt idx="11">
                  <c:v>51.21</c:v>
                </c:pt>
                <c:pt idx="12">
                  <c:v>51.36</c:v>
                </c:pt>
                <c:pt idx="13">
                  <c:v>51.75</c:v>
                </c:pt>
                <c:pt idx="14">
                  <c:v>51.38</c:v>
                </c:pt>
                <c:pt idx="15">
                  <c:v>51.36</c:v>
                </c:pt>
                <c:pt idx="16">
                  <c:v>51.27</c:v>
                </c:pt>
                <c:pt idx="17">
                  <c:v>52.17</c:v>
                </c:pt>
                <c:pt idx="18">
                  <c:v>51.95</c:v>
                </c:pt>
                <c:pt idx="19">
                  <c:v>51.84</c:v>
                </c:pt>
                <c:pt idx="20">
                  <c:v>51.49</c:v>
                </c:pt>
                <c:pt idx="21">
                  <c:v>51.68</c:v>
                </c:pt>
                <c:pt idx="22">
                  <c:v>51.53</c:v>
                </c:pt>
                <c:pt idx="23">
                  <c:v>51.46</c:v>
                </c:pt>
                <c:pt idx="24">
                  <c:v>51.6</c:v>
                </c:pt>
                <c:pt idx="25">
                  <c:v>51.38</c:v>
                </c:pt>
                <c:pt idx="26">
                  <c:v>51.97</c:v>
                </c:pt>
                <c:pt idx="27">
                  <c:v>52.48</c:v>
                </c:pt>
                <c:pt idx="28">
                  <c:v>52.68</c:v>
                </c:pt>
                <c:pt idx="29">
                  <c:v>52.92</c:v>
                </c:pt>
                <c:pt idx="30">
                  <c:v>53.58</c:v>
                </c:pt>
                <c:pt idx="31">
                  <c:v>53.48</c:v>
                </c:pt>
                <c:pt idx="32">
                  <c:v>53.84</c:v>
                </c:pt>
                <c:pt idx="33">
                  <c:v>54.18</c:v>
                </c:pt>
                <c:pt idx="34">
                  <c:v>54.52</c:v>
                </c:pt>
                <c:pt idx="35">
                  <c:v>54.27</c:v>
                </c:pt>
                <c:pt idx="36">
                  <c:v>53.92</c:v>
                </c:pt>
                <c:pt idx="37">
                  <c:v>54.07</c:v>
                </c:pt>
                <c:pt idx="38">
                  <c:v>54.06</c:v>
                </c:pt>
                <c:pt idx="39">
                  <c:v>53.96</c:v>
                </c:pt>
                <c:pt idx="40">
                  <c:v>53.65</c:v>
                </c:pt>
                <c:pt idx="41">
                  <c:v>53.55</c:v>
                </c:pt>
                <c:pt idx="42">
                  <c:v>53.94</c:v>
                </c:pt>
                <c:pt idx="43">
                  <c:v>54.18</c:v>
                </c:pt>
                <c:pt idx="44">
                  <c:v>54.52</c:v>
                </c:pt>
                <c:pt idx="45">
                  <c:v>54.67</c:v>
                </c:pt>
                <c:pt idx="46">
                  <c:v>54.79</c:v>
                </c:pt>
                <c:pt idx="47">
                  <c:v>54.98</c:v>
                </c:pt>
                <c:pt idx="48">
                  <c:v>54.68</c:v>
                </c:pt>
                <c:pt idx="49">
                  <c:v>54.99</c:v>
                </c:pt>
                <c:pt idx="50">
                  <c:v>54.51</c:v>
                </c:pt>
                <c:pt idx="51">
                  <c:v>52.54</c:v>
                </c:pt>
                <c:pt idx="52">
                  <c:v>54</c:v>
                </c:pt>
                <c:pt idx="53">
                  <c:v>53.52</c:v>
                </c:pt>
                <c:pt idx="54">
                  <c:v>54.33</c:v>
                </c:pt>
                <c:pt idx="55">
                  <c:v>54.51</c:v>
                </c:pt>
                <c:pt idx="56">
                  <c:v>54.38</c:v>
                </c:pt>
                <c:pt idx="57">
                  <c:v>55.03</c:v>
                </c:pt>
                <c:pt idx="58">
                  <c:v>54.54</c:v>
                </c:pt>
                <c:pt idx="59">
                  <c:v>54.51</c:v>
                </c:pt>
                <c:pt idx="60">
                  <c:v>54.92</c:v>
                </c:pt>
                <c:pt idx="61">
                  <c:v>55.18</c:v>
                </c:pt>
                <c:pt idx="62">
                  <c:v>55.64</c:v>
                </c:pt>
                <c:pt idx="63">
                  <c:v>55.61</c:v>
                </c:pt>
                <c:pt idx="64">
                  <c:v>55.77</c:v>
                </c:pt>
                <c:pt idx="65">
                  <c:v>55.19</c:v>
                </c:pt>
                <c:pt idx="66">
                  <c:v>54.97</c:v>
                </c:pt>
                <c:pt idx="67">
                  <c:v>55.09</c:v>
                </c:pt>
                <c:pt idx="68">
                  <c:v>54.32</c:v>
                </c:pt>
                <c:pt idx="69">
                  <c:v>54.8</c:v>
                </c:pt>
                <c:pt idx="70">
                  <c:v>54.59</c:v>
                </c:pt>
                <c:pt idx="71">
                  <c:v>54.54</c:v>
                </c:pt>
                <c:pt idx="72">
                  <c:v>55.27</c:v>
                </c:pt>
                <c:pt idx="73">
                  <c:v>55.33</c:v>
                </c:pt>
                <c:pt idx="74">
                  <c:v>55.32</c:v>
                </c:pt>
                <c:pt idx="75">
                  <c:v>54.83</c:v>
                </c:pt>
                <c:pt idx="76">
                  <c:v>54.85</c:v>
                </c:pt>
                <c:pt idx="77">
                  <c:v>54.22</c:v>
                </c:pt>
                <c:pt idx="78">
                  <c:v>54.04</c:v>
                </c:pt>
                <c:pt idx="79">
                  <c:v>53.92</c:v>
                </c:pt>
                <c:pt idx="80">
                  <c:v>53.28</c:v>
                </c:pt>
                <c:pt idx="81">
                  <c:v>53.07</c:v>
                </c:pt>
                <c:pt idx="82">
                  <c:v>53.61</c:v>
                </c:pt>
                <c:pt idx="83">
                  <c:v>53.85</c:v>
                </c:pt>
                <c:pt idx="84">
                  <c:v>54.11</c:v>
                </c:pt>
                <c:pt idx="85">
                  <c:v>54.3</c:v>
                </c:pt>
                <c:pt idx="86">
                  <c:v>54.25</c:v>
                </c:pt>
                <c:pt idx="87">
                  <c:v>54.13</c:v>
                </c:pt>
                <c:pt idx="88">
                  <c:v>54.06</c:v>
                </c:pt>
                <c:pt idx="89">
                  <c:v>54.18</c:v>
                </c:pt>
                <c:pt idx="90">
                  <c:v>54.4</c:v>
                </c:pt>
                <c:pt idx="91">
                  <c:v>54.2</c:v>
                </c:pt>
                <c:pt idx="92">
                  <c:v>54.11</c:v>
                </c:pt>
                <c:pt idx="93">
                  <c:v>54.56</c:v>
                </c:pt>
                <c:pt idx="94">
                  <c:v>54.44</c:v>
                </c:pt>
                <c:pt idx="95">
                  <c:v>53.94</c:v>
                </c:pt>
                <c:pt idx="96">
                  <c:v>53.78</c:v>
                </c:pt>
                <c:pt idx="97">
                  <c:v>53.48</c:v>
                </c:pt>
                <c:pt idx="98">
                  <c:v>53.13</c:v>
                </c:pt>
                <c:pt idx="99">
                  <c:v>53.58</c:v>
                </c:pt>
                <c:pt idx="100">
                  <c:v>53.11</c:v>
                </c:pt>
                <c:pt idx="101">
                  <c:v>53.45</c:v>
                </c:pt>
                <c:pt idx="102">
                  <c:v>53.7</c:v>
                </c:pt>
                <c:pt idx="103">
                  <c:v>53.68</c:v>
                </c:pt>
                <c:pt idx="104">
                  <c:v>54.02</c:v>
                </c:pt>
                <c:pt idx="105">
                  <c:v>53.61</c:v>
                </c:pt>
                <c:pt idx="106">
                  <c:v>53.81</c:v>
                </c:pt>
                <c:pt idx="107">
                  <c:v>53.76</c:v>
                </c:pt>
                <c:pt idx="108">
                  <c:v>54.93</c:v>
                </c:pt>
                <c:pt idx="109">
                  <c:v>55.29</c:v>
                </c:pt>
                <c:pt idx="110">
                  <c:v>55.59</c:v>
                </c:pt>
                <c:pt idx="111">
                  <c:v>55.25</c:v>
                </c:pt>
                <c:pt idx="112">
                  <c:v>55.31</c:v>
                </c:pt>
                <c:pt idx="113">
                  <c:v>55.43</c:v>
                </c:pt>
                <c:pt idx="114">
                  <c:v>56.29</c:v>
                </c:pt>
                <c:pt idx="115">
                  <c:v>55.96</c:v>
                </c:pt>
                <c:pt idx="116">
                  <c:v>56.08</c:v>
                </c:pt>
                <c:pt idx="117">
                  <c:v>56.34</c:v>
                </c:pt>
                <c:pt idx="118">
                  <c:v>56</c:v>
                </c:pt>
                <c:pt idx="119">
                  <c:v>55.54</c:v>
                </c:pt>
                <c:pt idx="120">
                  <c:v>56.11</c:v>
                </c:pt>
                <c:pt idx="121">
                  <c:v>56.55</c:v>
                </c:pt>
                <c:pt idx="122">
                  <c:v>56.77</c:v>
                </c:pt>
                <c:pt idx="123">
                  <c:v>56.93</c:v>
                </c:pt>
                <c:pt idx="124">
                  <c:v>57.64</c:v>
                </c:pt>
                <c:pt idx="125">
                  <c:v>57.86</c:v>
                </c:pt>
                <c:pt idx="126">
                  <c:v>57.64</c:v>
                </c:pt>
                <c:pt idx="127">
                  <c:v>56.47</c:v>
                </c:pt>
                <c:pt idx="128">
                  <c:v>56.78</c:v>
                </c:pt>
                <c:pt idx="129">
                  <c:v>56.75</c:v>
                </c:pt>
                <c:pt idx="130">
                  <c:v>56.41</c:v>
                </c:pt>
                <c:pt idx="131">
                  <c:v>56.04</c:v>
                </c:pt>
                <c:pt idx="132">
                  <c:v>57.26</c:v>
                </c:pt>
                <c:pt idx="133">
                  <c:v>57.75</c:v>
                </c:pt>
                <c:pt idx="134">
                  <c:v>58.01</c:v>
                </c:pt>
                <c:pt idx="135">
                  <c:v>58.51</c:v>
                </c:pt>
                <c:pt idx="136">
                  <c:v>57.76</c:v>
                </c:pt>
                <c:pt idx="137">
                  <c:v>57.75</c:v>
                </c:pt>
                <c:pt idx="138">
                  <c:v>57.79</c:v>
                </c:pt>
                <c:pt idx="139">
                  <c:v>57.95</c:v>
                </c:pt>
                <c:pt idx="140">
                  <c:v>57.59</c:v>
                </c:pt>
                <c:pt idx="141">
                  <c:v>58.53</c:v>
                </c:pt>
                <c:pt idx="142">
                  <c:v>58.06</c:v>
                </c:pt>
                <c:pt idx="143">
                  <c:v>58.68</c:v>
                </c:pt>
                <c:pt idx="144">
                  <c:v>59.01</c:v>
                </c:pt>
                <c:pt idx="145">
                  <c:v>58.27</c:v>
                </c:pt>
                <c:pt idx="146">
                  <c:v>58.1</c:v>
                </c:pt>
                <c:pt idx="147">
                  <c:v>57.24</c:v>
                </c:pt>
                <c:pt idx="148">
                  <c:v>55.23</c:v>
                </c:pt>
                <c:pt idx="149">
                  <c:v>55.58</c:v>
                </c:pt>
                <c:pt idx="150">
                  <c:v>54.85</c:v>
                </c:pt>
                <c:pt idx="151">
                  <c:v>54.47</c:v>
                </c:pt>
                <c:pt idx="152">
                  <c:v>55.13</c:v>
                </c:pt>
                <c:pt idx="153">
                  <c:v>55.51</c:v>
                </c:pt>
                <c:pt idx="154">
                  <c:v>55.56</c:v>
                </c:pt>
                <c:pt idx="155">
                  <c:v>54.31</c:v>
                </c:pt>
                <c:pt idx="156">
                  <c:v>54.02</c:v>
                </c:pt>
                <c:pt idx="157">
                  <c:v>55.02</c:v>
                </c:pt>
                <c:pt idx="158">
                  <c:v>55.26</c:v>
                </c:pt>
                <c:pt idx="159">
                  <c:v>54.21</c:v>
                </c:pt>
                <c:pt idx="160">
                  <c:v>54.01</c:v>
                </c:pt>
                <c:pt idx="161">
                  <c:v>52.56</c:v>
                </c:pt>
                <c:pt idx="162">
                  <c:v>53.8</c:v>
                </c:pt>
                <c:pt idx="163">
                  <c:v>53.31</c:v>
                </c:pt>
                <c:pt idx="164">
                  <c:v>54.34</c:v>
                </c:pt>
                <c:pt idx="165">
                  <c:v>52.85</c:v>
                </c:pt>
                <c:pt idx="166">
                  <c:v>52.49</c:v>
                </c:pt>
                <c:pt idx="167">
                  <c:v>52.42</c:v>
                </c:pt>
                <c:pt idx="168">
                  <c:v>54.05</c:v>
                </c:pt>
                <c:pt idx="169">
                  <c:v>54.21</c:v>
                </c:pt>
                <c:pt idx="170">
                  <c:v>53.82</c:v>
                </c:pt>
                <c:pt idx="171">
                  <c:v>54.01</c:v>
                </c:pt>
                <c:pt idx="172">
                  <c:v>54.09</c:v>
                </c:pt>
                <c:pt idx="173">
                  <c:v>56.5</c:v>
                </c:pt>
                <c:pt idx="174">
                  <c:v>56.44</c:v>
                </c:pt>
                <c:pt idx="175">
                  <c:v>56.75</c:v>
                </c:pt>
                <c:pt idx="176">
                  <c:v>57.18</c:v>
                </c:pt>
                <c:pt idx="177">
                  <c:v>57.98</c:v>
                </c:pt>
                <c:pt idx="178">
                  <c:v>58.09</c:v>
                </c:pt>
                <c:pt idx="179">
                  <c:v>58.21</c:v>
                </c:pt>
                <c:pt idx="180">
                  <c:v>59.18</c:v>
                </c:pt>
                <c:pt idx="181">
                  <c:v>58.91</c:v>
                </c:pt>
                <c:pt idx="182">
                  <c:v>58.2</c:v>
                </c:pt>
                <c:pt idx="183">
                  <c:v>58.76</c:v>
                </c:pt>
                <c:pt idx="184">
                  <c:v>57.92</c:v>
                </c:pt>
                <c:pt idx="185">
                  <c:v>59.02</c:v>
                </c:pt>
                <c:pt idx="186">
                  <c:v>58.73</c:v>
                </c:pt>
                <c:pt idx="187">
                  <c:v>58.32</c:v>
                </c:pt>
                <c:pt idx="188">
                  <c:v>58.08</c:v>
                </c:pt>
                <c:pt idx="189">
                  <c:v>58.93</c:v>
                </c:pt>
                <c:pt idx="190">
                  <c:v>58.99</c:v>
                </c:pt>
                <c:pt idx="191">
                  <c:v>58.73</c:v>
                </c:pt>
                <c:pt idx="192">
                  <c:v>59.36</c:v>
                </c:pt>
                <c:pt idx="193">
                  <c:v>60.75</c:v>
                </c:pt>
                <c:pt idx="194">
                  <c:v>60.21</c:v>
                </c:pt>
                <c:pt idx="195">
                  <c:v>60.54</c:v>
                </c:pt>
                <c:pt idx="196">
                  <c:v>60.39</c:v>
                </c:pt>
                <c:pt idx="197">
                  <c:v>59.39</c:v>
                </c:pt>
                <c:pt idx="198">
                  <c:v>59.94</c:v>
                </c:pt>
                <c:pt idx="199">
                  <c:v>59.96</c:v>
                </c:pt>
                <c:pt idx="200">
                  <c:v>58.44</c:v>
                </c:pt>
                <c:pt idx="201">
                  <c:v>58.48</c:v>
                </c:pt>
                <c:pt idx="202">
                  <c:v>57.87</c:v>
                </c:pt>
                <c:pt idx="203">
                  <c:v>58.67</c:v>
                </c:pt>
                <c:pt idx="204">
                  <c:v>58.7</c:v>
                </c:pt>
                <c:pt idx="205">
                  <c:v>58.98</c:v>
                </c:pt>
                <c:pt idx="206">
                  <c:v>60.23</c:v>
                </c:pt>
                <c:pt idx="207">
                  <c:v>60.29</c:v>
                </c:pt>
                <c:pt idx="208">
                  <c:v>59.9</c:v>
                </c:pt>
                <c:pt idx="209">
                  <c:v>59.88</c:v>
                </c:pt>
                <c:pt idx="210">
                  <c:v>60.42</c:v>
                </c:pt>
                <c:pt idx="211">
                  <c:v>61.19</c:v>
                </c:pt>
                <c:pt idx="212">
                  <c:v>60.33</c:v>
                </c:pt>
                <c:pt idx="213">
                  <c:v>60.31</c:v>
                </c:pt>
                <c:pt idx="214">
                  <c:v>58.03</c:v>
                </c:pt>
                <c:pt idx="215">
                  <c:v>58.33</c:v>
                </c:pt>
                <c:pt idx="216">
                  <c:v>58.45</c:v>
                </c:pt>
                <c:pt idx="217">
                  <c:v>57.72</c:v>
                </c:pt>
                <c:pt idx="218">
                  <c:v>59.1</c:v>
                </c:pt>
                <c:pt idx="219">
                  <c:v>59.55</c:v>
                </c:pt>
                <c:pt idx="220">
                  <c:v>60.84</c:v>
                </c:pt>
                <c:pt idx="221">
                  <c:v>60.16</c:v>
                </c:pt>
                <c:pt idx="222">
                  <c:v>59.81</c:v>
                </c:pt>
                <c:pt idx="223">
                  <c:v>60.77</c:v>
                </c:pt>
                <c:pt idx="224">
                  <c:v>61.24</c:v>
                </c:pt>
                <c:pt idx="225">
                  <c:v>59.36</c:v>
                </c:pt>
                <c:pt idx="226">
                  <c:v>58.97</c:v>
                </c:pt>
                <c:pt idx="227">
                  <c:v>58.8</c:v>
                </c:pt>
                <c:pt idx="228">
                  <c:v>58.58</c:v>
                </c:pt>
                <c:pt idx="229">
                  <c:v>59.18</c:v>
                </c:pt>
                <c:pt idx="230">
                  <c:v>59.69</c:v>
                </c:pt>
                <c:pt idx="231">
                  <c:v>59.22</c:v>
                </c:pt>
                <c:pt idx="232">
                  <c:v>59.04</c:v>
                </c:pt>
                <c:pt idx="233">
                  <c:v>60.07</c:v>
                </c:pt>
                <c:pt idx="234">
                  <c:v>58.88</c:v>
                </c:pt>
                <c:pt idx="235">
                  <c:v>59.17</c:v>
                </c:pt>
                <c:pt idx="236">
                  <c:v>59.49</c:v>
                </c:pt>
                <c:pt idx="237">
                  <c:v>59.89</c:v>
                </c:pt>
                <c:pt idx="238">
                  <c:v>58.79</c:v>
                </c:pt>
                <c:pt idx="239">
                  <c:v>59.08</c:v>
                </c:pt>
                <c:pt idx="240">
                  <c:v>59.48</c:v>
                </c:pt>
                <c:pt idx="241">
                  <c:v>58.84</c:v>
                </c:pt>
                <c:pt idx="242">
                  <c:v>57.84</c:v>
                </c:pt>
                <c:pt idx="243">
                  <c:v>57.93</c:v>
                </c:pt>
                <c:pt idx="244">
                  <c:v>58.86</c:v>
                </c:pt>
                <c:pt idx="245">
                  <c:v>58.81</c:v>
                </c:pt>
                <c:pt idx="246">
                  <c:v>58.1</c:v>
                </c:pt>
                <c:pt idx="247">
                  <c:v>57.8</c:v>
                </c:pt>
                <c:pt idx="248">
                  <c:v>58.23</c:v>
                </c:pt>
                <c:pt idx="249">
                  <c:v>57.74</c:v>
                </c:pt>
                <c:pt idx="250">
                  <c:v>56.92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B-4AAC-97E7-4609B0E3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055488"/>
        <c:axId val="252586204"/>
      </c:areaChart>
      <c:dateAx>
        <c:axId val="176005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252586204"/>
        <c:crosses val="autoZero"/>
        <c:auto val="1"/>
        <c:lblOffset val="100"/>
        <c:baseTimeUnit val="days"/>
      </c:dateAx>
      <c:valAx>
        <c:axId val="25258620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76005548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EMB!$F$27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EMB!$B$28:$B$1000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45989.545138888803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46015.545138888803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EMB!$F$28:$F$1000</c:f>
              <c:numCache>
                <c:formatCode>#,##0.00</c:formatCode>
                <c:ptCount val="973"/>
                <c:pt idx="0">
                  <c:v>92.85</c:v>
                </c:pt>
                <c:pt idx="1">
                  <c:v>92.87</c:v>
                </c:pt>
                <c:pt idx="2">
                  <c:v>92.72</c:v>
                </c:pt>
                <c:pt idx="3">
                  <c:v>93.18</c:v>
                </c:pt>
                <c:pt idx="4">
                  <c:v>93.18</c:v>
                </c:pt>
                <c:pt idx="5">
                  <c:v>93.24</c:v>
                </c:pt>
                <c:pt idx="6">
                  <c:v>93.38</c:v>
                </c:pt>
                <c:pt idx="7">
                  <c:v>93.38</c:v>
                </c:pt>
                <c:pt idx="8">
                  <c:v>93.5</c:v>
                </c:pt>
                <c:pt idx="9">
                  <c:v>93.68</c:v>
                </c:pt>
                <c:pt idx="10">
                  <c:v>94.14</c:v>
                </c:pt>
                <c:pt idx="11">
                  <c:v>93.93</c:v>
                </c:pt>
                <c:pt idx="12">
                  <c:v>93.85</c:v>
                </c:pt>
                <c:pt idx="13">
                  <c:v>93.94</c:v>
                </c:pt>
                <c:pt idx="14">
                  <c:v>93.98</c:v>
                </c:pt>
                <c:pt idx="15">
                  <c:v>93.83</c:v>
                </c:pt>
                <c:pt idx="16">
                  <c:v>93.53</c:v>
                </c:pt>
                <c:pt idx="17">
                  <c:v>94.21</c:v>
                </c:pt>
                <c:pt idx="18">
                  <c:v>93.84</c:v>
                </c:pt>
                <c:pt idx="19">
                  <c:v>93.82</c:v>
                </c:pt>
                <c:pt idx="20">
                  <c:v>93.71</c:v>
                </c:pt>
                <c:pt idx="21">
                  <c:v>94.26</c:v>
                </c:pt>
                <c:pt idx="22">
                  <c:v>94.12</c:v>
                </c:pt>
                <c:pt idx="23">
                  <c:v>93.36</c:v>
                </c:pt>
                <c:pt idx="24">
                  <c:v>93.76</c:v>
                </c:pt>
                <c:pt idx="25">
                  <c:v>94.13</c:v>
                </c:pt>
                <c:pt idx="26">
                  <c:v>94.76</c:v>
                </c:pt>
                <c:pt idx="27">
                  <c:v>94.75</c:v>
                </c:pt>
                <c:pt idx="28">
                  <c:v>94.66</c:v>
                </c:pt>
                <c:pt idx="29">
                  <c:v>95.18</c:v>
                </c:pt>
                <c:pt idx="30">
                  <c:v>95.53</c:v>
                </c:pt>
                <c:pt idx="31">
                  <c:v>95.25</c:v>
                </c:pt>
                <c:pt idx="32">
                  <c:v>95.59</c:v>
                </c:pt>
                <c:pt idx="33">
                  <c:v>95.53</c:v>
                </c:pt>
                <c:pt idx="34">
                  <c:v>95.48</c:v>
                </c:pt>
                <c:pt idx="35">
                  <c:v>95.08</c:v>
                </c:pt>
                <c:pt idx="36">
                  <c:v>94.98</c:v>
                </c:pt>
                <c:pt idx="37">
                  <c:v>95.19</c:v>
                </c:pt>
                <c:pt idx="38">
                  <c:v>95.56</c:v>
                </c:pt>
                <c:pt idx="39">
                  <c:v>95.5</c:v>
                </c:pt>
                <c:pt idx="40">
                  <c:v>95.26</c:v>
                </c:pt>
                <c:pt idx="41">
                  <c:v>95.23</c:v>
                </c:pt>
                <c:pt idx="42">
                  <c:v>95.39</c:v>
                </c:pt>
                <c:pt idx="43">
                  <c:v>95.19</c:v>
                </c:pt>
                <c:pt idx="44">
                  <c:v>95.12</c:v>
                </c:pt>
                <c:pt idx="45">
                  <c:v>95.17</c:v>
                </c:pt>
                <c:pt idx="46">
                  <c:v>95.21</c:v>
                </c:pt>
                <c:pt idx="47">
                  <c:v>95.09</c:v>
                </c:pt>
                <c:pt idx="48">
                  <c:v>95.05</c:v>
                </c:pt>
                <c:pt idx="49">
                  <c:v>95.1</c:v>
                </c:pt>
                <c:pt idx="50">
                  <c:v>95.05</c:v>
                </c:pt>
                <c:pt idx="51">
                  <c:v>94.63</c:v>
                </c:pt>
                <c:pt idx="52">
                  <c:v>95.28</c:v>
                </c:pt>
                <c:pt idx="53">
                  <c:v>95.24</c:v>
                </c:pt>
                <c:pt idx="54">
                  <c:v>95.57</c:v>
                </c:pt>
                <c:pt idx="55">
                  <c:v>95.71</c:v>
                </c:pt>
                <c:pt idx="56">
                  <c:v>95.74</c:v>
                </c:pt>
                <c:pt idx="57">
                  <c:v>96.16</c:v>
                </c:pt>
                <c:pt idx="58">
                  <c:v>96.28</c:v>
                </c:pt>
                <c:pt idx="59">
                  <c:v>96.08</c:v>
                </c:pt>
                <c:pt idx="60">
                  <c:v>96.01</c:v>
                </c:pt>
                <c:pt idx="61">
                  <c:v>96.29</c:v>
                </c:pt>
                <c:pt idx="62">
                  <c:v>97.03</c:v>
                </c:pt>
                <c:pt idx="63">
                  <c:v>97.03</c:v>
                </c:pt>
                <c:pt idx="64">
                  <c:v>96.6</c:v>
                </c:pt>
                <c:pt idx="65">
                  <c:v>96.49</c:v>
                </c:pt>
                <c:pt idx="66">
                  <c:v>96.67</c:v>
                </c:pt>
                <c:pt idx="67">
                  <c:v>95.97</c:v>
                </c:pt>
                <c:pt idx="68">
                  <c:v>95.86</c:v>
                </c:pt>
                <c:pt idx="69">
                  <c:v>95.65</c:v>
                </c:pt>
                <c:pt idx="70">
                  <c:v>95.97</c:v>
                </c:pt>
                <c:pt idx="71">
                  <c:v>96.02</c:v>
                </c:pt>
                <c:pt idx="72">
                  <c:v>96.24</c:v>
                </c:pt>
                <c:pt idx="73">
                  <c:v>96.46</c:v>
                </c:pt>
                <c:pt idx="74">
                  <c:v>96.5</c:v>
                </c:pt>
                <c:pt idx="75">
                  <c:v>96.03</c:v>
                </c:pt>
                <c:pt idx="76">
                  <c:v>95.97</c:v>
                </c:pt>
                <c:pt idx="77">
                  <c:v>95.99</c:v>
                </c:pt>
                <c:pt idx="78">
                  <c:v>95.96</c:v>
                </c:pt>
                <c:pt idx="79">
                  <c:v>96.12</c:v>
                </c:pt>
                <c:pt idx="80">
                  <c:v>95.89</c:v>
                </c:pt>
                <c:pt idx="81">
                  <c:v>96.15</c:v>
                </c:pt>
                <c:pt idx="82">
                  <c:v>96.35</c:v>
                </c:pt>
                <c:pt idx="83">
                  <c:v>96.6</c:v>
                </c:pt>
                <c:pt idx="84">
                  <c:v>96.7</c:v>
                </c:pt>
                <c:pt idx="85">
                  <c:v>96.73</c:v>
                </c:pt>
                <c:pt idx="86">
                  <c:v>96.02</c:v>
                </c:pt>
                <c:pt idx="87">
                  <c:v>96.42</c:v>
                </c:pt>
                <c:pt idx="88">
                  <c:v>96.54</c:v>
                </c:pt>
                <c:pt idx="89">
                  <c:v>96.46</c:v>
                </c:pt>
                <c:pt idx="90">
                  <c:v>96.33</c:v>
                </c:pt>
                <c:pt idx="91">
                  <c:v>95.93</c:v>
                </c:pt>
                <c:pt idx="92">
                  <c:v>95.85</c:v>
                </c:pt>
                <c:pt idx="93">
                  <c:v>96.24</c:v>
                </c:pt>
                <c:pt idx="94">
                  <c:v>96.31</c:v>
                </c:pt>
                <c:pt idx="95">
                  <c:v>96.26</c:v>
                </c:pt>
                <c:pt idx="96">
                  <c:v>96.39</c:v>
                </c:pt>
                <c:pt idx="97">
                  <c:v>96.65</c:v>
                </c:pt>
                <c:pt idx="98">
                  <c:v>96.28</c:v>
                </c:pt>
                <c:pt idx="99">
                  <c:v>96.7</c:v>
                </c:pt>
                <c:pt idx="100">
                  <c:v>96.27</c:v>
                </c:pt>
                <c:pt idx="101">
                  <c:v>96.31</c:v>
                </c:pt>
                <c:pt idx="102">
                  <c:v>96.26</c:v>
                </c:pt>
                <c:pt idx="103">
                  <c:v>96.55</c:v>
                </c:pt>
                <c:pt idx="104">
                  <c:v>96.54</c:v>
                </c:pt>
                <c:pt idx="105">
                  <c:v>96.59</c:v>
                </c:pt>
                <c:pt idx="106">
                  <c:v>96.47</c:v>
                </c:pt>
                <c:pt idx="107">
                  <c:v>96.28</c:v>
                </c:pt>
                <c:pt idx="108">
                  <c:v>96.3</c:v>
                </c:pt>
                <c:pt idx="109">
                  <c:v>96.45</c:v>
                </c:pt>
                <c:pt idx="110">
                  <c:v>96.35</c:v>
                </c:pt>
                <c:pt idx="111">
                  <c:v>96.16</c:v>
                </c:pt>
                <c:pt idx="112">
                  <c:v>96.01</c:v>
                </c:pt>
                <c:pt idx="113">
                  <c:v>96.36</c:v>
                </c:pt>
                <c:pt idx="114">
                  <c:v>96.28</c:v>
                </c:pt>
                <c:pt idx="115">
                  <c:v>96.16</c:v>
                </c:pt>
                <c:pt idx="116">
                  <c:v>96.36</c:v>
                </c:pt>
                <c:pt idx="117">
                  <c:v>96.4</c:v>
                </c:pt>
                <c:pt idx="118">
                  <c:v>96.21</c:v>
                </c:pt>
                <c:pt idx="119">
                  <c:v>95.73</c:v>
                </c:pt>
                <c:pt idx="120">
                  <c:v>96.5</c:v>
                </c:pt>
                <c:pt idx="121">
                  <c:v>96.48</c:v>
                </c:pt>
                <c:pt idx="122">
                  <c:v>96.72</c:v>
                </c:pt>
                <c:pt idx="123">
                  <c:v>96.82</c:v>
                </c:pt>
                <c:pt idx="124">
                  <c:v>96.78</c:v>
                </c:pt>
                <c:pt idx="125">
                  <c:v>96.66</c:v>
                </c:pt>
                <c:pt idx="126">
                  <c:v>96.67</c:v>
                </c:pt>
                <c:pt idx="127">
                  <c:v>96.58</c:v>
                </c:pt>
                <c:pt idx="128">
                  <c:v>96.14</c:v>
                </c:pt>
                <c:pt idx="129">
                  <c:v>96.16</c:v>
                </c:pt>
                <c:pt idx="130">
                  <c:v>96.2</c:v>
                </c:pt>
                <c:pt idx="131">
                  <c:v>96.44</c:v>
                </c:pt>
                <c:pt idx="132">
                  <c:v>96.69</c:v>
                </c:pt>
                <c:pt idx="133">
                  <c:v>96.72</c:v>
                </c:pt>
                <c:pt idx="134">
                  <c:v>96.97</c:v>
                </c:pt>
                <c:pt idx="135">
                  <c:v>96.98</c:v>
                </c:pt>
                <c:pt idx="136">
                  <c:v>97.25</c:v>
                </c:pt>
                <c:pt idx="137">
                  <c:v>97.42</c:v>
                </c:pt>
                <c:pt idx="138">
                  <c:v>97.62</c:v>
                </c:pt>
                <c:pt idx="139">
                  <c:v>97.66</c:v>
                </c:pt>
                <c:pt idx="140">
                  <c:v>97.55</c:v>
                </c:pt>
                <c:pt idx="141">
                  <c:v>97.65</c:v>
                </c:pt>
                <c:pt idx="142">
                  <c:v>97.71</c:v>
                </c:pt>
                <c:pt idx="143">
                  <c:v>97.65</c:v>
                </c:pt>
                <c:pt idx="144">
                  <c:v>97.74</c:v>
                </c:pt>
                <c:pt idx="145">
                  <c:v>97.68</c:v>
                </c:pt>
                <c:pt idx="146">
                  <c:v>97.73</c:v>
                </c:pt>
                <c:pt idx="147">
                  <c:v>96.99</c:v>
                </c:pt>
                <c:pt idx="148">
                  <c:v>96.55</c:v>
                </c:pt>
                <c:pt idx="149">
                  <c:v>96.87</c:v>
                </c:pt>
                <c:pt idx="150">
                  <c:v>96.38</c:v>
                </c:pt>
                <c:pt idx="151">
                  <c:v>95.75</c:v>
                </c:pt>
                <c:pt idx="152">
                  <c:v>95.96</c:v>
                </c:pt>
                <c:pt idx="153">
                  <c:v>95.95</c:v>
                </c:pt>
                <c:pt idx="154">
                  <c:v>95.64</c:v>
                </c:pt>
                <c:pt idx="155">
                  <c:v>94.84</c:v>
                </c:pt>
                <c:pt idx="156">
                  <c:v>94.38</c:v>
                </c:pt>
                <c:pt idx="157">
                  <c:v>94.75</c:v>
                </c:pt>
                <c:pt idx="158">
                  <c:v>95.1</c:v>
                </c:pt>
                <c:pt idx="159">
                  <c:v>94.36</c:v>
                </c:pt>
                <c:pt idx="160">
                  <c:v>94.63</c:v>
                </c:pt>
                <c:pt idx="161">
                  <c:v>93.15</c:v>
                </c:pt>
                <c:pt idx="162">
                  <c:v>94.06</c:v>
                </c:pt>
                <c:pt idx="163">
                  <c:v>93.58</c:v>
                </c:pt>
                <c:pt idx="164">
                  <c:v>94.43</c:v>
                </c:pt>
                <c:pt idx="165">
                  <c:v>93.46</c:v>
                </c:pt>
                <c:pt idx="166">
                  <c:v>92.95</c:v>
                </c:pt>
                <c:pt idx="167">
                  <c:v>93.11</c:v>
                </c:pt>
                <c:pt idx="168">
                  <c:v>93.93</c:v>
                </c:pt>
                <c:pt idx="169">
                  <c:v>93.86</c:v>
                </c:pt>
                <c:pt idx="170">
                  <c:v>93.97</c:v>
                </c:pt>
                <c:pt idx="171">
                  <c:v>93.94</c:v>
                </c:pt>
                <c:pt idx="172">
                  <c:v>93.99</c:v>
                </c:pt>
                <c:pt idx="173">
                  <c:v>95.11</c:v>
                </c:pt>
                <c:pt idx="174">
                  <c:v>95.51</c:v>
                </c:pt>
                <c:pt idx="175">
                  <c:v>95.5</c:v>
                </c:pt>
                <c:pt idx="176">
                  <c:v>96.03</c:v>
                </c:pt>
                <c:pt idx="177">
                  <c:v>96.46</c:v>
                </c:pt>
                <c:pt idx="178">
                  <c:v>96.25</c:v>
                </c:pt>
                <c:pt idx="179">
                  <c:v>95.95</c:v>
                </c:pt>
                <c:pt idx="180">
                  <c:v>96.67</c:v>
                </c:pt>
                <c:pt idx="181">
                  <c:v>96.59</c:v>
                </c:pt>
                <c:pt idx="182">
                  <c:v>96.13</c:v>
                </c:pt>
                <c:pt idx="183">
                  <c:v>96.38</c:v>
                </c:pt>
                <c:pt idx="184">
                  <c:v>95.93</c:v>
                </c:pt>
                <c:pt idx="185">
                  <c:v>96.2</c:v>
                </c:pt>
                <c:pt idx="186">
                  <c:v>96.03</c:v>
                </c:pt>
                <c:pt idx="187">
                  <c:v>95.95</c:v>
                </c:pt>
                <c:pt idx="188">
                  <c:v>95.5</c:v>
                </c:pt>
                <c:pt idx="189">
                  <c:v>95.8</c:v>
                </c:pt>
                <c:pt idx="190">
                  <c:v>95.57</c:v>
                </c:pt>
                <c:pt idx="191">
                  <c:v>95.08</c:v>
                </c:pt>
                <c:pt idx="192">
                  <c:v>95.52</c:v>
                </c:pt>
                <c:pt idx="193">
                  <c:v>96.27</c:v>
                </c:pt>
                <c:pt idx="194">
                  <c:v>95.9</c:v>
                </c:pt>
                <c:pt idx="195">
                  <c:v>96.15</c:v>
                </c:pt>
                <c:pt idx="196">
                  <c:v>95.97</c:v>
                </c:pt>
                <c:pt idx="197">
                  <c:v>95.72</c:v>
                </c:pt>
                <c:pt idx="198">
                  <c:v>95.54</c:v>
                </c:pt>
                <c:pt idx="199">
                  <c:v>95.54</c:v>
                </c:pt>
                <c:pt idx="200">
                  <c:v>94.71</c:v>
                </c:pt>
                <c:pt idx="201">
                  <c:v>94.62</c:v>
                </c:pt>
                <c:pt idx="202">
                  <c:v>94.25</c:v>
                </c:pt>
                <c:pt idx="203">
                  <c:v>94.92</c:v>
                </c:pt>
                <c:pt idx="204">
                  <c:v>94.99</c:v>
                </c:pt>
                <c:pt idx="205">
                  <c:v>95.17</c:v>
                </c:pt>
                <c:pt idx="206">
                  <c:v>95.64</c:v>
                </c:pt>
                <c:pt idx="207">
                  <c:v>95.98</c:v>
                </c:pt>
                <c:pt idx="208">
                  <c:v>96.23</c:v>
                </c:pt>
                <c:pt idx="209">
                  <c:v>96.43</c:v>
                </c:pt>
                <c:pt idx="210">
                  <c:v>96.01</c:v>
                </c:pt>
                <c:pt idx="211">
                  <c:v>96.26</c:v>
                </c:pt>
                <c:pt idx="212">
                  <c:v>95.9</c:v>
                </c:pt>
                <c:pt idx="213">
                  <c:v>96.1</c:v>
                </c:pt>
                <c:pt idx="214">
                  <c:v>95.4</c:v>
                </c:pt>
                <c:pt idx="215">
                  <c:v>95.28</c:v>
                </c:pt>
                <c:pt idx="216">
                  <c:v>95.67</c:v>
                </c:pt>
                <c:pt idx="217">
                  <c:v>95.35</c:v>
                </c:pt>
                <c:pt idx="218">
                  <c:v>96.27</c:v>
                </c:pt>
                <c:pt idx="219">
                  <c:v>96.36</c:v>
                </c:pt>
                <c:pt idx="220">
                  <c:v>96.71</c:v>
                </c:pt>
                <c:pt idx="221">
                  <c:v>96.67</c:v>
                </c:pt>
                <c:pt idx="222">
                  <c:v>96.28</c:v>
                </c:pt>
                <c:pt idx="223">
                  <c:v>96.73</c:v>
                </c:pt>
                <c:pt idx="224">
                  <c:v>96.4</c:v>
                </c:pt>
                <c:pt idx="225">
                  <c:v>96.26</c:v>
                </c:pt>
                <c:pt idx="226">
                  <c:v>96.57</c:v>
                </c:pt>
                <c:pt idx="227">
                  <c:v>96.56</c:v>
                </c:pt>
                <c:pt idx="228">
                  <c:v>96.54</c:v>
                </c:pt>
                <c:pt idx="229">
                  <c:v>96.82</c:v>
                </c:pt>
                <c:pt idx="230">
                  <c:v>96.44</c:v>
                </c:pt>
                <c:pt idx="231">
                  <c:v>96.02</c:v>
                </c:pt>
                <c:pt idx="232">
                  <c:v>96.2</c:v>
                </c:pt>
                <c:pt idx="233">
                  <c:v>96.35</c:v>
                </c:pt>
                <c:pt idx="234">
                  <c:v>95.94</c:v>
                </c:pt>
                <c:pt idx="235">
                  <c:v>95.79</c:v>
                </c:pt>
                <c:pt idx="236">
                  <c:v>95.96</c:v>
                </c:pt>
                <c:pt idx="237">
                  <c:v>95.99</c:v>
                </c:pt>
                <c:pt idx="238">
                  <c:v>95.38</c:v>
                </c:pt>
                <c:pt idx="239">
                  <c:v>95.57</c:v>
                </c:pt>
                <c:pt idx="240">
                  <c:v>95.73</c:v>
                </c:pt>
                <c:pt idx="241">
                  <c:v>95.59</c:v>
                </c:pt>
                <c:pt idx="242">
                  <c:v>95.53</c:v>
                </c:pt>
                <c:pt idx="243">
                  <c:v>95.37</c:v>
                </c:pt>
                <c:pt idx="244">
                  <c:v>95.38</c:v>
                </c:pt>
                <c:pt idx="245">
                  <c:v>95.09</c:v>
                </c:pt>
                <c:pt idx="246">
                  <c:v>94.53</c:v>
                </c:pt>
                <c:pt idx="247">
                  <c:v>94.64</c:v>
                </c:pt>
                <c:pt idx="248">
                  <c:v>94.96</c:v>
                </c:pt>
                <c:pt idx="249">
                  <c:v>95.19</c:v>
                </c:pt>
                <c:pt idx="250">
                  <c:v>94.56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6-4028-9D3B-7AB247FDC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468054"/>
        <c:axId val="2146160761"/>
      </c:areaChart>
      <c:dateAx>
        <c:axId val="1029468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2146160761"/>
        <c:crosses val="autoZero"/>
        <c:auto val="1"/>
        <c:lblOffset val="100"/>
        <c:baseTimeUnit val="days"/>
      </c:dateAx>
      <c:valAx>
        <c:axId val="2146160761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02946805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BWX!$F$27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BWX!$B$28:$B$1000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BWX!$F$28:$F$1000</c:f>
              <c:numCache>
                <c:formatCode>#,##0.00</c:formatCode>
                <c:ptCount val="973"/>
                <c:pt idx="0">
                  <c:v>22.62</c:v>
                </c:pt>
                <c:pt idx="1">
                  <c:v>22.58</c:v>
                </c:pt>
                <c:pt idx="2">
                  <c:v>22.9</c:v>
                </c:pt>
                <c:pt idx="3">
                  <c:v>22.96</c:v>
                </c:pt>
                <c:pt idx="4">
                  <c:v>22.93</c:v>
                </c:pt>
                <c:pt idx="5">
                  <c:v>23.03</c:v>
                </c:pt>
                <c:pt idx="6">
                  <c:v>23.05</c:v>
                </c:pt>
                <c:pt idx="7">
                  <c:v>22.98</c:v>
                </c:pt>
                <c:pt idx="8">
                  <c:v>22.91</c:v>
                </c:pt>
                <c:pt idx="9">
                  <c:v>22.97</c:v>
                </c:pt>
                <c:pt idx="10">
                  <c:v>23.09</c:v>
                </c:pt>
                <c:pt idx="11">
                  <c:v>22.94</c:v>
                </c:pt>
                <c:pt idx="12">
                  <c:v>22.94</c:v>
                </c:pt>
                <c:pt idx="13">
                  <c:v>22.89</c:v>
                </c:pt>
                <c:pt idx="14">
                  <c:v>22.87</c:v>
                </c:pt>
                <c:pt idx="15">
                  <c:v>22.9</c:v>
                </c:pt>
                <c:pt idx="16">
                  <c:v>22.76</c:v>
                </c:pt>
                <c:pt idx="17">
                  <c:v>23</c:v>
                </c:pt>
                <c:pt idx="18">
                  <c:v>22.82</c:v>
                </c:pt>
                <c:pt idx="19">
                  <c:v>22.91</c:v>
                </c:pt>
                <c:pt idx="20">
                  <c:v>22.92</c:v>
                </c:pt>
                <c:pt idx="21">
                  <c:v>23</c:v>
                </c:pt>
                <c:pt idx="22">
                  <c:v>23</c:v>
                </c:pt>
                <c:pt idx="23">
                  <c:v>22.76</c:v>
                </c:pt>
                <c:pt idx="24">
                  <c:v>22.82</c:v>
                </c:pt>
                <c:pt idx="25">
                  <c:v>22.86</c:v>
                </c:pt>
                <c:pt idx="26">
                  <c:v>23.06</c:v>
                </c:pt>
                <c:pt idx="27">
                  <c:v>23.11</c:v>
                </c:pt>
                <c:pt idx="28">
                  <c:v>23.06</c:v>
                </c:pt>
                <c:pt idx="29">
                  <c:v>23.06</c:v>
                </c:pt>
                <c:pt idx="30">
                  <c:v>23.14</c:v>
                </c:pt>
                <c:pt idx="31">
                  <c:v>23.06</c:v>
                </c:pt>
                <c:pt idx="32">
                  <c:v>23.16</c:v>
                </c:pt>
                <c:pt idx="33">
                  <c:v>23.27</c:v>
                </c:pt>
                <c:pt idx="34">
                  <c:v>23.22</c:v>
                </c:pt>
                <c:pt idx="35">
                  <c:v>23.08</c:v>
                </c:pt>
                <c:pt idx="36">
                  <c:v>23.04</c:v>
                </c:pt>
                <c:pt idx="37">
                  <c:v>23.09</c:v>
                </c:pt>
                <c:pt idx="38">
                  <c:v>23.11</c:v>
                </c:pt>
                <c:pt idx="39">
                  <c:v>22.93</c:v>
                </c:pt>
                <c:pt idx="40">
                  <c:v>22.79</c:v>
                </c:pt>
                <c:pt idx="41">
                  <c:v>22.85</c:v>
                </c:pt>
                <c:pt idx="42">
                  <c:v>22.97</c:v>
                </c:pt>
                <c:pt idx="43">
                  <c:v>23</c:v>
                </c:pt>
                <c:pt idx="44">
                  <c:v>22.99</c:v>
                </c:pt>
                <c:pt idx="45">
                  <c:v>22.97</c:v>
                </c:pt>
                <c:pt idx="46">
                  <c:v>22.96</c:v>
                </c:pt>
                <c:pt idx="47">
                  <c:v>22.8</c:v>
                </c:pt>
                <c:pt idx="48">
                  <c:v>22.7</c:v>
                </c:pt>
                <c:pt idx="49">
                  <c:v>22.69</c:v>
                </c:pt>
                <c:pt idx="50">
                  <c:v>22.58</c:v>
                </c:pt>
                <c:pt idx="51">
                  <c:v>22.73</c:v>
                </c:pt>
                <c:pt idx="52">
                  <c:v>22.71</c:v>
                </c:pt>
                <c:pt idx="53">
                  <c:v>22.78</c:v>
                </c:pt>
                <c:pt idx="54">
                  <c:v>22.86</c:v>
                </c:pt>
                <c:pt idx="55">
                  <c:v>23.03</c:v>
                </c:pt>
                <c:pt idx="56">
                  <c:v>22.97</c:v>
                </c:pt>
                <c:pt idx="57">
                  <c:v>23</c:v>
                </c:pt>
                <c:pt idx="58">
                  <c:v>22.9</c:v>
                </c:pt>
                <c:pt idx="59">
                  <c:v>22.91</c:v>
                </c:pt>
                <c:pt idx="60">
                  <c:v>22.85</c:v>
                </c:pt>
                <c:pt idx="61">
                  <c:v>22.83</c:v>
                </c:pt>
                <c:pt idx="62">
                  <c:v>22.9</c:v>
                </c:pt>
                <c:pt idx="63">
                  <c:v>22.94</c:v>
                </c:pt>
                <c:pt idx="64">
                  <c:v>22.7</c:v>
                </c:pt>
                <c:pt idx="65">
                  <c:v>22.73</c:v>
                </c:pt>
                <c:pt idx="66">
                  <c:v>22.73</c:v>
                </c:pt>
                <c:pt idx="67">
                  <c:v>22.58</c:v>
                </c:pt>
                <c:pt idx="68">
                  <c:v>22.56</c:v>
                </c:pt>
                <c:pt idx="69">
                  <c:v>22.52</c:v>
                </c:pt>
                <c:pt idx="70">
                  <c:v>22.64</c:v>
                </c:pt>
                <c:pt idx="71">
                  <c:v>22.64</c:v>
                </c:pt>
                <c:pt idx="72">
                  <c:v>22.64</c:v>
                </c:pt>
                <c:pt idx="73">
                  <c:v>22.68</c:v>
                </c:pt>
                <c:pt idx="74">
                  <c:v>22.65</c:v>
                </c:pt>
                <c:pt idx="75">
                  <c:v>22.71</c:v>
                </c:pt>
                <c:pt idx="76">
                  <c:v>22.6</c:v>
                </c:pt>
                <c:pt idx="77">
                  <c:v>22.58</c:v>
                </c:pt>
                <c:pt idx="78">
                  <c:v>22.5</c:v>
                </c:pt>
                <c:pt idx="79">
                  <c:v>22.37</c:v>
                </c:pt>
                <c:pt idx="80">
                  <c:v>22.32</c:v>
                </c:pt>
                <c:pt idx="81">
                  <c:v>22.37</c:v>
                </c:pt>
                <c:pt idx="82">
                  <c:v>22.4</c:v>
                </c:pt>
                <c:pt idx="83">
                  <c:v>22.52</c:v>
                </c:pt>
                <c:pt idx="84">
                  <c:v>22.53</c:v>
                </c:pt>
                <c:pt idx="85">
                  <c:v>22.56</c:v>
                </c:pt>
                <c:pt idx="86">
                  <c:v>22.44</c:v>
                </c:pt>
                <c:pt idx="87">
                  <c:v>22.46</c:v>
                </c:pt>
                <c:pt idx="88">
                  <c:v>22.55</c:v>
                </c:pt>
                <c:pt idx="89">
                  <c:v>22.48</c:v>
                </c:pt>
                <c:pt idx="90">
                  <c:v>22.51</c:v>
                </c:pt>
                <c:pt idx="91">
                  <c:v>22.44</c:v>
                </c:pt>
                <c:pt idx="92">
                  <c:v>22.41</c:v>
                </c:pt>
                <c:pt idx="93">
                  <c:v>22.51</c:v>
                </c:pt>
                <c:pt idx="94">
                  <c:v>22.53</c:v>
                </c:pt>
                <c:pt idx="95">
                  <c:v>22.51</c:v>
                </c:pt>
                <c:pt idx="96">
                  <c:v>22.59</c:v>
                </c:pt>
                <c:pt idx="97">
                  <c:v>22.62</c:v>
                </c:pt>
                <c:pt idx="98">
                  <c:v>22.51</c:v>
                </c:pt>
                <c:pt idx="99">
                  <c:v>22.47</c:v>
                </c:pt>
                <c:pt idx="100">
                  <c:v>22.35</c:v>
                </c:pt>
                <c:pt idx="101">
                  <c:v>22.42</c:v>
                </c:pt>
                <c:pt idx="102">
                  <c:v>22.54</c:v>
                </c:pt>
                <c:pt idx="103">
                  <c:v>22.62</c:v>
                </c:pt>
                <c:pt idx="104">
                  <c:v>22.6</c:v>
                </c:pt>
                <c:pt idx="105">
                  <c:v>22.59</c:v>
                </c:pt>
                <c:pt idx="106">
                  <c:v>22.56</c:v>
                </c:pt>
                <c:pt idx="107">
                  <c:v>22.53</c:v>
                </c:pt>
                <c:pt idx="108">
                  <c:v>22.48</c:v>
                </c:pt>
                <c:pt idx="109">
                  <c:v>22.52</c:v>
                </c:pt>
                <c:pt idx="110">
                  <c:v>22.48</c:v>
                </c:pt>
                <c:pt idx="111">
                  <c:v>22.49</c:v>
                </c:pt>
                <c:pt idx="112">
                  <c:v>22.45</c:v>
                </c:pt>
                <c:pt idx="113">
                  <c:v>22.39</c:v>
                </c:pt>
                <c:pt idx="114">
                  <c:v>22.44</c:v>
                </c:pt>
                <c:pt idx="115">
                  <c:v>22.33</c:v>
                </c:pt>
                <c:pt idx="116">
                  <c:v>22.4</c:v>
                </c:pt>
                <c:pt idx="117">
                  <c:v>22.32</c:v>
                </c:pt>
                <c:pt idx="118">
                  <c:v>22.34</c:v>
                </c:pt>
                <c:pt idx="119">
                  <c:v>22.33</c:v>
                </c:pt>
                <c:pt idx="120">
                  <c:v>22.32</c:v>
                </c:pt>
                <c:pt idx="121">
                  <c:v>22.46</c:v>
                </c:pt>
                <c:pt idx="122">
                  <c:v>22.64</c:v>
                </c:pt>
                <c:pt idx="123">
                  <c:v>22.81</c:v>
                </c:pt>
                <c:pt idx="124">
                  <c:v>23.04</c:v>
                </c:pt>
                <c:pt idx="125">
                  <c:v>22.99</c:v>
                </c:pt>
                <c:pt idx="126">
                  <c:v>22.99</c:v>
                </c:pt>
                <c:pt idx="127">
                  <c:v>22.84</c:v>
                </c:pt>
                <c:pt idx="128">
                  <c:v>22.69</c:v>
                </c:pt>
                <c:pt idx="129">
                  <c:v>22.7</c:v>
                </c:pt>
                <c:pt idx="130">
                  <c:v>22.64</c:v>
                </c:pt>
                <c:pt idx="131">
                  <c:v>22.64</c:v>
                </c:pt>
                <c:pt idx="132">
                  <c:v>22.68</c:v>
                </c:pt>
                <c:pt idx="133">
                  <c:v>22.83</c:v>
                </c:pt>
                <c:pt idx="134">
                  <c:v>22.93</c:v>
                </c:pt>
                <c:pt idx="135">
                  <c:v>22.97</c:v>
                </c:pt>
                <c:pt idx="136">
                  <c:v>23.04</c:v>
                </c:pt>
                <c:pt idx="137">
                  <c:v>23.08</c:v>
                </c:pt>
                <c:pt idx="138">
                  <c:v>23.07</c:v>
                </c:pt>
                <c:pt idx="139">
                  <c:v>22.93</c:v>
                </c:pt>
                <c:pt idx="140">
                  <c:v>22.92</c:v>
                </c:pt>
                <c:pt idx="141">
                  <c:v>22.93</c:v>
                </c:pt>
                <c:pt idx="142">
                  <c:v>23.05</c:v>
                </c:pt>
                <c:pt idx="143">
                  <c:v>22.99</c:v>
                </c:pt>
                <c:pt idx="144">
                  <c:v>22.98</c:v>
                </c:pt>
                <c:pt idx="145">
                  <c:v>23.03</c:v>
                </c:pt>
                <c:pt idx="146">
                  <c:v>23.03</c:v>
                </c:pt>
                <c:pt idx="147">
                  <c:v>22.72</c:v>
                </c:pt>
                <c:pt idx="148">
                  <c:v>22.49</c:v>
                </c:pt>
                <c:pt idx="149">
                  <c:v>22.57</c:v>
                </c:pt>
                <c:pt idx="150">
                  <c:v>22.4</c:v>
                </c:pt>
                <c:pt idx="151">
                  <c:v>22.36</c:v>
                </c:pt>
                <c:pt idx="152">
                  <c:v>22.41</c:v>
                </c:pt>
                <c:pt idx="153">
                  <c:v>22.39</c:v>
                </c:pt>
                <c:pt idx="154">
                  <c:v>22.28</c:v>
                </c:pt>
                <c:pt idx="155">
                  <c:v>22.07</c:v>
                </c:pt>
                <c:pt idx="156">
                  <c:v>21.9</c:v>
                </c:pt>
                <c:pt idx="157">
                  <c:v>22.09</c:v>
                </c:pt>
                <c:pt idx="158">
                  <c:v>22.16</c:v>
                </c:pt>
                <c:pt idx="159">
                  <c:v>21.97</c:v>
                </c:pt>
                <c:pt idx="160">
                  <c:v>22.19</c:v>
                </c:pt>
                <c:pt idx="161">
                  <c:v>21.92</c:v>
                </c:pt>
                <c:pt idx="162">
                  <c:v>22.12</c:v>
                </c:pt>
                <c:pt idx="163">
                  <c:v>21.98</c:v>
                </c:pt>
                <c:pt idx="164">
                  <c:v>22.04</c:v>
                </c:pt>
                <c:pt idx="165">
                  <c:v>21.8</c:v>
                </c:pt>
                <c:pt idx="166">
                  <c:v>21.73</c:v>
                </c:pt>
                <c:pt idx="167">
                  <c:v>21.72</c:v>
                </c:pt>
                <c:pt idx="168">
                  <c:v>21.95</c:v>
                </c:pt>
                <c:pt idx="169">
                  <c:v>21.96</c:v>
                </c:pt>
                <c:pt idx="170">
                  <c:v>21.88</c:v>
                </c:pt>
                <c:pt idx="171">
                  <c:v>21.86</c:v>
                </c:pt>
                <c:pt idx="172">
                  <c:v>21.93</c:v>
                </c:pt>
                <c:pt idx="173">
                  <c:v>22.25</c:v>
                </c:pt>
                <c:pt idx="174">
                  <c:v>22.22</c:v>
                </c:pt>
                <c:pt idx="175">
                  <c:v>22.17</c:v>
                </c:pt>
                <c:pt idx="176">
                  <c:v>22.21</c:v>
                </c:pt>
                <c:pt idx="177">
                  <c:v>22.38</c:v>
                </c:pt>
                <c:pt idx="178">
                  <c:v>22.34</c:v>
                </c:pt>
                <c:pt idx="179">
                  <c:v>22.27</c:v>
                </c:pt>
                <c:pt idx="180">
                  <c:v>22.42</c:v>
                </c:pt>
                <c:pt idx="181">
                  <c:v>22.45</c:v>
                </c:pt>
                <c:pt idx="182">
                  <c:v>22.24</c:v>
                </c:pt>
                <c:pt idx="183">
                  <c:v>22.25</c:v>
                </c:pt>
                <c:pt idx="184">
                  <c:v>22.17</c:v>
                </c:pt>
                <c:pt idx="185">
                  <c:v>22.25</c:v>
                </c:pt>
                <c:pt idx="186">
                  <c:v>22.19</c:v>
                </c:pt>
                <c:pt idx="187">
                  <c:v>22.13</c:v>
                </c:pt>
                <c:pt idx="188">
                  <c:v>21.98</c:v>
                </c:pt>
                <c:pt idx="189">
                  <c:v>22.27</c:v>
                </c:pt>
                <c:pt idx="190">
                  <c:v>22.23</c:v>
                </c:pt>
                <c:pt idx="191">
                  <c:v>22.13</c:v>
                </c:pt>
                <c:pt idx="192">
                  <c:v>22.13</c:v>
                </c:pt>
                <c:pt idx="193">
                  <c:v>22.34</c:v>
                </c:pt>
                <c:pt idx="194">
                  <c:v>22.31</c:v>
                </c:pt>
                <c:pt idx="195">
                  <c:v>22.39</c:v>
                </c:pt>
                <c:pt idx="196">
                  <c:v>22.29</c:v>
                </c:pt>
                <c:pt idx="197">
                  <c:v>22.14</c:v>
                </c:pt>
                <c:pt idx="198">
                  <c:v>22.11</c:v>
                </c:pt>
                <c:pt idx="199">
                  <c:v>22.05</c:v>
                </c:pt>
                <c:pt idx="200">
                  <c:v>21.81</c:v>
                </c:pt>
                <c:pt idx="201">
                  <c:v>21.9</c:v>
                </c:pt>
                <c:pt idx="202">
                  <c:v>21.74</c:v>
                </c:pt>
                <c:pt idx="203">
                  <c:v>21.95</c:v>
                </c:pt>
                <c:pt idx="204">
                  <c:v>21.94</c:v>
                </c:pt>
                <c:pt idx="205">
                  <c:v>21.93</c:v>
                </c:pt>
                <c:pt idx="206">
                  <c:v>22.04</c:v>
                </c:pt>
                <c:pt idx="207">
                  <c:v>22.04</c:v>
                </c:pt>
                <c:pt idx="208">
                  <c:v>22.11</c:v>
                </c:pt>
                <c:pt idx="209">
                  <c:v>22.17</c:v>
                </c:pt>
                <c:pt idx="210">
                  <c:v>22.03</c:v>
                </c:pt>
                <c:pt idx="211">
                  <c:v>22.02</c:v>
                </c:pt>
                <c:pt idx="212">
                  <c:v>21.89</c:v>
                </c:pt>
                <c:pt idx="213">
                  <c:v>21.93</c:v>
                </c:pt>
                <c:pt idx="214">
                  <c:v>21.74</c:v>
                </c:pt>
                <c:pt idx="215">
                  <c:v>21.7</c:v>
                </c:pt>
                <c:pt idx="216">
                  <c:v>21.78</c:v>
                </c:pt>
                <c:pt idx="217">
                  <c:v>21.72</c:v>
                </c:pt>
                <c:pt idx="218">
                  <c:v>21.94</c:v>
                </c:pt>
                <c:pt idx="219">
                  <c:v>21.94</c:v>
                </c:pt>
                <c:pt idx="220">
                  <c:v>22</c:v>
                </c:pt>
                <c:pt idx="221">
                  <c:v>22.06</c:v>
                </c:pt>
                <c:pt idx="222">
                  <c:v>21.87</c:v>
                </c:pt>
                <c:pt idx="223">
                  <c:v>21.82</c:v>
                </c:pt>
                <c:pt idx="224">
                  <c:v>21.72</c:v>
                </c:pt>
                <c:pt idx="225">
                  <c:v>21.67</c:v>
                </c:pt>
                <c:pt idx="226">
                  <c:v>21.66</c:v>
                </c:pt>
                <c:pt idx="227">
                  <c:v>21.68</c:v>
                </c:pt>
                <c:pt idx="228">
                  <c:v>21.73</c:v>
                </c:pt>
                <c:pt idx="229">
                  <c:v>21.75</c:v>
                </c:pt>
                <c:pt idx="230">
                  <c:v>21.68</c:v>
                </c:pt>
                <c:pt idx="231">
                  <c:v>21.59</c:v>
                </c:pt>
                <c:pt idx="232">
                  <c:v>21.68</c:v>
                </c:pt>
                <c:pt idx="233">
                  <c:v>21.67</c:v>
                </c:pt>
                <c:pt idx="234">
                  <c:v>21.55</c:v>
                </c:pt>
                <c:pt idx="235">
                  <c:v>21.5</c:v>
                </c:pt>
                <c:pt idx="236">
                  <c:v>21.52</c:v>
                </c:pt>
                <c:pt idx="237">
                  <c:v>21.59</c:v>
                </c:pt>
                <c:pt idx="238">
                  <c:v>21.45</c:v>
                </c:pt>
                <c:pt idx="239">
                  <c:v>21.59</c:v>
                </c:pt>
                <c:pt idx="240">
                  <c:v>21.66</c:v>
                </c:pt>
                <c:pt idx="241">
                  <c:v>21.59</c:v>
                </c:pt>
                <c:pt idx="242">
                  <c:v>21.56</c:v>
                </c:pt>
                <c:pt idx="243">
                  <c:v>21.51</c:v>
                </c:pt>
                <c:pt idx="244">
                  <c:v>21.46</c:v>
                </c:pt>
                <c:pt idx="245">
                  <c:v>21.46</c:v>
                </c:pt>
                <c:pt idx="246">
                  <c:v>21.36</c:v>
                </c:pt>
                <c:pt idx="247">
                  <c:v>21.4</c:v>
                </c:pt>
                <c:pt idx="248">
                  <c:v>21.44</c:v>
                </c:pt>
                <c:pt idx="249">
                  <c:v>21.47</c:v>
                </c:pt>
                <c:pt idx="250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8-4663-A694-2BDDC60FA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4025"/>
        <c:axId val="2079362358"/>
      </c:areaChart>
      <c:dateAx>
        <c:axId val="14124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2079362358"/>
        <c:crosses val="autoZero"/>
        <c:auto val="1"/>
        <c:lblOffset val="100"/>
        <c:baseTimeUnit val="days"/>
      </c:dateAx>
      <c:valAx>
        <c:axId val="2079362358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41240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HYG!$F$27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HYG!$B$28:$B$1000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HYG!$F$28:$F$1000</c:f>
              <c:numCache>
                <c:formatCode>#,##0.00</c:formatCode>
                <c:ptCount val="973"/>
                <c:pt idx="0">
                  <c:v>80.33</c:v>
                </c:pt>
                <c:pt idx="1">
                  <c:v>80.38</c:v>
                </c:pt>
                <c:pt idx="2">
                  <c:v>79.98</c:v>
                </c:pt>
                <c:pt idx="3">
                  <c:v>80.25</c:v>
                </c:pt>
                <c:pt idx="4">
                  <c:v>80.209999999999994</c:v>
                </c:pt>
                <c:pt idx="5">
                  <c:v>80.290000000000006</c:v>
                </c:pt>
                <c:pt idx="6">
                  <c:v>80.209999999999994</c:v>
                </c:pt>
                <c:pt idx="7">
                  <c:v>80.22</c:v>
                </c:pt>
                <c:pt idx="8">
                  <c:v>80.22</c:v>
                </c:pt>
                <c:pt idx="9">
                  <c:v>80.400000000000006</c:v>
                </c:pt>
                <c:pt idx="10">
                  <c:v>80.61</c:v>
                </c:pt>
                <c:pt idx="11">
                  <c:v>80.400000000000006</c:v>
                </c:pt>
                <c:pt idx="12">
                  <c:v>80.459999999999994</c:v>
                </c:pt>
                <c:pt idx="13">
                  <c:v>80.400000000000006</c:v>
                </c:pt>
                <c:pt idx="14">
                  <c:v>80.38</c:v>
                </c:pt>
                <c:pt idx="15">
                  <c:v>80.349999999999994</c:v>
                </c:pt>
                <c:pt idx="16">
                  <c:v>80.2</c:v>
                </c:pt>
                <c:pt idx="17">
                  <c:v>80.849999999999994</c:v>
                </c:pt>
                <c:pt idx="18">
                  <c:v>80.69</c:v>
                </c:pt>
                <c:pt idx="19">
                  <c:v>80.87</c:v>
                </c:pt>
                <c:pt idx="20">
                  <c:v>80.97</c:v>
                </c:pt>
                <c:pt idx="21">
                  <c:v>81.010000000000005</c:v>
                </c:pt>
                <c:pt idx="22">
                  <c:v>80.86</c:v>
                </c:pt>
                <c:pt idx="23">
                  <c:v>80.39</c:v>
                </c:pt>
                <c:pt idx="24">
                  <c:v>80.61</c:v>
                </c:pt>
                <c:pt idx="25">
                  <c:v>80.83</c:v>
                </c:pt>
                <c:pt idx="26">
                  <c:v>80.87</c:v>
                </c:pt>
                <c:pt idx="27">
                  <c:v>80.87</c:v>
                </c:pt>
                <c:pt idx="28">
                  <c:v>80.78</c:v>
                </c:pt>
                <c:pt idx="29">
                  <c:v>80.84</c:v>
                </c:pt>
                <c:pt idx="30">
                  <c:v>81.040000000000006</c:v>
                </c:pt>
                <c:pt idx="31">
                  <c:v>80.959999999999994</c:v>
                </c:pt>
                <c:pt idx="32">
                  <c:v>81.19</c:v>
                </c:pt>
                <c:pt idx="33">
                  <c:v>81.13</c:v>
                </c:pt>
                <c:pt idx="34">
                  <c:v>81.05</c:v>
                </c:pt>
                <c:pt idx="35">
                  <c:v>81.23</c:v>
                </c:pt>
                <c:pt idx="36">
                  <c:v>81.260000000000005</c:v>
                </c:pt>
                <c:pt idx="37">
                  <c:v>81.319999999999993</c:v>
                </c:pt>
                <c:pt idx="38">
                  <c:v>81.260000000000005</c:v>
                </c:pt>
                <c:pt idx="39">
                  <c:v>81.150000000000006</c:v>
                </c:pt>
                <c:pt idx="40">
                  <c:v>80.92</c:v>
                </c:pt>
                <c:pt idx="41">
                  <c:v>81.08</c:v>
                </c:pt>
                <c:pt idx="42">
                  <c:v>81.22</c:v>
                </c:pt>
                <c:pt idx="43">
                  <c:v>81.19</c:v>
                </c:pt>
                <c:pt idx="44">
                  <c:v>80.959999999999994</c:v>
                </c:pt>
                <c:pt idx="45">
                  <c:v>80.930000000000007</c:v>
                </c:pt>
                <c:pt idx="46">
                  <c:v>80.84</c:v>
                </c:pt>
                <c:pt idx="47">
                  <c:v>80.86</c:v>
                </c:pt>
                <c:pt idx="48">
                  <c:v>80.77</c:v>
                </c:pt>
                <c:pt idx="49">
                  <c:v>80.650000000000006</c:v>
                </c:pt>
                <c:pt idx="50">
                  <c:v>80.42</c:v>
                </c:pt>
                <c:pt idx="51">
                  <c:v>79.95</c:v>
                </c:pt>
                <c:pt idx="52">
                  <c:v>80.45</c:v>
                </c:pt>
                <c:pt idx="53">
                  <c:v>80.540000000000006</c:v>
                </c:pt>
                <c:pt idx="54">
                  <c:v>80.8</c:v>
                </c:pt>
                <c:pt idx="55">
                  <c:v>80.510000000000005</c:v>
                </c:pt>
                <c:pt idx="56">
                  <c:v>80.72</c:v>
                </c:pt>
                <c:pt idx="57">
                  <c:v>80.88</c:v>
                </c:pt>
                <c:pt idx="58">
                  <c:v>80.760000000000005</c:v>
                </c:pt>
                <c:pt idx="59">
                  <c:v>80.680000000000007</c:v>
                </c:pt>
                <c:pt idx="60">
                  <c:v>80.86</c:v>
                </c:pt>
                <c:pt idx="61">
                  <c:v>81.08</c:v>
                </c:pt>
                <c:pt idx="62">
                  <c:v>81.28</c:v>
                </c:pt>
                <c:pt idx="63">
                  <c:v>81.2</c:v>
                </c:pt>
                <c:pt idx="64">
                  <c:v>80.95</c:v>
                </c:pt>
                <c:pt idx="65">
                  <c:v>80.8</c:v>
                </c:pt>
                <c:pt idx="66">
                  <c:v>80.8</c:v>
                </c:pt>
                <c:pt idx="67">
                  <c:v>80.14</c:v>
                </c:pt>
                <c:pt idx="68">
                  <c:v>80.150000000000006</c:v>
                </c:pt>
                <c:pt idx="69">
                  <c:v>80.23</c:v>
                </c:pt>
                <c:pt idx="70">
                  <c:v>80.260000000000005</c:v>
                </c:pt>
                <c:pt idx="71">
                  <c:v>80.33</c:v>
                </c:pt>
                <c:pt idx="72">
                  <c:v>80.599999999999994</c:v>
                </c:pt>
                <c:pt idx="73">
                  <c:v>80.69</c:v>
                </c:pt>
                <c:pt idx="74">
                  <c:v>80.53</c:v>
                </c:pt>
                <c:pt idx="75">
                  <c:v>80.2</c:v>
                </c:pt>
                <c:pt idx="76">
                  <c:v>80.22</c:v>
                </c:pt>
                <c:pt idx="77">
                  <c:v>80.09</c:v>
                </c:pt>
                <c:pt idx="78">
                  <c:v>80.11</c:v>
                </c:pt>
                <c:pt idx="79">
                  <c:v>80.150000000000006</c:v>
                </c:pt>
                <c:pt idx="80">
                  <c:v>80.099999999999994</c:v>
                </c:pt>
                <c:pt idx="81">
                  <c:v>80.37</c:v>
                </c:pt>
                <c:pt idx="82">
                  <c:v>80.59</c:v>
                </c:pt>
                <c:pt idx="83">
                  <c:v>80.87</c:v>
                </c:pt>
                <c:pt idx="84">
                  <c:v>80.95</c:v>
                </c:pt>
                <c:pt idx="85">
                  <c:v>80.989999999999995</c:v>
                </c:pt>
                <c:pt idx="86">
                  <c:v>80.47</c:v>
                </c:pt>
                <c:pt idx="87">
                  <c:v>80.62</c:v>
                </c:pt>
                <c:pt idx="88">
                  <c:v>80.69</c:v>
                </c:pt>
                <c:pt idx="89">
                  <c:v>80.75</c:v>
                </c:pt>
                <c:pt idx="90">
                  <c:v>80.75</c:v>
                </c:pt>
                <c:pt idx="91">
                  <c:v>80.55</c:v>
                </c:pt>
                <c:pt idx="92">
                  <c:v>80.459999999999994</c:v>
                </c:pt>
                <c:pt idx="93">
                  <c:v>80.73</c:v>
                </c:pt>
                <c:pt idx="94">
                  <c:v>80.72</c:v>
                </c:pt>
                <c:pt idx="95">
                  <c:v>80.569999999999993</c:v>
                </c:pt>
                <c:pt idx="96">
                  <c:v>80.61</c:v>
                </c:pt>
                <c:pt idx="97">
                  <c:v>80.66</c:v>
                </c:pt>
                <c:pt idx="98">
                  <c:v>80.56</c:v>
                </c:pt>
                <c:pt idx="99">
                  <c:v>80.78</c:v>
                </c:pt>
                <c:pt idx="100">
                  <c:v>80.36</c:v>
                </c:pt>
                <c:pt idx="101">
                  <c:v>80.430000000000007</c:v>
                </c:pt>
                <c:pt idx="102">
                  <c:v>80.489999999999995</c:v>
                </c:pt>
                <c:pt idx="103">
                  <c:v>80.64</c:v>
                </c:pt>
                <c:pt idx="104">
                  <c:v>80.599999999999994</c:v>
                </c:pt>
                <c:pt idx="105">
                  <c:v>80.63</c:v>
                </c:pt>
                <c:pt idx="106">
                  <c:v>80.709999999999994</c:v>
                </c:pt>
                <c:pt idx="107">
                  <c:v>80.63</c:v>
                </c:pt>
                <c:pt idx="108">
                  <c:v>80.67</c:v>
                </c:pt>
                <c:pt idx="109">
                  <c:v>80.88</c:v>
                </c:pt>
                <c:pt idx="110">
                  <c:v>80.900000000000006</c:v>
                </c:pt>
                <c:pt idx="111">
                  <c:v>80.88</c:v>
                </c:pt>
                <c:pt idx="112">
                  <c:v>80.94</c:v>
                </c:pt>
                <c:pt idx="113">
                  <c:v>81</c:v>
                </c:pt>
                <c:pt idx="114">
                  <c:v>81.040000000000006</c:v>
                </c:pt>
                <c:pt idx="115">
                  <c:v>81.040000000000006</c:v>
                </c:pt>
                <c:pt idx="116">
                  <c:v>81.040000000000006</c:v>
                </c:pt>
                <c:pt idx="117">
                  <c:v>81.040000000000006</c:v>
                </c:pt>
                <c:pt idx="118">
                  <c:v>81.09</c:v>
                </c:pt>
                <c:pt idx="119">
                  <c:v>80.88</c:v>
                </c:pt>
                <c:pt idx="120">
                  <c:v>81.12</c:v>
                </c:pt>
                <c:pt idx="121">
                  <c:v>81.180000000000007</c:v>
                </c:pt>
                <c:pt idx="122">
                  <c:v>81.14</c:v>
                </c:pt>
                <c:pt idx="123">
                  <c:v>81.180000000000007</c:v>
                </c:pt>
                <c:pt idx="124">
                  <c:v>81.17</c:v>
                </c:pt>
                <c:pt idx="125">
                  <c:v>81.040000000000006</c:v>
                </c:pt>
                <c:pt idx="126">
                  <c:v>81.03</c:v>
                </c:pt>
                <c:pt idx="127">
                  <c:v>81.12</c:v>
                </c:pt>
                <c:pt idx="128">
                  <c:v>80.77</c:v>
                </c:pt>
                <c:pt idx="129">
                  <c:v>80.72</c:v>
                </c:pt>
                <c:pt idx="130">
                  <c:v>80.62</c:v>
                </c:pt>
                <c:pt idx="131">
                  <c:v>80.53</c:v>
                </c:pt>
                <c:pt idx="132">
                  <c:v>80.81</c:v>
                </c:pt>
                <c:pt idx="133">
                  <c:v>80.92</c:v>
                </c:pt>
                <c:pt idx="134">
                  <c:v>80.84</c:v>
                </c:pt>
                <c:pt idx="135">
                  <c:v>80.83</c:v>
                </c:pt>
                <c:pt idx="136">
                  <c:v>80.790000000000006</c:v>
                </c:pt>
                <c:pt idx="137">
                  <c:v>80.849999999999994</c:v>
                </c:pt>
                <c:pt idx="138">
                  <c:v>80.81</c:v>
                </c:pt>
                <c:pt idx="139">
                  <c:v>80.91</c:v>
                </c:pt>
                <c:pt idx="140">
                  <c:v>80.94</c:v>
                </c:pt>
                <c:pt idx="141">
                  <c:v>81</c:v>
                </c:pt>
                <c:pt idx="142">
                  <c:v>80.87</c:v>
                </c:pt>
                <c:pt idx="143">
                  <c:v>80.81</c:v>
                </c:pt>
                <c:pt idx="144">
                  <c:v>80.92</c:v>
                </c:pt>
                <c:pt idx="145">
                  <c:v>80.849999999999994</c:v>
                </c:pt>
                <c:pt idx="146">
                  <c:v>80.72</c:v>
                </c:pt>
                <c:pt idx="147">
                  <c:v>80.28</c:v>
                </c:pt>
                <c:pt idx="148">
                  <c:v>80.12</c:v>
                </c:pt>
                <c:pt idx="149">
                  <c:v>80.400000000000006</c:v>
                </c:pt>
                <c:pt idx="150">
                  <c:v>80.08</c:v>
                </c:pt>
                <c:pt idx="151">
                  <c:v>79.69</c:v>
                </c:pt>
                <c:pt idx="152">
                  <c:v>80.17</c:v>
                </c:pt>
                <c:pt idx="153">
                  <c:v>80.040000000000006</c:v>
                </c:pt>
                <c:pt idx="154">
                  <c:v>79.86</c:v>
                </c:pt>
                <c:pt idx="155">
                  <c:v>79.349999999999994</c:v>
                </c:pt>
                <c:pt idx="156">
                  <c:v>79.2</c:v>
                </c:pt>
                <c:pt idx="157">
                  <c:v>79.45</c:v>
                </c:pt>
                <c:pt idx="158">
                  <c:v>79.81</c:v>
                </c:pt>
                <c:pt idx="159">
                  <c:v>79.400000000000006</c:v>
                </c:pt>
                <c:pt idx="160">
                  <c:v>79.66</c:v>
                </c:pt>
                <c:pt idx="161">
                  <c:v>78.92</c:v>
                </c:pt>
                <c:pt idx="162">
                  <c:v>79.44</c:v>
                </c:pt>
                <c:pt idx="163">
                  <c:v>79.17</c:v>
                </c:pt>
                <c:pt idx="164">
                  <c:v>79.42</c:v>
                </c:pt>
                <c:pt idx="165">
                  <c:v>78.92</c:v>
                </c:pt>
                <c:pt idx="166">
                  <c:v>78.72</c:v>
                </c:pt>
                <c:pt idx="167">
                  <c:v>78.81</c:v>
                </c:pt>
                <c:pt idx="168">
                  <c:v>79.56</c:v>
                </c:pt>
                <c:pt idx="169">
                  <c:v>79.37</c:v>
                </c:pt>
                <c:pt idx="170">
                  <c:v>79.56</c:v>
                </c:pt>
                <c:pt idx="171">
                  <c:v>79.7</c:v>
                </c:pt>
                <c:pt idx="172">
                  <c:v>79.72</c:v>
                </c:pt>
                <c:pt idx="173">
                  <c:v>80.19</c:v>
                </c:pt>
                <c:pt idx="174">
                  <c:v>80.28</c:v>
                </c:pt>
                <c:pt idx="175">
                  <c:v>79.959999999999994</c:v>
                </c:pt>
                <c:pt idx="176">
                  <c:v>80.260000000000005</c:v>
                </c:pt>
                <c:pt idx="177">
                  <c:v>80.5</c:v>
                </c:pt>
                <c:pt idx="178">
                  <c:v>80.459999999999994</c:v>
                </c:pt>
                <c:pt idx="179">
                  <c:v>80.349999999999994</c:v>
                </c:pt>
                <c:pt idx="180">
                  <c:v>80.650000000000006</c:v>
                </c:pt>
                <c:pt idx="181">
                  <c:v>80.58</c:v>
                </c:pt>
                <c:pt idx="182">
                  <c:v>80.37</c:v>
                </c:pt>
                <c:pt idx="183">
                  <c:v>80.5</c:v>
                </c:pt>
                <c:pt idx="184">
                  <c:v>80.37</c:v>
                </c:pt>
                <c:pt idx="185">
                  <c:v>80.48</c:v>
                </c:pt>
                <c:pt idx="186">
                  <c:v>80.510000000000005</c:v>
                </c:pt>
                <c:pt idx="187">
                  <c:v>80.400000000000006</c:v>
                </c:pt>
                <c:pt idx="188">
                  <c:v>80.13</c:v>
                </c:pt>
                <c:pt idx="189">
                  <c:v>80.38</c:v>
                </c:pt>
                <c:pt idx="190">
                  <c:v>80.06</c:v>
                </c:pt>
                <c:pt idx="191">
                  <c:v>79.8</c:v>
                </c:pt>
                <c:pt idx="192">
                  <c:v>79.92</c:v>
                </c:pt>
                <c:pt idx="193">
                  <c:v>80.16</c:v>
                </c:pt>
                <c:pt idx="194">
                  <c:v>79.86</c:v>
                </c:pt>
                <c:pt idx="195">
                  <c:v>80.14</c:v>
                </c:pt>
                <c:pt idx="196">
                  <c:v>79.98</c:v>
                </c:pt>
                <c:pt idx="197">
                  <c:v>79.87</c:v>
                </c:pt>
                <c:pt idx="198">
                  <c:v>79.91</c:v>
                </c:pt>
                <c:pt idx="199">
                  <c:v>79.849999999999994</c:v>
                </c:pt>
                <c:pt idx="200">
                  <c:v>79.459999999999994</c:v>
                </c:pt>
                <c:pt idx="201">
                  <c:v>79.540000000000006</c:v>
                </c:pt>
                <c:pt idx="202">
                  <c:v>79.349999999999994</c:v>
                </c:pt>
                <c:pt idx="203">
                  <c:v>79.86</c:v>
                </c:pt>
                <c:pt idx="204">
                  <c:v>79.900000000000006</c:v>
                </c:pt>
                <c:pt idx="205">
                  <c:v>79.91</c:v>
                </c:pt>
                <c:pt idx="206">
                  <c:v>80.180000000000007</c:v>
                </c:pt>
                <c:pt idx="207">
                  <c:v>80.13</c:v>
                </c:pt>
                <c:pt idx="208">
                  <c:v>80.23</c:v>
                </c:pt>
                <c:pt idx="209">
                  <c:v>80.31</c:v>
                </c:pt>
                <c:pt idx="210">
                  <c:v>79.84</c:v>
                </c:pt>
                <c:pt idx="211">
                  <c:v>79.900000000000006</c:v>
                </c:pt>
                <c:pt idx="212">
                  <c:v>79.680000000000007</c:v>
                </c:pt>
                <c:pt idx="213">
                  <c:v>79.83</c:v>
                </c:pt>
                <c:pt idx="214">
                  <c:v>79.430000000000007</c:v>
                </c:pt>
                <c:pt idx="215">
                  <c:v>79.540000000000006</c:v>
                </c:pt>
                <c:pt idx="216">
                  <c:v>79.62</c:v>
                </c:pt>
                <c:pt idx="217">
                  <c:v>79.47</c:v>
                </c:pt>
                <c:pt idx="218">
                  <c:v>79.94</c:v>
                </c:pt>
                <c:pt idx="219">
                  <c:v>79.94</c:v>
                </c:pt>
                <c:pt idx="220">
                  <c:v>80.040000000000006</c:v>
                </c:pt>
                <c:pt idx="221">
                  <c:v>80.03</c:v>
                </c:pt>
                <c:pt idx="222">
                  <c:v>79.73</c:v>
                </c:pt>
                <c:pt idx="223">
                  <c:v>80.010000000000005</c:v>
                </c:pt>
                <c:pt idx="224">
                  <c:v>79.94</c:v>
                </c:pt>
                <c:pt idx="225">
                  <c:v>79.87</c:v>
                </c:pt>
                <c:pt idx="226">
                  <c:v>79.849999999999994</c:v>
                </c:pt>
                <c:pt idx="227">
                  <c:v>79.88</c:v>
                </c:pt>
                <c:pt idx="228">
                  <c:v>79.83</c:v>
                </c:pt>
                <c:pt idx="229">
                  <c:v>80.010000000000005</c:v>
                </c:pt>
                <c:pt idx="230">
                  <c:v>79.97</c:v>
                </c:pt>
                <c:pt idx="231">
                  <c:v>79.59</c:v>
                </c:pt>
                <c:pt idx="232">
                  <c:v>79.709999999999994</c:v>
                </c:pt>
                <c:pt idx="233">
                  <c:v>79.87</c:v>
                </c:pt>
                <c:pt idx="234">
                  <c:v>79.760000000000005</c:v>
                </c:pt>
                <c:pt idx="235">
                  <c:v>79.66</c:v>
                </c:pt>
                <c:pt idx="236">
                  <c:v>79.75</c:v>
                </c:pt>
                <c:pt idx="237">
                  <c:v>79.709999999999994</c:v>
                </c:pt>
                <c:pt idx="238">
                  <c:v>79.52</c:v>
                </c:pt>
                <c:pt idx="239">
                  <c:v>79.680000000000007</c:v>
                </c:pt>
                <c:pt idx="240">
                  <c:v>79.81</c:v>
                </c:pt>
                <c:pt idx="241">
                  <c:v>79.8</c:v>
                </c:pt>
                <c:pt idx="242">
                  <c:v>79.650000000000006</c:v>
                </c:pt>
                <c:pt idx="243">
                  <c:v>79.680000000000007</c:v>
                </c:pt>
                <c:pt idx="244">
                  <c:v>79.650000000000006</c:v>
                </c:pt>
                <c:pt idx="245">
                  <c:v>79.52</c:v>
                </c:pt>
                <c:pt idx="246">
                  <c:v>79.23</c:v>
                </c:pt>
                <c:pt idx="247">
                  <c:v>79.23</c:v>
                </c:pt>
                <c:pt idx="248">
                  <c:v>79.27</c:v>
                </c:pt>
                <c:pt idx="249">
                  <c:v>79.42</c:v>
                </c:pt>
                <c:pt idx="250">
                  <c:v>79.239999999999995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4-49C9-88FD-4AA1407C2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016517"/>
        <c:axId val="413700956"/>
      </c:areaChart>
      <c:dateAx>
        <c:axId val="449016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413700956"/>
        <c:crosses val="autoZero"/>
        <c:auto val="1"/>
        <c:lblOffset val="100"/>
        <c:baseTimeUnit val="days"/>
      </c:dateAx>
      <c:valAx>
        <c:axId val="413700956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44901651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TIP!$F$27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TIP!$B$28:$B$1000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TIP!$F$28:$F$1000</c:f>
              <c:numCache>
                <c:formatCode>#,##0.00</c:formatCode>
                <c:ptCount val="973"/>
                <c:pt idx="0">
                  <c:v>109.85</c:v>
                </c:pt>
                <c:pt idx="1">
                  <c:v>109.67</c:v>
                </c:pt>
                <c:pt idx="2">
                  <c:v>110.17</c:v>
                </c:pt>
                <c:pt idx="3">
                  <c:v>110.49</c:v>
                </c:pt>
                <c:pt idx="4">
                  <c:v>110.39</c:v>
                </c:pt>
                <c:pt idx="5">
                  <c:v>110.3</c:v>
                </c:pt>
                <c:pt idx="6">
                  <c:v>110.42</c:v>
                </c:pt>
                <c:pt idx="7">
                  <c:v>110.35</c:v>
                </c:pt>
                <c:pt idx="8">
                  <c:v>110.35</c:v>
                </c:pt>
                <c:pt idx="9">
                  <c:v>110.16</c:v>
                </c:pt>
                <c:pt idx="10">
                  <c:v>110.58</c:v>
                </c:pt>
                <c:pt idx="11">
                  <c:v>110.25</c:v>
                </c:pt>
                <c:pt idx="12">
                  <c:v>110.04</c:v>
                </c:pt>
                <c:pt idx="13">
                  <c:v>109.92</c:v>
                </c:pt>
                <c:pt idx="14">
                  <c:v>110.03</c:v>
                </c:pt>
                <c:pt idx="15">
                  <c:v>110.15</c:v>
                </c:pt>
                <c:pt idx="16">
                  <c:v>110.17</c:v>
                </c:pt>
                <c:pt idx="17">
                  <c:v>110.92</c:v>
                </c:pt>
                <c:pt idx="18">
                  <c:v>110.71</c:v>
                </c:pt>
                <c:pt idx="19">
                  <c:v>110.97</c:v>
                </c:pt>
                <c:pt idx="20">
                  <c:v>111.22</c:v>
                </c:pt>
                <c:pt idx="21">
                  <c:v>111.29</c:v>
                </c:pt>
                <c:pt idx="22">
                  <c:v>111.17</c:v>
                </c:pt>
                <c:pt idx="23">
                  <c:v>110.55</c:v>
                </c:pt>
                <c:pt idx="24">
                  <c:v>110.8</c:v>
                </c:pt>
                <c:pt idx="25">
                  <c:v>110.97</c:v>
                </c:pt>
                <c:pt idx="26">
                  <c:v>111.46</c:v>
                </c:pt>
                <c:pt idx="27">
                  <c:v>111.69</c:v>
                </c:pt>
                <c:pt idx="28">
                  <c:v>111.47</c:v>
                </c:pt>
                <c:pt idx="29">
                  <c:v>111.64</c:v>
                </c:pt>
                <c:pt idx="30">
                  <c:v>111.82</c:v>
                </c:pt>
                <c:pt idx="31">
                  <c:v>111.67</c:v>
                </c:pt>
                <c:pt idx="32">
                  <c:v>111.78</c:v>
                </c:pt>
                <c:pt idx="33">
                  <c:v>111.88</c:v>
                </c:pt>
                <c:pt idx="34">
                  <c:v>111.81</c:v>
                </c:pt>
                <c:pt idx="35">
                  <c:v>111.5</c:v>
                </c:pt>
                <c:pt idx="36">
                  <c:v>111.44</c:v>
                </c:pt>
                <c:pt idx="37">
                  <c:v>111.17</c:v>
                </c:pt>
                <c:pt idx="38">
                  <c:v>111.47</c:v>
                </c:pt>
                <c:pt idx="39">
                  <c:v>111.27</c:v>
                </c:pt>
                <c:pt idx="40">
                  <c:v>111.09</c:v>
                </c:pt>
                <c:pt idx="41">
                  <c:v>111.11</c:v>
                </c:pt>
                <c:pt idx="42">
                  <c:v>111.25</c:v>
                </c:pt>
                <c:pt idx="43">
                  <c:v>111.22</c:v>
                </c:pt>
                <c:pt idx="44">
                  <c:v>111.22</c:v>
                </c:pt>
                <c:pt idx="45">
                  <c:v>111.17</c:v>
                </c:pt>
                <c:pt idx="46">
                  <c:v>111.05</c:v>
                </c:pt>
                <c:pt idx="47">
                  <c:v>110.86</c:v>
                </c:pt>
                <c:pt idx="48">
                  <c:v>111.17</c:v>
                </c:pt>
                <c:pt idx="49">
                  <c:v>111.25</c:v>
                </c:pt>
                <c:pt idx="50">
                  <c:v>111.12</c:v>
                </c:pt>
                <c:pt idx="51">
                  <c:v>111.51</c:v>
                </c:pt>
                <c:pt idx="52">
                  <c:v>111.79</c:v>
                </c:pt>
                <c:pt idx="53">
                  <c:v>111.67</c:v>
                </c:pt>
                <c:pt idx="54">
                  <c:v>111.64</c:v>
                </c:pt>
                <c:pt idx="55">
                  <c:v>111.9</c:v>
                </c:pt>
                <c:pt idx="56">
                  <c:v>111.68</c:v>
                </c:pt>
                <c:pt idx="57">
                  <c:v>111.78</c:v>
                </c:pt>
                <c:pt idx="58">
                  <c:v>112.02</c:v>
                </c:pt>
                <c:pt idx="59">
                  <c:v>112.2</c:v>
                </c:pt>
                <c:pt idx="60">
                  <c:v>111.98</c:v>
                </c:pt>
                <c:pt idx="61">
                  <c:v>111.97</c:v>
                </c:pt>
                <c:pt idx="62">
                  <c:v>111.94</c:v>
                </c:pt>
                <c:pt idx="63">
                  <c:v>112.03</c:v>
                </c:pt>
                <c:pt idx="64">
                  <c:v>111.44</c:v>
                </c:pt>
                <c:pt idx="65">
                  <c:v>111.2</c:v>
                </c:pt>
                <c:pt idx="66">
                  <c:v>111.38</c:v>
                </c:pt>
                <c:pt idx="67">
                  <c:v>110.94</c:v>
                </c:pt>
                <c:pt idx="68">
                  <c:v>110.99</c:v>
                </c:pt>
                <c:pt idx="69">
                  <c:v>110.58</c:v>
                </c:pt>
                <c:pt idx="70">
                  <c:v>110.88</c:v>
                </c:pt>
                <c:pt idx="71">
                  <c:v>110.9</c:v>
                </c:pt>
                <c:pt idx="72">
                  <c:v>110.92</c:v>
                </c:pt>
                <c:pt idx="73">
                  <c:v>111.37</c:v>
                </c:pt>
                <c:pt idx="74">
                  <c:v>111.13</c:v>
                </c:pt>
                <c:pt idx="75">
                  <c:v>110.88</c:v>
                </c:pt>
                <c:pt idx="76">
                  <c:v>110.75</c:v>
                </c:pt>
                <c:pt idx="77">
                  <c:v>110.77</c:v>
                </c:pt>
                <c:pt idx="78">
                  <c:v>110.85</c:v>
                </c:pt>
                <c:pt idx="79">
                  <c:v>110.71</c:v>
                </c:pt>
                <c:pt idx="80">
                  <c:v>110.76</c:v>
                </c:pt>
                <c:pt idx="81">
                  <c:v>111.02</c:v>
                </c:pt>
                <c:pt idx="82">
                  <c:v>111.07</c:v>
                </c:pt>
                <c:pt idx="83">
                  <c:v>111.27</c:v>
                </c:pt>
                <c:pt idx="84">
                  <c:v>111.51</c:v>
                </c:pt>
                <c:pt idx="85">
                  <c:v>111.26</c:v>
                </c:pt>
                <c:pt idx="86">
                  <c:v>110.5</c:v>
                </c:pt>
                <c:pt idx="87">
                  <c:v>110.53</c:v>
                </c:pt>
                <c:pt idx="88">
                  <c:v>110.78</c:v>
                </c:pt>
                <c:pt idx="89">
                  <c:v>110.63</c:v>
                </c:pt>
                <c:pt idx="90">
                  <c:v>110.45</c:v>
                </c:pt>
                <c:pt idx="91">
                  <c:v>110.23</c:v>
                </c:pt>
                <c:pt idx="92">
                  <c:v>110.09</c:v>
                </c:pt>
                <c:pt idx="93">
                  <c:v>110.45</c:v>
                </c:pt>
                <c:pt idx="94">
                  <c:v>110.4</c:v>
                </c:pt>
                <c:pt idx="95">
                  <c:v>110.23</c:v>
                </c:pt>
                <c:pt idx="96">
                  <c:v>110.15</c:v>
                </c:pt>
                <c:pt idx="97">
                  <c:v>110.17</c:v>
                </c:pt>
                <c:pt idx="98">
                  <c:v>110.29</c:v>
                </c:pt>
                <c:pt idx="99">
                  <c:v>110.5</c:v>
                </c:pt>
                <c:pt idx="100">
                  <c:v>109.94</c:v>
                </c:pt>
                <c:pt idx="101">
                  <c:v>109.78</c:v>
                </c:pt>
                <c:pt idx="102">
                  <c:v>109.83</c:v>
                </c:pt>
                <c:pt idx="103">
                  <c:v>110.06</c:v>
                </c:pt>
                <c:pt idx="104">
                  <c:v>110.05</c:v>
                </c:pt>
                <c:pt idx="105">
                  <c:v>110.15</c:v>
                </c:pt>
                <c:pt idx="106">
                  <c:v>110.13</c:v>
                </c:pt>
                <c:pt idx="107">
                  <c:v>109.91</c:v>
                </c:pt>
                <c:pt idx="108">
                  <c:v>109.86</c:v>
                </c:pt>
                <c:pt idx="109">
                  <c:v>110.16</c:v>
                </c:pt>
                <c:pt idx="110">
                  <c:v>110.08</c:v>
                </c:pt>
                <c:pt idx="111">
                  <c:v>110.25</c:v>
                </c:pt>
                <c:pt idx="112">
                  <c:v>110.03</c:v>
                </c:pt>
                <c:pt idx="113">
                  <c:v>110.18</c:v>
                </c:pt>
                <c:pt idx="114">
                  <c:v>110.18</c:v>
                </c:pt>
                <c:pt idx="115">
                  <c:v>110.28</c:v>
                </c:pt>
                <c:pt idx="116">
                  <c:v>110.4</c:v>
                </c:pt>
                <c:pt idx="117">
                  <c:v>110.23</c:v>
                </c:pt>
                <c:pt idx="118">
                  <c:v>110.02</c:v>
                </c:pt>
                <c:pt idx="119">
                  <c:v>109.69</c:v>
                </c:pt>
                <c:pt idx="120">
                  <c:v>110.12</c:v>
                </c:pt>
                <c:pt idx="121">
                  <c:v>110.01</c:v>
                </c:pt>
                <c:pt idx="122">
                  <c:v>110.23</c:v>
                </c:pt>
                <c:pt idx="123">
                  <c:v>110.38</c:v>
                </c:pt>
                <c:pt idx="124">
                  <c:v>110.39</c:v>
                </c:pt>
                <c:pt idx="125">
                  <c:v>110.44</c:v>
                </c:pt>
                <c:pt idx="126">
                  <c:v>110.52</c:v>
                </c:pt>
                <c:pt idx="127">
                  <c:v>110.48</c:v>
                </c:pt>
                <c:pt idx="128">
                  <c:v>110.19</c:v>
                </c:pt>
                <c:pt idx="129">
                  <c:v>110.37</c:v>
                </c:pt>
                <c:pt idx="130">
                  <c:v>110.25</c:v>
                </c:pt>
                <c:pt idx="131">
                  <c:v>110.56</c:v>
                </c:pt>
                <c:pt idx="132">
                  <c:v>110.67</c:v>
                </c:pt>
                <c:pt idx="133">
                  <c:v>110.76</c:v>
                </c:pt>
                <c:pt idx="134">
                  <c:v>110.99</c:v>
                </c:pt>
                <c:pt idx="135">
                  <c:v>110.81</c:v>
                </c:pt>
                <c:pt idx="136">
                  <c:v>111.25</c:v>
                </c:pt>
                <c:pt idx="137">
                  <c:v>111.39</c:v>
                </c:pt>
                <c:pt idx="138">
                  <c:v>111.23</c:v>
                </c:pt>
                <c:pt idx="139">
                  <c:v>111.16</c:v>
                </c:pt>
                <c:pt idx="140">
                  <c:v>111.25</c:v>
                </c:pt>
                <c:pt idx="141">
                  <c:v>111.19</c:v>
                </c:pt>
                <c:pt idx="142">
                  <c:v>111.29</c:v>
                </c:pt>
                <c:pt idx="143">
                  <c:v>111.31</c:v>
                </c:pt>
                <c:pt idx="144">
                  <c:v>111.41</c:v>
                </c:pt>
                <c:pt idx="145">
                  <c:v>111.71</c:v>
                </c:pt>
                <c:pt idx="146">
                  <c:v>111.88</c:v>
                </c:pt>
                <c:pt idx="147">
                  <c:v>111.57</c:v>
                </c:pt>
                <c:pt idx="148">
                  <c:v>111.5</c:v>
                </c:pt>
                <c:pt idx="149">
                  <c:v>111.25</c:v>
                </c:pt>
                <c:pt idx="150">
                  <c:v>111.22</c:v>
                </c:pt>
                <c:pt idx="151">
                  <c:v>111.43</c:v>
                </c:pt>
                <c:pt idx="152">
                  <c:v>111.61</c:v>
                </c:pt>
                <c:pt idx="153">
                  <c:v>111.24</c:v>
                </c:pt>
                <c:pt idx="154">
                  <c:v>111.07</c:v>
                </c:pt>
                <c:pt idx="155">
                  <c:v>110.93</c:v>
                </c:pt>
                <c:pt idx="156">
                  <c:v>110.71</c:v>
                </c:pt>
                <c:pt idx="157">
                  <c:v>111.06</c:v>
                </c:pt>
                <c:pt idx="158">
                  <c:v>111.45</c:v>
                </c:pt>
                <c:pt idx="159">
                  <c:v>111.24</c:v>
                </c:pt>
                <c:pt idx="160">
                  <c:v>111.11</c:v>
                </c:pt>
                <c:pt idx="161">
                  <c:v>110.22</c:v>
                </c:pt>
                <c:pt idx="162">
                  <c:v>110.19</c:v>
                </c:pt>
                <c:pt idx="163">
                  <c:v>109.83</c:v>
                </c:pt>
                <c:pt idx="164">
                  <c:v>110.16</c:v>
                </c:pt>
                <c:pt idx="165">
                  <c:v>109.76</c:v>
                </c:pt>
                <c:pt idx="166">
                  <c:v>109.67</c:v>
                </c:pt>
                <c:pt idx="167">
                  <c:v>110.35</c:v>
                </c:pt>
                <c:pt idx="168">
                  <c:v>110.36</c:v>
                </c:pt>
                <c:pt idx="169">
                  <c:v>110.36</c:v>
                </c:pt>
                <c:pt idx="170">
                  <c:v>110.81</c:v>
                </c:pt>
                <c:pt idx="171">
                  <c:v>110.76</c:v>
                </c:pt>
                <c:pt idx="172">
                  <c:v>110.89</c:v>
                </c:pt>
                <c:pt idx="173">
                  <c:v>110.91</c:v>
                </c:pt>
                <c:pt idx="174">
                  <c:v>110.96</c:v>
                </c:pt>
                <c:pt idx="175">
                  <c:v>111.02</c:v>
                </c:pt>
                <c:pt idx="176">
                  <c:v>111.28</c:v>
                </c:pt>
                <c:pt idx="177">
                  <c:v>111.53</c:v>
                </c:pt>
                <c:pt idx="178">
                  <c:v>111.43</c:v>
                </c:pt>
                <c:pt idx="179">
                  <c:v>111.19</c:v>
                </c:pt>
                <c:pt idx="180">
                  <c:v>111.48</c:v>
                </c:pt>
                <c:pt idx="181">
                  <c:v>111.41</c:v>
                </c:pt>
                <c:pt idx="182">
                  <c:v>111.22</c:v>
                </c:pt>
                <c:pt idx="183">
                  <c:v>111.39</c:v>
                </c:pt>
                <c:pt idx="184">
                  <c:v>111.57</c:v>
                </c:pt>
                <c:pt idx="185">
                  <c:v>111.8</c:v>
                </c:pt>
                <c:pt idx="186">
                  <c:v>111.77</c:v>
                </c:pt>
                <c:pt idx="187">
                  <c:v>111.73</c:v>
                </c:pt>
                <c:pt idx="188">
                  <c:v>111.39</c:v>
                </c:pt>
                <c:pt idx="189">
                  <c:v>111.56</c:v>
                </c:pt>
                <c:pt idx="190">
                  <c:v>111.35</c:v>
                </c:pt>
                <c:pt idx="191">
                  <c:v>111.15</c:v>
                </c:pt>
                <c:pt idx="192">
                  <c:v>111.07</c:v>
                </c:pt>
                <c:pt idx="193">
                  <c:v>111.15</c:v>
                </c:pt>
                <c:pt idx="194">
                  <c:v>111.03</c:v>
                </c:pt>
                <c:pt idx="195">
                  <c:v>111.4</c:v>
                </c:pt>
                <c:pt idx="196">
                  <c:v>111.31</c:v>
                </c:pt>
                <c:pt idx="197">
                  <c:v>111.12</c:v>
                </c:pt>
                <c:pt idx="198">
                  <c:v>111.12</c:v>
                </c:pt>
                <c:pt idx="199">
                  <c:v>111.01</c:v>
                </c:pt>
                <c:pt idx="200">
                  <c:v>110.61</c:v>
                </c:pt>
                <c:pt idx="201">
                  <c:v>110.48</c:v>
                </c:pt>
                <c:pt idx="202">
                  <c:v>110.11</c:v>
                </c:pt>
                <c:pt idx="203">
                  <c:v>110.37</c:v>
                </c:pt>
                <c:pt idx="204">
                  <c:v>110.37</c:v>
                </c:pt>
                <c:pt idx="205">
                  <c:v>110.38</c:v>
                </c:pt>
                <c:pt idx="206">
                  <c:v>110.82</c:v>
                </c:pt>
                <c:pt idx="207">
                  <c:v>110.88</c:v>
                </c:pt>
                <c:pt idx="208">
                  <c:v>111.18</c:v>
                </c:pt>
                <c:pt idx="209">
                  <c:v>111.21</c:v>
                </c:pt>
                <c:pt idx="210">
                  <c:v>109.98</c:v>
                </c:pt>
                <c:pt idx="211">
                  <c:v>109.97</c:v>
                </c:pt>
                <c:pt idx="212">
                  <c:v>109.77</c:v>
                </c:pt>
                <c:pt idx="213">
                  <c:v>109.78</c:v>
                </c:pt>
                <c:pt idx="214">
                  <c:v>109.25</c:v>
                </c:pt>
                <c:pt idx="215">
                  <c:v>109.13</c:v>
                </c:pt>
                <c:pt idx="216">
                  <c:v>109.32</c:v>
                </c:pt>
                <c:pt idx="217">
                  <c:v>109.21</c:v>
                </c:pt>
                <c:pt idx="218">
                  <c:v>109.6</c:v>
                </c:pt>
                <c:pt idx="219">
                  <c:v>109.61</c:v>
                </c:pt>
                <c:pt idx="220">
                  <c:v>109.76</c:v>
                </c:pt>
                <c:pt idx="221">
                  <c:v>109.76</c:v>
                </c:pt>
                <c:pt idx="222">
                  <c:v>109.03</c:v>
                </c:pt>
                <c:pt idx="223">
                  <c:v>109.39</c:v>
                </c:pt>
                <c:pt idx="224">
                  <c:v>108.94</c:v>
                </c:pt>
                <c:pt idx="225">
                  <c:v>108.9</c:v>
                </c:pt>
                <c:pt idx="226">
                  <c:v>109.32</c:v>
                </c:pt>
                <c:pt idx="227">
                  <c:v>109.5</c:v>
                </c:pt>
                <c:pt idx="228">
                  <c:v>109.7</c:v>
                </c:pt>
                <c:pt idx="229">
                  <c:v>109.9</c:v>
                </c:pt>
                <c:pt idx="230">
                  <c:v>109.43</c:v>
                </c:pt>
                <c:pt idx="231">
                  <c:v>108.17</c:v>
                </c:pt>
                <c:pt idx="232">
                  <c:v>108.33</c:v>
                </c:pt>
                <c:pt idx="233">
                  <c:v>108.49</c:v>
                </c:pt>
                <c:pt idx="234">
                  <c:v>108.17</c:v>
                </c:pt>
                <c:pt idx="235">
                  <c:v>108.05</c:v>
                </c:pt>
                <c:pt idx="236">
                  <c:v>108.12</c:v>
                </c:pt>
                <c:pt idx="237">
                  <c:v>108.13</c:v>
                </c:pt>
                <c:pt idx="238">
                  <c:v>107.91</c:v>
                </c:pt>
                <c:pt idx="239">
                  <c:v>108.01</c:v>
                </c:pt>
                <c:pt idx="240">
                  <c:v>108.07</c:v>
                </c:pt>
                <c:pt idx="241">
                  <c:v>107.97</c:v>
                </c:pt>
                <c:pt idx="242">
                  <c:v>108.27</c:v>
                </c:pt>
                <c:pt idx="243">
                  <c:v>108.05</c:v>
                </c:pt>
                <c:pt idx="244">
                  <c:v>107.88</c:v>
                </c:pt>
                <c:pt idx="245">
                  <c:v>107.77</c:v>
                </c:pt>
                <c:pt idx="246">
                  <c:v>107.49</c:v>
                </c:pt>
                <c:pt idx="247">
                  <c:v>107.5</c:v>
                </c:pt>
                <c:pt idx="248">
                  <c:v>107.39</c:v>
                </c:pt>
                <c:pt idx="249">
                  <c:v>107.66</c:v>
                </c:pt>
                <c:pt idx="250">
                  <c:v>107.77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3-41C3-9240-AAB26F790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94568"/>
        <c:axId val="438529969"/>
      </c:areaChart>
      <c:dateAx>
        <c:axId val="166094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438529969"/>
        <c:crosses val="autoZero"/>
        <c:auto val="1"/>
        <c:lblOffset val="100"/>
        <c:baseTimeUnit val="days"/>
      </c:dateAx>
      <c:valAx>
        <c:axId val="43852996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6609456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EFA!$F$27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EFA!$B$28:$B$1000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EFA!$F$28:$F$1000</c:f>
              <c:numCache>
                <c:formatCode>#,##0.00</c:formatCode>
                <c:ptCount val="973"/>
                <c:pt idx="0">
                  <c:v>88.47</c:v>
                </c:pt>
                <c:pt idx="1">
                  <c:v>87.52</c:v>
                </c:pt>
                <c:pt idx="2">
                  <c:v>87.29</c:v>
                </c:pt>
                <c:pt idx="3">
                  <c:v>88.45</c:v>
                </c:pt>
                <c:pt idx="4">
                  <c:v>88.44</c:v>
                </c:pt>
                <c:pt idx="5">
                  <c:v>89.02</c:v>
                </c:pt>
                <c:pt idx="6">
                  <c:v>89.82</c:v>
                </c:pt>
                <c:pt idx="7">
                  <c:v>90.37</c:v>
                </c:pt>
                <c:pt idx="8">
                  <c:v>89.99</c:v>
                </c:pt>
                <c:pt idx="9">
                  <c:v>91.09</c:v>
                </c:pt>
                <c:pt idx="10">
                  <c:v>91.64</c:v>
                </c:pt>
                <c:pt idx="11">
                  <c:v>91.65</c:v>
                </c:pt>
                <c:pt idx="12">
                  <c:v>92.19</c:v>
                </c:pt>
                <c:pt idx="13">
                  <c:v>92.09</c:v>
                </c:pt>
                <c:pt idx="14">
                  <c:v>92.1</c:v>
                </c:pt>
                <c:pt idx="15">
                  <c:v>92.43</c:v>
                </c:pt>
                <c:pt idx="16">
                  <c:v>91.85</c:v>
                </c:pt>
                <c:pt idx="17">
                  <c:v>93.23</c:v>
                </c:pt>
                <c:pt idx="18">
                  <c:v>92</c:v>
                </c:pt>
                <c:pt idx="19">
                  <c:v>91.9</c:v>
                </c:pt>
                <c:pt idx="20">
                  <c:v>91.68</c:v>
                </c:pt>
                <c:pt idx="21">
                  <c:v>92.02</c:v>
                </c:pt>
                <c:pt idx="22">
                  <c:v>91.48</c:v>
                </c:pt>
                <c:pt idx="23">
                  <c:v>90.58</c:v>
                </c:pt>
                <c:pt idx="24">
                  <c:v>90.72</c:v>
                </c:pt>
                <c:pt idx="25">
                  <c:v>91.38</c:v>
                </c:pt>
                <c:pt idx="26">
                  <c:v>91.79</c:v>
                </c:pt>
                <c:pt idx="27">
                  <c:v>92.71</c:v>
                </c:pt>
                <c:pt idx="28">
                  <c:v>92.4</c:v>
                </c:pt>
                <c:pt idx="29">
                  <c:v>92.38</c:v>
                </c:pt>
                <c:pt idx="30">
                  <c:v>93.36</c:v>
                </c:pt>
                <c:pt idx="31">
                  <c:v>92.99</c:v>
                </c:pt>
                <c:pt idx="32">
                  <c:v>93.61</c:v>
                </c:pt>
                <c:pt idx="33">
                  <c:v>93.35</c:v>
                </c:pt>
                <c:pt idx="34">
                  <c:v>93</c:v>
                </c:pt>
                <c:pt idx="35">
                  <c:v>93.36</c:v>
                </c:pt>
                <c:pt idx="36">
                  <c:v>93</c:v>
                </c:pt>
                <c:pt idx="37">
                  <c:v>93.3</c:v>
                </c:pt>
                <c:pt idx="38">
                  <c:v>93.12</c:v>
                </c:pt>
                <c:pt idx="39">
                  <c:v>92.58</c:v>
                </c:pt>
                <c:pt idx="40">
                  <c:v>91.92</c:v>
                </c:pt>
                <c:pt idx="41">
                  <c:v>92.63</c:v>
                </c:pt>
                <c:pt idx="42">
                  <c:v>92.99</c:v>
                </c:pt>
                <c:pt idx="43">
                  <c:v>93.37</c:v>
                </c:pt>
                <c:pt idx="44">
                  <c:v>94.14</c:v>
                </c:pt>
                <c:pt idx="45">
                  <c:v>94.29</c:v>
                </c:pt>
                <c:pt idx="46">
                  <c:v>95.08</c:v>
                </c:pt>
                <c:pt idx="47">
                  <c:v>95.3</c:v>
                </c:pt>
                <c:pt idx="48">
                  <c:v>94.47</c:v>
                </c:pt>
                <c:pt idx="49">
                  <c:v>94.75</c:v>
                </c:pt>
                <c:pt idx="50">
                  <c:v>93.97</c:v>
                </c:pt>
                <c:pt idx="51">
                  <c:v>92.24</c:v>
                </c:pt>
                <c:pt idx="52">
                  <c:v>92.98</c:v>
                </c:pt>
                <c:pt idx="53">
                  <c:v>93.4</c:v>
                </c:pt>
                <c:pt idx="54">
                  <c:v>93.85</c:v>
                </c:pt>
                <c:pt idx="55">
                  <c:v>94.34</c:v>
                </c:pt>
                <c:pt idx="56">
                  <c:v>94.51</c:v>
                </c:pt>
                <c:pt idx="57">
                  <c:v>95.29</c:v>
                </c:pt>
                <c:pt idx="58">
                  <c:v>94.59</c:v>
                </c:pt>
                <c:pt idx="59">
                  <c:v>94.45</c:v>
                </c:pt>
                <c:pt idx="60">
                  <c:v>94.89</c:v>
                </c:pt>
                <c:pt idx="61">
                  <c:v>95.04</c:v>
                </c:pt>
                <c:pt idx="62">
                  <c:v>95.7</c:v>
                </c:pt>
                <c:pt idx="63">
                  <c:v>95.66</c:v>
                </c:pt>
                <c:pt idx="64">
                  <c:v>95.12</c:v>
                </c:pt>
                <c:pt idx="65">
                  <c:v>94.7</c:v>
                </c:pt>
                <c:pt idx="66">
                  <c:v>94.49</c:v>
                </c:pt>
                <c:pt idx="67">
                  <c:v>94.53</c:v>
                </c:pt>
                <c:pt idx="68">
                  <c:v>93.56</c:v>
                </c:pt>
                <c:pt idx="69">
                  <c:v>94.16</c:v>
                </c:pt>
                <c:pt idx="70">
                  <c:v>93.95</c:v>
                </c:pt>
                <c:pt idx="71">
                  <c:v>94.3</c:v>
                </c:pt>
                <c:pt idx="72">
                  <c:v>95.29</c:v>
                </c:pt>
                <c:pt idx="73">
                  <c:v>95.99</c:v>
                </c:pt>
                <c:pt idx="74">
                  <c:v>96.56</c:v>
                </c:pt>
                <c:pt idx="75">
                  <c:v>95.53</c:v>
                </c:pt>
                <c:pt idx="76">
                  <c:v>95.26</c:v>
                </c:pt>
                <c:pt idx="77">
                  <c:v>94.02</c:v>
                </c:pt>
                <c:pt idx="78">
                  <c:v>92.8</c:v>
                </c:pt>
                <c:pt idx="79">
                  <c:v>92.52</c:v>
                </c:pt>
                <c:pt idx="80">
                  <c:v>91.24</c:v>
                </c:pt>
                <c:pt idx="81">
                  <c:v>92.65</c:v>
                </c:pt>
                <c:pt idx="82">
                  <c:v>92.73</c:v>
                </c:pt>
                <c:pt idx="83">
                  <c:v>93.84</c:v>
                </c:pt>
                <c:pt idx="84">
                  <c:v>94.87</c:v>
                </c:pt>
                <c:pt idx="85">
                  <c:v>95.19</c:v>
                </c:pt>
                <c:pt idx="86">
                  <c:v>94.72</c:v>
                </c:pt>
                <c:pt idx="87">
                  <c:v>95.04</c:v>
                </c:pt>
                <c:pt idx="88">
                  <c:v>95.55</c:v>
                </c:pt>
                <c:pt idx="89">
                  <c:v>95.81</c:v>
                </c:pt>
                <c:pt idx="90">
                  <c:v>95.81</c:v>
                </c:pt>
                <c:pt idx="91">
                  <c:v>95.51</c:v>
                </c:pt>
                <c:pt idx="92">
                  <c:v>95.38</c:v>
                </c:pt>
                <c:pt idx="93">
                  <c:v>96.44</c:v>
                </c:pt>
                <c:pt idx="94">
                  <c:v>97.01</c:v>
                </c:pt>
                <c:pt idx="95">
                  <c:v>96.5</c:v>
                </c:pt>
                <c:pt idx="96">
                  <c:v>97.09</c:v>
                </c:pt>
                <c:pt idx="97">
                  <c:v>94.92</c:v>
                </c:pt>
                <c:pt idx="98">
                  <c:v>94.15</c:v>
                </c:pt>
                <c:pt idx="99">
                  <c:v>94.82</c:v>
                </c:pt>
                <c:pt idx="100">
                  <c:v>95.46</c:v>
                </c:pt>
                <c:pt idx="101">
                  <c:v>95.7</c:v>
                </c:pt>
                <c:pt idx="102">
                  <c:v>96.29</c:v>
                </c:pt>
                <c:pt idx="103">
                  <c:v>96.41</c:v>
                </c:pt>
                <c:pt idx="104">
                  <c:v>96.57</c:v>
                </c:pt>
                <c:pt idx="105">
                  <c:v>96.28</c:v>
                </c:pt>
                <c:pt idx="106">
                  <c:v>96.44</c:v>
                </c:pt>
                <c:pt idx="107">
                  <c:v>96.03</c:v>
                </c:pt>
                <c:pt idx="108">
                  <c:v>97.04</c:v>
                </c:pt>
                <c:pt idx="109">
                  <c:v>98.15</c:v>
                </c:pt>
                <c:pt idx="110">
                  <c:v>98.3</c:v>
                </c:pt>
                <c:pt idx="111">
                  <c:v>97.93</c:v>
                </c:pt>
                <c:pt idx="112">
                  <c:v>97.94</c:v>
                </c:pt>
                <c:pt idx="113">
                  <c:v>98.81</c:v>
                </c:pt>
                <c:pt idx="114">
                  <c:v>99.41</c:v>
                </c:pt>
                <c:pt idx="115">
                  <c:v>98.84</c:v>
                </c:pt>
                <c:pt idx="116">
                  <c:v>99.3</c:v>
                </c:pt>
                <c:pt idx="117">
                  <c:v>99.26</c:v>
                </c:pt>
                <c:pt idx="118">
                  <c:v>99.53</c:v>
                </c:pt>
                <c:pt idx="119">
                  <c:v>98.02</c:v>
                </c:pt>
                <c:pt idx="120">
                  <c:v>99.03</c:v>
                </c:pt>
                <c:pt idx="121">
                  <c:v>99.42</c:v>
                </c:pt>
                <c:pt idx="122">
                  <c:v>99.97</c:v>
                </c:pt>
                <c:pt idx="123">
                  <c:v>100.47</c:v>
                </c:pt>
                <c:pt idx="124">
                  <c:v>102.09</c:v>
                </c:pt>
                <c:pt idx="125">
                  <c:v>101.01</c:v>
                </c:pt>
                <c:pt idx="126">
                  <c:v>101.69</c:v>
                </c:pt>
                <c:pt idx="127">
                  <c:v>100.74</c:v>
                </c:pt>
                <c:pt idx="128">
                  <c:v>101.4</c:v>
                </c:pt>
                <c:pt idx="129">
                  <c:v>101.45</c:v>
                </c:pt>
                <c:pt idx="130">
                  <c:v>101.78</c:v>
                </c:pt>
                <c:pt idx="131">
                  <c:v>100.33</c:v>
                </c:pt>
                <c:pt idx="132">
                  <c:v>102.61</c:v>
                </c:pt>
                <c:pt idx="133">
                  <c:v>103.99</c:v>
                </c:pt>
                <c:pt idx="134">
                  <c:v>104.24</c:v>
                </c:pt>
                <c:pt idx="135">
                  <c:v>104.94</c:v>
                </c:pt>
                <c:pt idx="136">
                  <c:v>104.15</c:v>
                </c:pt>
                <c:pt idx="137">
                  <c:v>104.24</c:v>
                </c:pt>
                <c:pt idx="138">
                  <c:v>104.22</c:v>
                </c:pt>
                <c:pt idx="139">
                  <c:v>104.34</c:v>
                </c:pt>
                <c:pt idx="140">
                  <c:v>104.05</c:v>
                </c:pt>
                <c:pt idx="141">
                  <c:v>104.9</c:v>
                </c:pt>
                <c:pt idx="142">
                  <c:v>104.47</c:v>
                </c:pt>
                <c:pt idx="143">
                  <c:v>104.66</c:v>
                </c:pt>
                <c:pt idx="144">
                  <c:v>105.66</c:v>
                </c:pt>
                <c:pt idx="145">
                  <c:v>105.57</c:v>
                </c:pt>
                <c:pt idx="146">
                  <c:v>105.38</c:v>
                </c:pt>
                <c:pt idx="147">
                  <c:v>103.3</c:v>
                </c:pt>
                <c:pt idx="148">
                  <c:v>100.09</c:v>
                </c:pt>
                <c:pt idx="149">
                  <c:v>101.38</c:v>
                </c:pt>
                <c:pt idx="150">
                  <c:v>99.16</c:v>
                </c:pt>
                <c:pt idx="151">
                  <c:v>98.28</c:v>
                </c:pt>
                <c:pt idx="152">
                  <c:v>98.99</c:v>
                </c:pt>
                <c:pt idx="153">
                  <c:v>99.22</c:v>
                </c:pt>
                <c:pt idx="154">
                  <c:v>99.01</c:v>
                </c:pt>
                <c:pt idx="155">
                  <c:v>97.46</c:v>
                </c:pt>
                <c:pt idx="156">
                  <c:v>96.3</c:v>
                </c:pt>
                <c:pt idx="157">
                  <c:v>98.1</c:v>
                </c:pt>
                <c:pt idx="158">
                  <c:v>98.37</c:v>
                </c:pt>
                <c:pt idx="159">
                  <c:v>96.69</c:v>
                </c:pt>
                <c:pt idx="160">
                  <c:v>96.52</c:v>
                </c:pt>
                <c:pt idx="161">
                  <c:v>93.59</c:v>
                </c:pt>
                <c:pt idx="162">
                  <c:v>95.84</c:v>
                </c:pt>
                <c:pt idx="163">
                  <c:v>95.27</c:v>
                </c:pt>
                <c:pt idx="164">
                  <c:v>96.66</c:v>
                </c:pt>
                <c:pt idx="165">
                  <c:v>94.66</c:v>
                </c:pt>
                <c:pt idx="166">
                  <c:v>93.8</c:v>
                </c:pt>
                <c:pt idx="167">
                  <c:v>94.07</c:v>
                </c:pt>
                <c:pt idx="168">
                  <c:v>97.13</c:v>
                </c:pt>
                <c:pt idx="169">
                  <c:v>98.61</c:v>
                </c:pt>
                <c:pt idx="170">
                  <c:v>98</c:v>
                </c:pt>
                <c:pt idx="171">
                  <c:v>98.49</c:v>
                </c:pt>
                <c:pt idx="172">
                  <c:v>98.35</c:v>
                </c:pt>
                <c:pt idx="173">
                  <c:v>102.19</c:v>
                </c:pt>
                <c:pt idx="174">
                  <c:v>101.95</c:v>
                </c:pt>
                <c:pt idx="175">
                  <c:v>102.18</c:v>
                </c:pt>
                <c:pt idx="176">
                  <c:v>102.81</c:v>
                </c:pt>
                <c:pt idx="177">
                  <c:v>103.64</c:v>
                </c:pt>
                <c:pt idx="178">
                  <c:v>103.31</c:v>
                </c:pt>
                <c:pt idx="179">
                  <c:v>103.01</c:v>
                </c:pt>
                <c:pt idx="180">
                  <c:v>104.32</c:v>
                </c:pt>
                <c:pt idx="181">
                  <c:v>103.91</c:v>
                </c:pt>
                <c:pt idx="182">
                  <c:v>101.63</c:v>
                </c:pt>
                <c:pt idx="183">
                  <c:v>101.97</c:v>
                </c:pt>
                <c:pt idx="184">
                  <c:v>101.24</c:v>
                </c:pt>
                <c:pt idx="185">
                  <c:v>101.77</c:v>
                </c:pt>
                <c:pt idx="186">
                  <c:v>101.38</c:v>
                </c:pt>
                <c:pt idx="187">
                  <c:v>100.96</c:v>
                </c:pt>
                <c:pt idx="188">
                  <c:v>99.93</c:v>
                </c:pt>
                <c:pt idx="189">
                  <c:v>102.32</c:v>
                </c:pt>
                <c:pt idx="190">
                  <c:v>102.1</c:v>
                </c:pt>
                <c:pt idx="191">
                  <c:v>100.7</c:v>
                </c:pt>
                <c:pt idx="192">
                  <c:v>102.04</c:v>
                </c:pt>
                <c:pt idx="193">
                  <c:v>104.81</c:v>
                </c:pt>
                <c:pt idx="194">
                  <c:v>102.89</c:v>
                </c:pt>
                <c:pt idx="195">
                  <c:v>103.96</c:v>
                </c:pt>
                <c:pt idx="196">
                  <c:v>103.74</c:v>
                </c:pt>
                <c:pt idx="197">
                  <c:v>103.14</c:v>
                </c:pt>
                <c:pt idx="198">
                  <c:v>103.83</c:v>
                </c:pt>
                <c:pt idx="199">
                  <c:v>103.46</c:v>
                </c:pt>
                <c:pt idx="200">
                  <c:v>101.72</c:v>
                </c:pt>
                <c:pt idx="201">
                  <c:v>102.66</c:v>
                </c:pt>
                <c:pt idx="202">
                  <c:v>101.92</c:v>
                </c:pt>
                <c:pt idx="203">
                  <c:v>103.62</c:v>
                </c:pt>
                <c:pt idx="204">
                  <c:v>104.19</c:v>
                </c:pt>
                <c:pt idx="205">
                  <c:v>103.98</c:v>
                </c:pt>
                <c:pt idx="206">
                  <c:v>105.13</c:v>
                </c:pt>
                <c:pt idx="207">
                  <c:v>104.77</c:v>
                </c:pt>
                <c:pt idx="208">
                  <c:v>104.69</c:v>
                </c:pt>
                <c:pt idx="209">
                  <c:v>104.8</c:v>
                </c:pt>
                <c:pt idx="210">
                  <c:v>104.44</c:v>
                </c:pt>
                <c:pt idx="211">
                  <c:v>105.02</c:v>
                </c:pt>
                <c:pt idx="212">
                  <c:v>104.12</c:v>
                </c:pt>
                <c:pt idx="213">
                  <c:v>104.95</c:v>
                </c:pt>
                <c:pt idx="214">
                  <c:v>102.26</c:v>
                </c:pt>
                <c:pt idx="215">
                  <c:v>102.88</c:v>
                </c:pt>
                <c:pt idx="216">
                  <c:v>102.9</c:v>
                </c:pt>
                <c:pt idx="217">
                  <c:v>101.57</c:v>
                </c:pt>
                <c:pt idx="218">
                  <c:v>104.73</c:v>
                </c:pt>
                <c:pt idx="219">
                  <c:v>105.02</c:v>
                </c:pt>
                <c:pt idx="220">
                  <c:v>104.08</c:v>
                </c:pt>
                <c:pt idx="221">
                  <c:v>104.31</c:v>
                </c:pt>
                <c:pt idx="222">
                  <c:v>103.78</c:v>
                </c:pt>
                <c:pt idx="223">
                  <c:v>104.41</c:v>
                </c:pt>
                <c:pt idx="224">
                  <c:v>104.58</c:v>
                </c:pt>
                <c:pt idx="225">
                  <c:v>102.46</c:v>
                </c:pt>
                <c:pt idx="226">
                  <c:v>102.26</c:v>
                </c:pt>
                <c:pt idx="227">
                  <c:v>103.15</c:v>
                </c:pt>
                <c:pt idx="228">
                  <c:v>102.54</c:v>
                </c:pt>
                <c:pt idx="229">
                  <c:v>103.45</c:v>
                </c:pt>
                <c:pt idx="230">
                  <c:v>103.88</c:v>
                </c:pt>
                <c:pt idx="231">
                  <c:v>103.02</c:v>
                </c:pt>
                <c:pt idx="232">
                  <c:v>104.37</c:v>
                </c:pt>
                <c:pt idx="233">
                  <c:v>105.46</c:v>
                </c:pt>
                <c:pt idx="234">
                  <c:v>104.16</c:v>
                </c:pt>
                <c:pt idx="235">
                  <c:v>103.36</c:v>
                </c:pt>
                <c:pt idx="236">
                  <c:v>103.92</c:v>
                </c:pt>
                <c:pt idx="237">
                  <c:v>104.33</c:v>
                </c:pt>
                <c:pt idx="238">
                  <c:v>103.24</c:v>
                </c:pt>
                <c:pt idx="239">
                  <c:v>103.96</c:v>
                </c:pt>
                <c:pt idx="240">
                  <c:v>104.65</c:v>
                </c:pt>
                <c:pt idx="241">
                  <c:v>103.81</c:v>
                </c:pt>
                <c:pt idx="242">
                  <c:v>103.33</c:v>
                </c:pt>
                <c:pt idx="243">
                  <c:v>102.57</c:v>
                </c:pt>
                <c:pt idx="244">
                  <c:v>104.06</c:v>
                </c:pt>
                <c:pt idx="245">
                  <c:v>104.25</c:v>
                </c:pt>
                <c:pt idx="246">
                  <c:v>102.9</c:v>
                </c:pt>
                <c:pt idx="247">
                  <c:v>103.41</c:v>
                </c:pt>
                <c:pt idx="248">
                  <c:v>103.91</c:v>
                </c:pt>
                <c:pt idx="249">
                  <c:v>103.89</c:v>
                </c:pt>
                <c:pt idx="250">
                  <c:v>103.37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E-415B-B5A0-FC6AE7F52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114145"/>
        <c:axId val="1389432755"/>
      </c:areaChart>
      <c:dateAx>
        <c:axId val="337114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389432755"/>
        <c:crosses val="autoZero"/>
        <c:auto val="1"/>
        <c:lblOffset val="100"/>
        <c:baseTimeUnit val="days"/>
      </c:dateAx>
      <c:valAx>
        <c:axId val="1389432755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3371141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EEM!$F$27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EEM!$B$28:$B$1000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EEM!$F$28:$F$1000</c:f>
              <c:numCache>
                <c:formatCode>#,##0.00</c:formatCode>
                <c:ptCount val="973"/>
                <c:pt idx="0">
                  <c:v>48.84</c:v>
                </c:pt>
                <c:pt idx="1">
                  <c:v>48.56</c:v>
                </c:pt>
                <c:pt idx="2">
                  <c:v>48.2</c:v>
                </c:pt>
                <c:pt idx="3">
                  <c:v>48.7</c:v>
                </c:pt>
                <c:pt idx="4">
                  <c:v>48.84</c:v>
                </c:pt>
                <c:pt idx="5">
                  <c:v>49.07</c:v>
                </c:pt>
                <c:pt idx="6">
                  <c:v>49.48</c:v>
                </c:pt>
                <c:pt idx="7">
                  <c:v>49.44</c:v>
                </c:pt>
                <c:pt idx="8">
                  <c:v>49.3</c:v>
                </c:pt>
                <c:pt idx="9">
                  <c:v>49.9</c:v>
                </c:pt>
                <c:pt idx="10">
                  <c:v>50.5</c:v>
                </c:pt>
                <c:pt idx="11">
                  <c:v>49.88</c:v>
                </c:pt>
                <c:pt idx="12">
                  <c:v>49.94</c:v>
                </c:pt>
                <c:pt idx="13">
                  <c:v>50.23</c:v>
                </c:pt>
                <c:pt idx="14">
                  <c:v>49.82</c:v>
                </c:pt>
                <c:pt idx="15">
                  <c:v>49.75</c:v>
                </c:pt>
                <c:pt idx="16">
                  <c:v>49.64</c:v>
                </c:pt>
                <c:pt idx="17">
                  <c:v>50.63</c:v>
                </c:pt>
                <c:pt idx="18">
                  <c:v>50.34</c:v>
                </c:pt>
                <c:pt idx="19">
                  <c:v>50.21</c:v>
                </c:pt>
                <c:pt idx="20">
                  <c:v>49.91</c:v>
                </c:pt>
                <c:pt idx="21">
                  <c:v>50.1</c:v>
                </c:pt>
                <c:pt idx="22">
                  <c:v>49.86</c:v>
                </c:pt>
                <c:pt idx="23">
                  <c:v>49.82</c:v>
                </c:pt>
                <c:pt idx="24">
                  <c:v>50.01</c:v>
                </c:pt>
                <c:pt idx="25">
                  <c:v>49.85</c:v>
                </c:pt>
                <c:pt idx="26">
                  <c:v>50.45</c:v>
                </c:pt>
                <c:pt idx="27">
                  <c:v>50.91</c:v>
                </c:pt>
                <c:pt idx="28">
                  <c:v>51.19</c:v>
                </c:pt>
                <c:pt idx="29">
                  <c:v>51.54</c:v>
                </c:pt>
                <c:pt idx="30">
                  <c:v>52.29</c:v>
                </c:pt>
                <c:pt idx="31">
                  <c:v>52.26</c:v>
                </c:pt>
                <c:pt idx="32">
                  <c:v>52.64</c:v>
                </c:pt>
                <c:pt idx="33">
                  <c:v>53.03</c:v>
                </c:pt>
                <c:pt idx="34">
                  <c:v>53.26</c:v>
                </c:pt>
                <c:pt idx="35">
                  <c:v>53.13</c:v>
                </c:pt>
                <c:pt idx="36">
                  <c:v>53.01</c:v>
                </c:pt>
                <c:pt idx="37">
                  <c:v>53.27</c:v>
                </c:pt>
                <c:pt idx="38">
                  <c:v>53.3</c:v>
                </c:pt>
                <c:pt idx="39">
                  <c:v>53.12</c:v>
                </c:pt>
                <c:pt idx="40">
                  <c:v>52.81</c:v>
                </c:pt>
                <c:pt idx="41">
                  <c:v>52.71</c:v>
                </c:pt>
                <c:pt idx="42">
                  <c:v>53.19</c:v>
                </c:pt>
                <c:pt idx="43">
                  <c:v>53.4</c:v>
                </c:pt>
                <c:pt idx="44">
                  <c:v>53.82</c:v>
                </c:pt>
                <c:pt idx="45">
                  <c:v>54.07</c:v>
                </c:pt>
                <c:pt idx="46">
                  <c:v>54.23</c:v>
                </c:pt>
                <c:pt idx="47">
                  <c:v>54.48</c:v>
                </c:pt>
                <c:pt idx="48">
                  <c:v>54.06</c:v>
                </c:pt>
                <c:pt idx="49">
                  <c:v>54.49</c:v>
                </c:pt>
                <c:pt idx="50">
                  <c:v>53.93</c:v>
                </c:pt>
                <c:pt idx="51">
                  <c:v>51.94</c:v>
                </c:pt>
                <c:pt idx="52">
                  <c:v>53.45</c:v>
                </c:pt>
                <c:pt idx="53">
                  <c:v>52.97</c:v>
                </c:pt>
                <c:pt idx="54">
                  <c:v>53.84</c:v>
                </c:pt>
                <c:pt idx="55">
                  <c:v>54.19</c:v>
                </c:pt>
                <c:pt idx="56">
                  <c:v>54.18</c:v>
                </c:pt>
                <c:pt idx="57">
                  <c:v>54.92</c:v>
                </c:pt>
                <c:pt idx="58">
                  <c:v>54.31</c:v>
                </c:pt>
                <c:pt idx="59">
                  <c:v>54.26</c:v>
                </c:pt>
                <c:pt idx="60">
                  <c:v>54.74</c:v>
                </c:pt>
                <c:pt idx="61">
                  <c:v>55.1</c:v>
                </c:pt>
                <c:pt idx="62">
                  <c:v>55.71</c:v>
                </c:pt>
                <c:pt idx="63">
                  <c:v>55.69</c:v>
                </c:pt>
                <c:pt idx="64">
                  <c:v>56.01</c:v>
                </c:pt>
                <c:pt idx="65">
                  <c:v>55.43</c:v>
                </c:pt>
                <c:pt idx="66">
                  <c:v>55.3</c:v>
                </c:pt>
                <c:pt idx="67">
                  <c:v>55.65</c:v>
                </c:pt>
                <c:pt idx="68">
                  <c:v>54.63</c:v>
                </c:pt>
                <c:pt idx="69">
                  <c:v>55.12</c:v>
                </c:pt>
                <c:pt idx="70">
                  <c:v>54.71</c:v>
                </c:pt>
                <c:pt idx="71">
                  <c:v>54.55</c:v>
                </c:pt>
                <c:pt idx="72">
                  <c:v>55.51</c:v>
                </c:pt>
                <c:pt idx="73">
                  <c:v>55.57</c:v>
                </c:pt>
                <c:pt idx="74">
                  <c:v>55.58</c:v>
                </c:pt>
                <c:pt idx="75">
                  <c:v>54.93</c:v>
                </c:pt>
                <c:pt idx="76">
                  <c:v>54.96</c:v>
                </c:pt>
                <c:pt idx="77">
                  <c:v>54.31</c:v>
                </c:pt>
                <c:pt idx="78">
                  <c:v>54.04</c:v>
                </c:pt>
                <c:pt idx="79">
                  <c:v>53.85</c:v>
                </c:pt>
                <c:pt idx="80">
                  <c:v>53.11</c:v>
                </c:pt>
                <c:pt idx="81">
                  <c:v>53.1</c:v>
                </c:pt>
                <c:pt idx="82">
                  <c:v>53.66</c:v>
                </c:pt>
                <c:pt idx="83">
                  <c:v>53.85</c:v>
                </c:pt>
                <c:pt idx="84">
                  <c:v>54.24</c:v>
                </c:pt>
                <c:pt idx="85">
                  <c:v>54.32</c:v>
                </c:pt>
                <c:pt idx="86">
                  <c:v>54.28</c:v>
                </c:pt>
                <c:pt idx="87">
                  <c:v>54.3</c:v>
                </c:pt>
                <c:pt idx="88">
                  <c:v>54.34</c:v>
                </c:pt>
                <c:pt idx="89">
                  <c:v>54.33</c:v>
                </c:pt>
                <c:pt idx="90">
                  <c:v>54.74</c:v>
                </c:pt>
                <c:pt idx="91">
                  <c:v>54.62</c:v>
                </c:pt>
                <c:pt idx="92">
                  <c:v>54.53</c:v>
                </c:pt>
                <c:pt idx="93">
                  <c:v>55.14</c:v>
                </c:pt>
                <c:pt idx="94">
                  <c:v>54.88</c:v>
                </c:pt>
                <c:pt idx="95">
                  <c:v>54.24</c:v>
                </c:pt>
                <c:pt idx="96">
                  <c:v>54.08</c:v>
                </c:pt>
                <c:pt idx="97">
                  <c:v>52.98</c:v>
                </c:pt>
                <c:pt idx="98">
                  <c:v>52.6</c:v>
                </c:pt>
                <c:pt idx="99">
                  <c:v>53.2</c:v>
                </c:pt>
                <c:pt idx="100">
                  <c:v>53.72</c:v>
                </c:pt>
                <c:pt idx="101">
                  <c:v>54.01</c:v>
                </c:pt>
                <c:pt idx="102">
                  <c:v>54.31</c:v>
                </c:pt>
                <c:pt idx="103">
                  <c:v>54.42</c:v>
                </c:pt>
                <c:pt idx="104">
                  <c:v>54.8</c:v>
                </c:pt>
                <c:pt idx="105">
                  <c:v>54.66</c:v>
                </c:pt>
                <c:pt idx="106">
                  <c:v>54.88</c:v>
                </c:pt>
                <c:pt idx="107">
                  <c:v>54.71</c:v>
                </c:pt>
                <c:pt idx="108">
                  <c:v>56.24</c:v>
                </c:pt>
                <c:pt idx="109">
                  <c:v>56.86</c:v>
                </c:pt>
                <c:pt idx="110">
                  <c:v>57.28</c:v>
                </c:pt>
                <c:pt idx="111">
                  <c:v>56.85</c:v>
                </c:pt>
                <c:pt idx="112">
                  <c:v>56.87</c:v>
                </c:pt>
                <c:pt idx="113">
                  <c:v>57.14</c:v>
                </c:pt>
                <c:pt idx="114">
                  <c:v>57.94</c:v>
                </c:pt>
                <c:pt idx="115">
                  <c:v>57.51</c:v>
                </c:pt>
                <c:pt idx="116">
                  <c:v>57.75</c:v>
                </c:pt>
                <c:pt idx="117">
                  <c:v>58.09</c:v>
                </c:pt>
                <c:pt idx="118">
                  <c:v>57.87</c:v>
                </c:pt>
                <c:pt idx="119">
                  <c:v>57.31</c:v>
                </c:pt>
                <c:pt idx="120">
                  <c:v>58.26</c:v>
                </c:pt>
                <c:pt idx="121">
                  <c:v>58.7</c:v>
                </c:pt>
                <c:pt idx="122">
                  <c:v>59.07</c:v>
                </c:pt>
                <c:pt idx="123">
                  <c:v>59.17</c:v>
                </c:pt>
                <c:pt idx="124">
                  <c:v>60.34</c:v>
                </c:pt>
                <c:pt idx="125">
                  <c:v>60.75</c:v>
                </c:pt>
                <c:pt idx="126">
                  <c:v>60.44</c:v>
                </c:pt>
                <c:pt idx="127">
                  <c:v>59.1</c:v>
                </c:pt>
                <c:pt idx="128">
                  <c:v>59.28</c:v>
                </c:pt>
                <c:pt idx="129">
                  <c:v>59.6</c:v>
                </c:pt>
                <c:pt idx="130">
                  <c:v>58.8</c:v>
                </c:pt>
                <c:pt idx="131">
                  <c:v>58.53</c:v>
                </c:pt>
                <c:pt idx="132">
                  <c:v>60.07</c:v>
                </c:pt>
                <c:pt idx="133">
                  <c:v>60.51</c:v>
                </c:pt>
                <c:pt idx="134">
                  <c:v>60.6</c:v>
                </c:pt>
                <c:pt idx="135">
                  <c:v>61.56</c:v>
                </c:pt>
                <c:pt idx="136">
                  <c:v>60.86</c:v>
                </c:pt>
                <c:pt idx="137">
                  <c:v>61.12</c:v>
                </c:pt>
                <c:pt idx="138">
                  <c:v>60.87</c:v>
                </c:pt>
                <c:pt idx="139">
                  <c:v>61.19</c:v>
                </c:pt>
                <c:pt idx="140">
                  <c:v>61.04</c:v>
                </c:pt>
                <c:pt idx="141">
                  <c:v>62.34</c:v>
                </c:pt>
                <c:pt idx="142">
                  <c:v>61.65</c:v>
                </c:pt>
                <c:pt idx="143">
                  <c:v>62.62</c:v>
                </c:pt>
                <c:pt idx="144">
                  <c:v>63.31</c:v>
                </c:pt>
                <c:pt idx="145">
                  <c:v>62.71</c:v>
                </c:pt>
                <c:pt idx="146">
                  <c:v>62.58</c:v>
                </c:pt>
                <c:pt idx="147">
                  <c:v>61.5</c:v>
                </c:pt>
                <c:pt idx="148">
                  <c:v>58.42</c:v>
                </c:pt>
                <c:pt idx="149">
                  <c:v>59.05</c:v>
                </c:pt>
                <c:pt idx="150">
                  <c:v>57.63</c:v>
                </c:pt>
                <c:pt idx="151">
                  <c:v>57.32</c:v>
                </c:pt>
                <c:pt idx="152">
                  <c:v>58.45</c:v>
                </c:pt>
                <c:pt idx="153">
                  <c:v>58.68</c:v>
                </c:pt>
                <c:pt idx="154">
                  <c:v>58.83</c:v>
                </c:pt>
                <c:pt idx="155">
                  <c:v>56.95</c:v>
                </c:pt>
                <c:pt idx="156">
                  <c:v>56.8</c:v>
                </c:pt>
                <c:pt idx="157">
                  <c:v>58.38</c:v>
                </c:pt>
                <c:pt idx="158">
                  <c:v>58.75</c:v>
                </c:pt>
                <c:pt idx="159">
                  <c:v>57.56</c:v>
                </c:pt>
                <c:pt idx="160">
                  <c:v>57.62</c:v>
                </c:pt>
                <c:pt idx="161">
                  <c:v>55.64</c:v>
                </c:pt>
                <c:pt idx="162">
                  <c:v>57.31</c:v>
                </c:pt>
                <c:pt idx="163">
                  <c:v>56.52</c:v>
                </c:pt>
                <c:pt idx="164">
                  <c:v>57.42</c:v>
                </c:pt>
                <c:pt idx="165">
                  <c:v>55.47</c:v>
                </c:pt>
                <c:pt idx="166">
                  <c:v>55.2</c:v>
                </c:pt>
                <c:pt idx="167">
                  <c:v>54.75</c:v>
                </c:pt>
                <c:pt idx="168">
                  <c:v>56.79</c:v>
                </c:pt>
                <c:pt idx="169">
                  <c:v>57.23</c:v>
                </c:pt>
                <c:pt idx="170">
                  <c:v>56.59</c:v>
                </c:pt>
                <c:pt idx="171">
                  <c:v>57.11</c:v>
                </c:pt>
                <c:pt idx="172">
                  <c:v>57.31</c:v>
                </c:pt>
                <c:pt idx="173">
                  <c:v>60.44</c:v>
                </c:pt>
                <c:pt idx="174">
                  <c:v>60.28</c:v>
                </c:pt>
                <c:pt idx="175">
                  <c:v>60.56</c:v>
                </c:pt>
                <c:pt idx="176">
                  <c:v>61.07</c:v>
                </c:pt>
                <c:pt idx="177">
                  <c:v>62.24</c:v>
                </c:pt>
                <c:pt idx="178">
                  <c:v>62.2</c:v>
                </c:pt>
                <c:pt idx="179">
                  <c:v>62.45</c:v>
                </c:pt>
                <c:pt idx="180">
                  <c:v>63.64</c:v>
                </c:pt>
                <c:pt idx="181">
                  <c:v>63.18</c:v>
                </c:pt>
                <c:pt idx="182">
                  <c:v>62.25</c:v>
                </c:pt>
                <c:pt idx="183">
                  <c:v>63.38</c:v>
                </c:pt>
                <c:pt idx="184">
                  <c:v>62.35</c:v>
                </c:pt>
                <c:pt idx="185">
                  <c:v>63.74</c:v>
                </c:pt>
                <c:pt idx="186">
                  <c:v>63.64</c:v>
                </c:pt>
                <c:pt idx="187">
                  <c:v>62.99</c:v>
                </c:pt>
                <c:pt idx="188">
                  <c:v>62.69</c:v>
                </c:pt>
                <c:pt idx="189">
                  <c:v>63.99</c:v>
                </c:pt>
                <c:pt idx="190">
                  <c:v>64.13</c:v>
                </c:pt>
                <c:pt idx="191">
                  <c:v>64.099999999999994</c:v>
                </c:pt>
                <c:pt idx="192">
                  <c:v>65.400000000000006</c:v>
                </c:pt>
                <c:pt idx="193">
                  <c:v>67.489999999999995</c:v>
                </c:pt>
                <c:pt idx="194">
                  <c:v>66.59</c:v>
                </c:pt>
                <c:pt idx="195">
                  <c:v>67.94</c:v>
                </c:pt>
                <c:pt idx="196">
                  <c:v>67.89</c:v>
                </c:pt>
                <c:pt idx="197">
                  <c:v>65.819999999999993</c:v>
                </c:pt>
                <c:pt idx="198">
                  <c:v>67.209999999999994</c:v>
                </c:pt>
                <c:pt idx="199">
                  <c:v>67.38</c:v>
                </c:pt>
                <c:pt idx="200">
                  <c:v>65.069999999999993</c:v>
                </c:pt>
                <c:pt idx="201">
                  <c:v>64.97</c:v>
                </c:pt>
                <c:pt idx="202">
                  <c:v>64.260000000000005</c:v>
                </c:pt>
                <c:pt idx="203">
                  <c:v>65.459999999999994</c:v>
                </c:pt>
                <c:pt idx="204">
                  <c:v>66.03</c:v>
                </c:pt>
                <c:pt idx="205">
                  <c:v>65.88</c:v>
                </c:pt>
                <c:pt idx="206">
                  <c:v>68.400000000000006</c:v>
                </c:pt>
                <c:pt idx="207">
                  <c:v>68.39</c:v>
                </c:pt>
                <c:pt idx="208">
                  <c:v>68.61</c:v>
                </c:pt>
                <c:pt idx="209">
                  <c:v>68.599999999999994</c:v>
                </c:pt>
                <c:pt idx="210">
                  <c:v>70.08</c:v>
                </c:pt>
                <c:pt idx="211">
                  <c:v>70.8</c:v>
                </c:pt>
                <c:pt idx="212">
                  <c:v>69.92</c:v>
                </c:pt>
                <c:pt idx="213">
                  <c:v>69.099999999999994</c:v>
                </c:pt>
                <c:pt idx="214">
                  <c:v>64.59</c:v>
                </c:pt>
                <c:pt idx="215">
                  <c:v>65.75</c:v>
                </c:pt>
                <c:pt idx="216">
                  <c:v>65.819999999999993</c:v>
                </c:pt>
                <c:pt idx="217">
                  <c:v>64.66</c:v>
                </c:pt>
                <c:pt idx="218">
                  <c:v>67.5</c:v>
                </c:pt>
                <c:pt idx="219">
                  <c:v>67.88</c:v>
                </c:pt>
                <c:pt idx="220">
                  <c:v>69.75</c:v>
                </c:pt>
                <c:pt idx="221">
                  <c:v>68.64</c:v>
                </c:pt>
                <c:pt idx="222">
                  <c:v>68.56</c:v>
                </c:pt>
                <c:pt idx="223">
                  <c:v>70.790000000000006</c:v>
                </c:pt>
                <c:pt idx="224">
                  <c:v>71.209999999999994</c:v>
                </c:pt>
                <c:pt idx="225">
                  <c:v>67.17</c:v>
                </c:pt>
                <c:pt idx="226">
                  <c:v>67.25</c:v>
                </c:pt>
                <c:pt idx="227">
                  <c:v>67.959999999999994</c:v>
                </c:pt>
                <c:pt idx="228">
                  <c:v>67.19</c:v>
                </c:pt>
                <c:pt idx="229">
                  <c:v>67.430000000000007</c:v>
                </c:pt>
                <c:pt idx="230">
                  <c:v>68.41</c:v>
                </c:pt>
                <c:pt idx="231">
                  <c:v>66.48</c:v>
                </c:pt>
                <c:pt idx="232">
                  <c:v>65.7</c:v>
                </c:pt>
                <c:pt idx="233">
                  <c:v>67.569999999999993</c:v>
                </c:pt>
                <c:pt idx="234">
                  <c:v>65.72</c:v>
                </c:pt>
                <c:pt idx="235">
                  <c:v>66.23</c:v>
                </c:pt>
                <c:pt idx="236">
                  <c:v>66.78</c:v>
                </c:pt>
                <c:pt idx="237">
                  <c:v>66.900000000000006</c:v>
                </c:pt>
                <c:pt idx="238">
                  <c:v>64.5</c:v>
                </c:pt>
                <c:pt idx="239">
                  <c:v>65.67</c:v>
                </c:pt>
                <c:pt idx="240">
                  <c:v>65.569999999999993</c:v>
                </c:pt>
                <c:pt idx="241">
                  <c:v>64.19</c:v>
                </c:pt>
                <c:pt idx="242">
                  <c:v>63.29</c:v>
                </c:pt>
                <c:pt idx="243">
                  <c:v>63.56</c:v>
                </c:pt>
                <c:pt idx="244">
                  <c:v>65.34</c:v>
                </c:pt>
                <c:pt idx="245">
                  <c:v>64.989999999999995</c:v>
                </c:pt>
                <c:pt idx="246">
                  <c:v>64.599999999999994</c:v>
                </c:pt>
                <c:pt idx="247">
                  <c:v>63.33</c:v>
                </c:pt>
                <c:pt idx="248">
                  <c:v>63.62</c:v>
                </c:pt>
                <c:pt idx="249">
                  <c:v>62.36</c:v>
                </c:pt>
                <c:pt idx="250">
                  <c:v>61.07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6-47F4-8E9D-63FD04A53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938578"/>
        <c:axId val="1662869527"/>
      </c:areaChart>
      <c:dateAx>
        <c:axId val="778938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662869527"/>
        <c:crosses val="autoZero"/>
        <c:auto val="1"/>
        <c:lblOffset val="100"/>
        <c:baseTimeUnit val="days"/>
      </c:dateAx>
      <c:valAx>
        <c:axId val="166286952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77893857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AGG!$F$27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AGG!$B$28:$B$1000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AGG!$F$28:$F$1000</c:f>
              <c:numCache>
                <c:formatCode>#,##0.00</c:formatCode>
                <c:ptCount val="973"/>
                <c:pt idx="0">
                  <c:v>98.57</c:v>
                </c:pt>
                <c:pt idx="1">
                  <c:v>98.62</c:v>
                </c:pt>
                <c:pt idx="2">
                  <c:v>99.14</c:v>
                </c:pt>
                <c:pt idx="3">
                  <c:v>99.22</c:v>
                </c:pt>
                <c:pt idx="4">
                  <c:v>99.25</c:v>
                </c:pt>
                <c:pt idx="5">
                  <c:v>99.21</c:v>
                </c:pt>
                <c:pt idx="6">
                  <c:v>99.13</c:v>
                </c:pt>
                <c:pt idx="7">
                  <c:v>98.94</c:v>
                </c:pt>
                <c:pt idx="8">
                  <c:v>99.01</c:v>
                </c:pt>
                <c:pt idx="9">
                  <c:v>99.01</c:v>
                </c:pt>
                <c:pt idx="10">
                  <c:v>99.37</c:v>
                </c:pt>
                <c:pt idx="11">
                  <c:v>99.09</c:v>
                </c:pt>
                <c:pt idx="12">
                  <c:v>98.94</c:v>
                </c:pt>
                <c:pt idx="13">
                  <c:v>98.83</c:v>
                </c:pt>
                <c:pt idx="14">
                  <c:v>99.02</c:v>
                </c:pt>
                <c:pt idx="15">
                  <c:v>99.08</c:v>
                </c:pt>
                <c:pt idx="16">
                  <c:v>98.85</c:v>
                </c:pt>
                <c:pt idx="17">
                  <c:v>99.4</c:v>
                </c:pt>
                <c:pt idx="18">
                  <c:v>99.25</c:v>
                </c:pt>
                <c:pt idx="19">
                  <c:v>99.37</c:v>
                </c:pt>
                <c:pt idx="20">
                  <c:v>99.47</c:v>
                </c:pt>
                <c:pt idx="21">
                  <c:v>99.59</c:v>
                </c:pt>
                <c:pt idx="22">
                  <c:v>99.46</c:v>
                </c:pt>
                <c:pt idx="23">
                  <c:v>98.87</c:v>
                </c:pt>
                <c:pt idx="24">
                  <c:v>99.23</c:v>
                </c:pt>
                <c:pt idx="25">
                  <c:v>99.63</c:v>
                </c:pt>
                <c:pt idx="26">
                  <c:v>100.1</c:v>
                </c:pt>
                <c:pt idx="27">
                  <c:v>100.44</c:v>
                </c:pt>
                <c:pt idx="28">
                  <c:v>100.24</c:v>
                </c:pt>
                <c:pt idx="29">
                  <c:v>100.44</c:v>
                </c:pt>
                <c:pt idx="30">
                  <c:v>100.63</c:v>
                </c:pt>
                <c:pt idx="31">
                  <c:v>100.54</c:v>
                </c:pt>
                <c:pt idx="32">
                  <c:v>100.71</c:v>
                </c:pt>
                <c:pt idx="33">
                  <c:v>100.75</c:v>
                </c:pt>
                <c:pt idx="34">
                  <c:v>100.57</c:v>
                </c:pt>
                <c:pt idx="35">
                  <c:v>100.29</c:v>
                </c:pt>
                <c:pt idx="36">
                  <c:v>100.29</c:v>
                </c:pt>
                <c:pt idx="37">
                  <c:v>100.17</c:v>
                </c:pt>
                <c:pt idx="38">
                  <c:v>100.33</c:v>
                </c:pt>
                <c:pt idx="39">
                  <c:v>100.33</c:v>
                </c:pt>
                <c:pt idx="40">
                  <c:v>100</c:v>
                </c:pt>
                <c:pt idx="41">
                  <c:v>100.07</c:v>
                </c:pt>
                <c:pt idx="42">
                  <c:v>100.26</c:v>
                </c:pt>
                <c:pt idx="43">
                  <c:v>100.25</c:v>
                </c:pt>
                <c:pt idx="44">
                  <c:v>100.18</c:v>
                </c:pt>
                <c:pt idx="45">
                  <c:v>100.29</c:v>
                </c:pt>
                <c:pt idx="46">
                  <c:v>100.18</c:v>
                </c:pt>
                <c:pt idx="47">
                  <c:v>99.96</c:v>
                </c:pt>
                <c:pt idx="48">
                  <c:v>100.13</c:v>
                </c:pt>
                <c:pt idx="49">
                  <c:v>100.14</c:v>
                </c:pt>
                <c:pt idx="50">
                  <c:v>100.02</c:v>
                </c:pt>
                <c:pt idx="51">
                  <c:v>100.43</c:v>
                </c:pt>
                <c:pt idx="52">
                  <c:v>100.62</c:v>
                </c:pt>
                <c:pt idx="53">
                  <c:v>100.78</c:v>
                </c:pt>
                <c:pt idx="54">
                  <c:v>100.74</c:v>
                </c:pt>
                <c:pt idx="55">
                  <c:v>101.1</c:v>
                </c:pt>
                <c:pt idx="56">
                  <c:v>100.96</c:v>
                </c:pt>
                <c:pt idx="57">
                  <c:v>101.13</c:v>
                </c:pt>
                <c:pt idx="58">
                  <c:v>101.23</c:v>
                </c:pt>
                <c:pt idx="59">
                  <c:v>101.22</c:v>
                </c:pt>
                <c:pt idx="60">
                  <c:v>101.04</c:v>
                </c:pt>
                <c:pt idx="61">
                  <c:v>101.14</c:v>
                </c:pt>
                <c:pt idx="62">
                  <c:v>101.21</c:v>
                </c:pt>
                <c:pt idx="63">
                  <c:v>101.27</c:v>
                </c:pt>
                <c:pt idx="64">
                  <c:v>100.79</c:v>
                </c:pt>
                <c:pt idx="65">
                  <c:v>100.6</c:v>
                </c:pt>
                <c:pt idx="66">
                  <c:v>100.54</c:v>
                </c:pt>
                <c:pt idx="67">
                  <c:v>100.09</c:v>
                </c:pt>
                <c:pt idx="68">
                  <c:v>100.14</c:v>
                </c:pt>
                <c:pt idx="69">
                  <c:v>99.87</c:v>
                </c:pt>
                <c:pt idx="70">
                  <c:v>100.24</c:v>
                </c:pt>
                <c:pt idx="71">
                  <c:v>100.2</c:v>
                </c:pt>
                <c:pt idx="72">
                  <c:v>100.16</c:v>
                </c:pt>
                <c:pt idx="73">
                  <c:v>100.46</c:v>
                </c:pt>
                <c:pt idx="74">
                  <c:v>100.42</c:v>
                </c:pt>
                <c:pt idx="75">
                  <c:v>100.12</c:v>
                </c:pt>
                <c:pt idx="76">
                  <c:v>100</c:v>
                </c:pt>
                <c:pt idx="77">
                  <c:v>100.02</c:v>
                </c:pt>
                <c:pt idx="78">
                  <c:v>100.08</c:v>
                </c:pt>
                <c:pt idx="79">
                  <c:v>100.08</c:v>
                </c:pt>
                <c:pt idx="80">
                  <c:v>100.2</c:v>
                </c:pt>
                <c:pt idx="81">
                  <c:v>100.44</c:v>
                </c:pt>
                <c:pt idx="82">
                  <c:v>100.64</c:v>
                </c:pt>
                <c:pt idx="83">
                  <c:v>100.8</c:v>
                </c:pt>
                <c:pt idx="84">
                  <c:v>100.96</c:v>
                </c:pt>
                <c:pt idx="85">
                  <c:v>100.82</c:v>
                </c:pt>
                <c:pt idx="86">
                  <c:v>100.06</c:v>
                </c:pt>
                <c:pt idx="87">
                  <c:v>100.19</c:v>
                </c:pt>
                <c:pt idx="88">
                  <c:v>100.38</c:v>
                </c:pt>
                <c:pt idx="89">
                  <c:v>100.14</c:v>
                </c:pt>
                <c:pt idx="90">
                  <c:v>100.03</c:v>
                </c:pt>
                <c:pt idx="91">
                  <c:v>99.87</c:v>
                </c:pt>
                <c:pt idx="92">
                  <c:v>99.78</c:v>
                </c:pt>
                <c:pt idx="93">
                  <c:v>100.1</c:v>
                </c:pt>
                <c:pt idx="94">
                  <c:v>100.12</c:v>
                </c:pt>
                <c:pt idx="95">
                  <c:v>99.81</c:v>
                </c:pt>
                <c:pt idx="96">
                  <c:v>99.91</c:v>
                </c:pt>
                <c:pt idx="97">
                  <c:v>100.1</c:v>
                </c:pt>
                <c:pt idx="98">
                  <c:v>100.07</c:v>
                </c:pt>
                <c:pt idx="99">
                  <c:v>100.32</c:v>
                </c:pt>
                <c:pt idx="100">
                  <c:v>99.84</c:v>
                </c:pt>
                <c:pt idx="101">
                  <c:v>99.8</c:v>
                </c:pt>
                <c:pt idx="102">
                  <c:v>99.8</c:v>
                </c:pt>
                <c:pt idx="103">
                  <c:v>100.02</c:v>
                </c:pt>
                <c:pt idx="104">
                  <c:v>100.04</c:v>
                </c:pt>
                <c:pt idx="105">
                  <c:v>100.16</c:v>
                </c:pt>
                <c:pt idx="106">
                  <c:v>100.12</c:v>
                </c:pt>
                <c:pt idx="107">
                  <c:v>99.88</c:v>
                </c:pt>
                <c:pt idx="108">
                  <c:v>99.85</c:v>
                </c:pt>
                <c:pt idx="109">
                  <c:v>100.04</c:v>
                </c:pt>
                <c:pt idx="110">
                  <c:v>100.02</c:v>
                </c:pt>
                <c:pt idx="111">
                  <c:v>100.12</c:v>
                </c:pt>
                <c:pt idx="112">
                  <c:v>99.94</c:v>
                </c:pt>
                <c:pt idx="113">
                  <c:v>100.16</c:v>
                </c:pt>
                <c:pt idx="114">
                  <c:v>100.11</c:v>
                </c:pt>
                <c:pt idx="115">
                  <c:v>100.2</c:v>
                </c:pt>
                <c:pt idx="116">
                  <c:v>100.35</c:v>
                </c:pt>
                <c:pt idx="117">
                  <c:v>100.22</c:v>
                </c:pt>
                <c:pt idx="118">
                  <c:v>100.05</c:v>
                </c:pt>
                <c:pt idx="119">
                  <c:v>99.67</c:v>
                </c:pt>
                <c:pt idx="120">
                  <c:v>100</c:v>
                </c:pt>
                <c:pt idx="121">
                  <c:v>100.02</c:v>
                </c:pt>
                <c:pt idx="122">
                  <c:v>100.11</c:v>
                </c:pt>
                <c:pt idx="123">
                  <c:v>100.26</c:v>
                </c:pt>
                <c:pt idx="124">
                  <c:v>100.19</c:v>
                </c:pt>
                <c:pt idx="125">
                  <c:v>100.15</c:v>
                </c:pt>
                <c:pt idx="126">
                  <c:v>100.15</c:v>
                </c:pt>
                <c:pt idx="127">
                  <c:v>100.13</c:v>
                </c:pt>
                <c:pt idx="128">
                  <c:v>99.69</c:v>
                </c:pt>
                <c:pt idx="129">
                  <c:v>99.7</c:v>
                </c:pt>
                <c:pt idx="130">
                  <c:v>99.64</c:v>
                </c:pt>
                <c:pt idx="131">
                  <c:v>100.07</c:v>
                </c:pt>
                <c:pt idx="132">
                  <c:v>100.13</c:v>
                </c:pt>
                <c:pt idx="133">
                  <c:v>100.16</c:v>
                </c:pt>
                <c:pt idx="134">
                  <c:v>100.45</c:v>
                </c:pt>
                <c:pt idx="135">
                  <c:v>100.22</c:v>
                </c:pt>
                <c:pt idx="136">
                  <c:v>100.67</c:v>
                </c:pt>
                <c:pt idx="137">
                  <c:v>100.99</c:v>
                </c:pt>
                <c:pt idx="138">
                  <c:v>101</c:v>
                </c:pt>
                <c:pt idx="139">
                  <c:v>100.86</c:v>
                </c:pt>
                <c:pt idx="140">
                  <c:v>100.88</c:v>
                </c:pt>
                <c:pt idx="141">
                  <c:v>100.9</c:v>
                </c:pt>
                <c:pt idx="142">
                  <c:v>101.1</c:v>
                </c:pt>
                <c:pt idx="143">
                  <c:v>101.09</c:v>
                </c:pt>
                <c:pt idx="144">
                  <c:v>101.04</c:v>
                </c:pt>
                <c:pt idx="145">
                  <c:v>101.2</c:v>
                </c:pt>
                <c:pt idx="146">
                  <c:v>101.4</c:v>
                </c:pt>
                <c:pt idx="147">
                  <c:v>100.68</c:v>
                </c:pt>
                <c:pt idx="148">
                  <c:v>100.57</c:v>
                </c:pt>
                <c:pt idx="149">
                  <c:v>100.53</c:v>
                </c:pt>
                <c:pt idx="150">
                  <c:v>100.24</c:v>
                </c:pt>
                <c:pt idx="151">
                  <c:v>100.12</c:v>
                </c:pt>
                <c:pt idx="152">
                  <c:v>100.44</c:v>
                </c:pt>
                <c:pt idx="153">
                  <c:v>100.11</c:v>
                </c:pt>
                <c:pt idx="154">
                  <c:v>99.66</c:v>
                </c:pt>
                <c:pt idx="155">
                  <c:v>99.29</c:v>
                </c:pt>
                <c:pt idx="156">
                  <c:v>99.21</c:v>
                </c:pt>
                <c:pt idx="157">
                  <c:v>99.6</c:v>
                </c:pt>
                <c:pt idx="158">
                  <c:v>99.8</c:v>
                </c:pt>
                <c:pt idx="159">
                  <c:v>99.38</c:v>
                </c:pt>
                <c:pt idx="160">
                  <c:v>99.49</c:v>
                </c:pt>
                <c:pt idx="161">
                  <c:v>98.66</c:v>
                </c:pt>
                <c:pt idx="162">
                  <c:v>99.03</c:v>
                </c:pt>
                <c:pt idx="163">
                  <c:v>98.76</c:v>
                </c:pt>
                <c:pt idx="164">
                  <c:v>99.11</c:v>
                </c:pt>
                <c:pt idx="165">
                  <c:v>98.55</c:v>
                </c:pt>
                <c:pt idx="166">
                  <c:v>98.54</c:v>
                </c:pt>
                <c:pt idx="167">
                  <c:v>99.04</c:v>
                </c:pt>
                <c:pt idx="168">
                  <c:v>99.27</c:v>
                </c:pt>
                <c:pt idx="169">
                  <c:v>99</c:v>
                </c:pt>
                <c:pt idx="170">
                  <c:v>99.23</c:v>
                </c:pt>
                <c:pt idx="171">
                  <c:v>99.05</c:v>
                </c:pt>
                <c:pt idx="172">
                  <c:v>99.17</c:v>
                </c:pt>
                <c:pt idx="173">
                  <c:v>99.43</c:v>
                </c:pt>
                <c:pt idx="174">
                  <c:v>99.49</c:v>
                </c:pt>
                <c:pt idx="175">
                  <c:v>99.32</c:v>
                </c:pt>
                <c:pt idx="176">
                  <c:v>99.52</c:v>
                </c:pt>
                <c:pt idx="177">
                  <c:v>99.78</c:v>
                </c:pt>
                <c:pt idx="178">
                  <c:v>99.62</c:v>
                </c:pt>
                <c:pt idx="179">
                  <c:v>99.48</c:v>
                </c:pt>
                <c:pt idx="180">
                  <c:v>99.85</c:v>
                </c:pt>
                <c:pt idx="181">
                  <c:v>99.84</c:v>
                </c:pt>
                <c:pt idx="182">
                  <c:v>99.47</c:v>
                </c:pt>
                <c:pt idx="183">
                  <c:v>99.61</c:v>
                </c:pt>
                <c:pt idx="184">
                  <c:v>99.45</c:v>
                </c:pt>
                <c:pt idx="185">
                  <c:v>99.59</c:v>
                </c:pt>
                <c:pt idx="186">
                  <c:v>99.44</c:v>
                </c:pt>
                <c:pt idx="187">
                  <c:v>99.4</c:v>
                </c:pt>
                <c:pt idx="188">
                  <c:v>98.96</c:v>
                </c:pt>
                <c:pt idx="189">
                  <c:v>99.1</c:v>
                </c:pt>
                <c:pt idx="190">
                  <c:v>98.9</c:v>
                </c:pt>
                <c:pt idx="191">
                  <c:v>98.59</c:v>
                </c:pt>
                <c:pt idx="192">
                  <c:v>98.77</c:v>
                </c:pt>
                <c:pt idx="193">
                  <c:v>99.19</c:v>
                </c:pt>
                <c:pt idx="194">
                  <c:v>98.95</c:v>
                </c:pt>
                <c:pt idx="195">
                  <c:v>99.18</c:v>
                </c:pt>
                <c:pt idx="196">
                  <c:v>98.92</c:v>
                </c:pt>
                <c:pt idx="197">
                  <c:v>98.63</c:v>
                </c:pt>
                <c:pt idx="198">
                  <c:v>98.67</c:v>
                </c:pt>
                <c:pt idx="199">
                  <c:v>98.64</c:v>
                </c:pt>
                <c:pt idx="200">
                  <c:v>98.02</c:v>
                </c:pt>
                <c:pt idx="201">
                  <c:v>98.01</c:v>
                </c:pt>
                <c:pt idx="202">
                  <c:v>97.63</c:v>
                </c:pt>
                <c:pt idx="203">
                  <c:v>98.22</c:v>
                </c:pt>
                <c:pt idx="204">
                  <c:v>98.34</c:v>
                </c:pt>
                <c:pt idx="205">
                  <c:v>98.44</c:v>
                </c:pt>
                <c:pt idx="206">
                  <c:v>98.72</c:v>
                </c:pt>
                <c:pt idx="207">
                  <c:v>98.8</c:v>
                </c:pt>
                <c:pt idx="208">
                  <c:v>99</c:v>
                </c:pt>
                <c:pt idx="209">
                  <c:v>99.06</c:v>
                </c:pt>
                <c:pt idx="210">
                  <c:v>98.68</c:v>
                </c:pt>
                <c:pt idx="211">
                  <c:v>98.71</c:v>
                </c:pt>
                <c:pt idx="212">
                  <c:v>98.5</c:v>
                </c:pt>
                <c:pt idx="213">
                  <c:v>98.66</c:v>
                </c:pt>
                <c:pt idx="214">
                  <c:v>98.17</c:v>
                </c:pt>
                <c:pt idx="215">
                  <c:v>98.17</c:v>
                </c:pt>
                <c:pt idx="216">
                  <c:v>98.37</c:v>
                </c:pt>
                <c:pt idx="217">
                  <c:v>98.31</c:v>
                </c:pt>
                <c:pt idx="218">
                  <c:v>98.88</c:v>
                </c:pt>
                <c:pt idx="219">
                  <c:v>98.76</c:v>
                </c:pt>
                <c:pt idx="220">
                  <c:v>98.85</c:v>
                </c:pt>
                <c:pt idx="221">
                  <c:v>98.97</c:v>
                </c:pt>
                <c:pt idx="222">
                  <c:v>98.61</c:v>
                </c:pt>
                <c:pt idx="223">
                  <c:v>98.9</c:v>
                </c:pt>
                <c:pt idx="224">
                  <c:v>98.63</c:v>
                </c:pt>
                <c:pt idx="225">
                  <c:v>98.71</c:v>
                </c:pt>
                <c:pt idx="226">
                  <c:v>99.19</c:v>
                </c:pt>
                <c:pt idx="227">
                  <c:v>99.25</c:v>
                </c:pt>
                <c:pt idx="228">
                  <c:v>99.34</c:v>
                </c:pt>
                <c:pt idx="229">
                  <c:v>99.37</c:v>
                </c:pt>
                <c:pt idx="230">
                  <c:v>98.98</c:v>
                </c:pt>
                <c:pt idx="231">
                  <c:v>98.5</c:v>
                </c:pt>
                <c:pt idx="232">
                  <c:v>98.61</c:v>
                </c:pt>
                <c:pt idx="233">
                  <c:v>98.66</c:v>
                </c:pt>
                <c:pt idx="234">
                  <c:v>98.21</c:v>
                </c:pt>
                <c:pt idx="235">
                  <c:v>98.04</c:v>
                </c:pt>
                <c:pt idx="236">
                  <c:v>98.18</c:v>
                </c:pt>
                <c:pt idx="237">
                  <c:v>98.08</c:v>
                </c:pt>
                <c:pt idx="238">
                  <c:v>97.71</c:v>
                </c:pt>
                <c:pt idx="239">
                  <c:v>98</c:v>
                </c:pt>
                <c:pt idx="240">
                  <c:v>98.14</c:v>
                </c:pt>
                <c:pt idx="241">
                  <c:v>98.13</c:v>
                </c:pt>
                <c:pt idx="242">
                  <c:v>98.2</c:v>
                </c:pt>
                <c:pt idx="243">
                  <c:v>97.95</c:v>
                </c:pt>
                <c:pt idx="244">
                  <c:v>97.74</c:v>
                </c:pt>
                <c:pt idx="245">
                  <c:v>97.58</c:v>
                </c:pt>
                <c:pt idx="246">
                  <c:v>97.34</c:v>
                </c:pt>
                <c:pt idx="247">
                  <c:v>97.46</c:v>
                </c:pt>
                <c:pt idx="248">
                  <c:v>97.69</c:v>
                </c:pt>
                <c:pt idx="249">
                  <c:v>97.92</c:v>
                </c:pt>
                <c:pt idx="250">
                  <c:v>97.55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9-4688-84B8-0ADC1807C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423041"/>
        <c:axId val="1950063203"/>
      </c:areaChart>
      <c:dateAx>
        <c:axId val="2138423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950063203"/>
        <c:crosses val="autoZero"/>
        <c:auto val="1"/>
        <c:lblOffset val="100"/>
        <c:baseTimeUnit val="days"/>
      </c:dateAx>
      <c:valAx>
        <c:axId val="1950063203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213842304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LQD!$F$27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LQD!$B$28:$B$1000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LQD!$F$28:$F$1000</c:f>
              <c:numCache>
                <c:formatCode>#,##0.00</c:formatCode>
                <c:ptCount val="973"/>
                <c:pt idx="0">
                  <c:v>109.08</c:v>
                </c:pt>
                <c:pt idx="1">
                  <c:v>109.11</c:v>
                </c:pt>
                <c:pt idx="2">
                  <c:v>109.63</c:v>
                </c:pt>
                <c:pt idx="3">
                  <c:v>109.82</c:v>
                </c:pt>
                <c:pt idx="4">
                  <c:v>109.9</c:v>
                </c:pt>
                <c:pt idx="5">
                  <c:v>109.87</c:v>
                </c:pt>
                <c:pt idx="6">
                  <c:v>109.76</c:v>
                </c:pt>
                <c:pt idx="7">
                  <c:v>109.41</c:v>
                </c:pt>
                <c:pt idx="8">
                  <c:v>109.58</c:v>
                </c:pt>
                <c:pt idx="9">
                  <c:v>109.68</c:v>
                </c:pt>
                <c:pt idx="10">
                  <c:v>110.26</c:v>
                </c:pt>
                <c:pt idx="11">
                  <c:v>109.88</c:v>
                </c:pt>
                <c:pt idx="12">
                  <c:v>109.74</c:v>
                </c:pt>
                <c:pt idx="13">
                  <c:v>109.54</c:v>
                </c:pt>
                <c:pt idx="14">
                  <c:v>109.71</c:v>
                </c:pt>
                <c:pt idx="15">
                  <c:v>109.76</c:v>
                </c:pt>
                <c:pt idx="16">
                  <c:v>109.34</c:v>
                </c:pt>
                <c:pt idx="17">
                  <c:v>110.2</c:v>
                </c:pt>
                <c:pt idx="18">
                  <c:v>109.91</c:v>
                </c:pt>
                <c:pt idx="19">
                  <c:v>109.99</c:v>
                </c:pt>
                <c:pt idx="20">
                  <c:v>110.03</c:v>
                </c:pt>
                <c:pt idx="21">
                  <c:v>110.2</c:v>
                </c:pt>
                <c:pt idx="22">
                  <c:v>109.8</c:v>
                </c:pt>
                <c:pt idx="23">
                  <c:v>109.05</c:v>
                </c:pt>
                <c:pt idx="24">
                  <c:v>109.7</c:v>
                </c:pt>
                <c:pt idx="25">
                  <c:v>110.45</c:v>
                </c:pt>
                <c:pt idx="26">
                  <c:v>111.17</c:v>
                </c:pt>
                <c:pt idx="27">
                  <c:v>111.56</c:v>
                </c:pt>
                <c:pt idx="28">
                  <c:v>111.36</c:v>
                </c:pt>
                <c:pt idx="29">
                  <c:v>111.69</c:v>
                </c:pt>
                <c:pt idx="30">
                  <c:v>112.21</c:v>
                </c:pt>
                <c:pt idx="31">
                  <c:v>112.01</c:v>
                </c:pt>
                <c:pt idx="32">
                  <c:v>112.36</c:v>
                </c:pt>
                <c:pt idx="33">
                  <c:v>112.26</c:v>
                </c:pt>
                <c:pt idx="34">
                  <c:v>112.06</c:v>
                </c:pt>
                <c:pt idx="35">
                  <c:v>111.83</c:v>
                </c:pt>
                <c:pt idx="36">
                  <c:v>111.74</c:v>
                </c:pt>
                <c:pt idx="37">
                  <c:v>111.49</c:v>
                </c:pt>
                <c:pt idx="38">
                  <c:v>111.71</c:v>
                </c:pt>
                <c:pt idx="39">
                  <c:v>111.26</c:v>
                </c:pt>
                <c:pt idx="40">
                  <c:v>111.06</c:v>
                </c:pt>
                <c:pt idx="41">
                  <c:v>111.21</c:v>
                </c:pt>
                <c:pt idx="42">
                  <c:v>111.58</c:v>
                </c:pt>
                <c:pt idx="43">
                  <c:v>111.47</c:v>
                </c:pt>
                <c:pt idx="44">
                  <c:v>111.51</c:v>
                </c:pt>
                <c:pt idx="45">
                  <c:v>111.69</c:v>
                </c:pt>
                <c:pt idx="46">
                  <c:v>111.55</c:v>
                </c:pt>
                <c:pt idx="47">
                  <c:v>111.19</c:v>
                </c:pt>
                <c:pt idx="48">
                  <c:v>111.4</c:v>
                </c:pt>
                <c:pt idx="49">
                  <c:v>111.26</c:v>
                </c:pt>
                <c:pt idx="50">
                  <c:v>111.04</c:v>
                </c:pt>
                <c:pt idx="51">
                  <c:v>111.35</c:v>
                </c:pt>
                <c:pt idx="52">
                  <c:v>111.73</c:v>
                </c:pt>
                <c:pt idx="53">
                  <c:v>112.1</c:v>
                </c:pt>
                <c:pt idx="54">
                  <c:v>112.1</c:v>
                </c:pt>
                <c:pt idx="55">
                  <c:v>112.42</c:v>
                </c:pt>
                <c:pt idx="56">
                  <c:v>112.2</c:v>
                </c:pt>
                <c:pt idx="57">
                  <c:v>112.54</c:v>
                </c:pt>
                <c:pt idx="58">
                  <c:v>112.56</c:v>
                </c:pt>
                <c:pt idx="59">
                  <c:v>112.67</c:v>
                </c:pt>
                <c:pt idx="60">
                  <c:v>112.53</c:v>
                </c:pt>
                <c:pt idx="61">
                  <c:v>112.72</c:v>
                </c:pt>
                <c:pt idx="62">
                  <c:v>112.91</c:v>
                </c:pt>
                <c:pt idx="63">
                  <c:v>112.92</c:v>
                </c:pt>
                <c:pt idx="64">
                  <c:v>112.28</c:v>
                </c:pt>
                <c:pt idx="65">
                  <c:v>111.68</c:v>
                </c:pt>
                <c:pt idx="66">
                  <c:v>111.23</c:v>
                </c:pt>
                <c:pt idx="67">
                  <c:v>110.53</c:v>
                </c:pt>
                <c:pt idx="68">
                  <c:v>110.68</c:v>
                </c:pt>
                <c:pt idx="69">
                  <c:v>110.35</c:v>
                </c:pt>
                <c:pt idx="70">
                  <c:v>110.93</c:v>
                </c:pt>
                <c:pt idx="71">
                  <c:v>110.71</c:v>
                </c:pt>
                <c:pt idx="72">
                  <c:v>110.77</c:v>
                </c:pt>
                <c:pt idx="73">
                  <c:v>111.21</c:v>
                </c:pt>
                <c:pt idx="74">
                  <c:v>111.1</c:v>
                </c:pt>
                <c:pt idx="75">
                  <c:v>110.55</c:v>
                </c:pt>
                <c:pt idx="76">
                  <c:v>110.25</c:v>
                </c:pt>
                <c:pt idx="77">
                  <c:v>110.32</c:v>
                </c:pt>
                <c:pt idx="78">
                  <c:v>110.37</c:v>
                </c:pt>
                <c:pt idx="79">
                  <c:v>110.38</c:v>
                </c:pt>
                <c:pt idx="80">
                  <c:v>110.53</c:v>
                </c:pt>
                <c:pt idx="81">
                  <c:v>110.92</c:v>
                </c:pt>
                <c:pt idx="82">
                  <c:v>111.36</c:v>
                </c:pt>
                <c:pt idx="83">
                  <c:v>111.67</c:v>
                </c:pt>
                <c:pt idx="84">
                  <c:v>112.05</c:v>
                </c:pt>
                <c:pt idx="85">
                  <c:v>111.86</c:v>
                </c:pt>
                <c:pt idx="86">
                  <c:v>110.85</c:v>
                </c:pt>
                <c:pt idx="87">
                  <c:v>110.92</c:v>
                </c:pt>
                <c:pt idx="88">
                  <c:v>111.17</c:v>
                </c:pt>
                <c:pt idx="89">
                  <c:v>110.97</c:v>
                </c:pt>
                <c:pt idx="90">
                  <c:v>110.86</c:v>
                </c:pt>
                <c:pt idx="91">
                  <c:v>110.63</c:v>
                </c:pt>
                <c:pt idx="92">
                  <c:v>110.49</c:v>
                </c:pt>
                <c:pt idx="93">
                  <c:v>111</c:v>
                </c:pt>
                <c:pt idx="94">
                  <c:v>110.84</c:v>
                </c:pt>
                <c:pt idx="95">
                  <c:v>110.17</c:v>
                </c:pt>
                <c:pt idx="96">
                  <c:v>110.3</c:v>
                </c:pt>
                <c:pt idx="97">
                  <c:v>110.55</c:v>
                </c:pt>
                <c:pt idx="98">
                  <c:v>110.43</c:v>
                </c:pt>
                <c:pt idx="99">
                  <c:v>110.85</c:v>
                </c:pt>
                <c:pt idx="100">
                  <c:v>110.13</c:v>
                </c:pt>
                <c:pt idx="101">
                  <c:v>110.11</c:v>
                </c:pt>
                <c:pt idx="102">
                  <c:v>110.22</c:v>
                </c:pt>
                <c:pt idx="103">
                  <c:v>110.65</c:v>
                </c:pt>
                <c:pt idx="104">
                  <c:v>110.64</c:v>
                </c:pt>
                <c:pt idx="105">
                  <c:v>110.79</c:v>
                </c:pt>
                <c:pt idx="106">
                  <c:v>110.66</c:v>
                </c:pt>
                <c:pt idx="107">
                  <c:v>110.19</c:v>
                </c:pt>
                <c:pt idx="108">
                  <c:v>110.16</c:v>
                </c:pt>
                <c:pt idx="109">
                  <c:v>110.47</c:v>
                </c:pt>
                <c:pt idx="110">
                  <c:v>110.47</c:v>
                </c:pt>
                <c:pt idx="111">
                  <c:v>110.55</c:v>
                </c:pt>
                <c:pt idx="112">
                  <c:v>110.24</c:v>
                </c:pt>
                <c:pt idx="113">
                  <c:v>110.64</c:v>
                </c:pt>
                <c:pt idx="114">
                  <c:v>110.51</c:v>
                </c:pt>
                <c:pt idx="115">
                  <c:v>110.75</c:v>
                </c:pt>
                <c:pt idx="116">
                  <c:v>111.03</c:v>
                </c:pt>
                <c:pt idx="117">
                  <c:v>110.89</c:v>
                </c:pt>
                <c:pt idx="118">
                  <c:v>110.57</c:v>
                </c:pt>
                <c:pt idx="119">
                  <c:v>109.9</c:v>
                </c:pt>
                <c:pt idx="120">
                  <c:v>110.56</c:v>
                </c:pt>
                <c:pt idx="121">
                  <c:v>110.77</c:v>
                </c:pt>
                <c:pt idx="122">
                  <c:v>110.84</c:v>
                </c:pt>
                <c:pt idx="123">
                  <c:v>110.93</c:v>
                </c:pt>
                <c:pt idx="124">
                  <c:v>110.81</c:v>
                </c:pt>
                <c:pt idx="125">
                  <c:v>110.65</c:v>
                </c:pt>
                <c:pt idx="126">
                  <c:v>110.68</c:v>
                </c:pt>
                <c:pt idx="127">
                  <c:v>110.57</c:v>
                </c:pt>
                <c:pt idx="128">
                  <c:v>110.06</c:v>
                </c:pt>
                <c:pt idx="129">
                  <c:v>110.11</c:v>
                </c:pt>
                <c:pt idx="130">
                  <c:v>109.97</c:v>
                </c:pt>
                <c:pt idx="131">
                  <c:v>110.5</c:v>
                </c:pt>
                <c:pt idx="132">
                  <c:v>110.56</c:v>
                </c:pt>
                <c:pt idx="133">
                  <c:v>110.56</c:v>
                </c:pt>
                <c:pt idx="134">
                  <c:v>110.82</c:v>
                </c:pt>
                <c:pt idx="135">
                  <c:v>110.7</c:v>
                </c:pt>
                <c:pt idx="136">
                  <c:v>111.22</c:v>
                </c:pt>
                <c:pt idx="137">
                  <c:v>111.59</c:v>
                </c:pt>
                <c:pt idx="138">
                  <c:v>111.7</c:v>
                </c:pt>
                <c:pt idx="139">
                  <c:v>111.59</c:v>
                </c:pt>
                <c:pt idx="140">
                  <c:v>111.68</c:v>
                </c:pt>
                <c:pt idx="141">
                  <c:v>111.59</c:v>
                </c:pt>
                <c:pt idx="142">
                  <c:v>111.71</c:v>
                </c:pt>
                <c:pt idx="143">
                  <c:v>111.68</c:v>
                </c:pt>
                <c:pt idx="144">
                  <c:v>111.65</c:v>
                </c:pt>
                <c:pt idx="145">
                  <c:v>111.72</c:v>
                </c:pt>
                <c:pt idx="146">
                  <c:v>111.68</c:v>
                </c:pt>
                <c:pt idx="147">
                  <c:v>110.92</c:v>
                </c:pt>
                <c:pt idx="148">
                  <c:v>110.87</c:v>
                </c:pt>
                <c:pt idx="149">
                  <c:v>110.97</c:v>
                </c:pt>
                <c:pt idx="150">
                  <c:v>110.53</c:v>
                </c:pt>
                <c:pt idx="151">
                  <c:v>110.16</c:v>
                </c:pt>
                <c:pt idx="152">
                  <c:v>110.82</c:v>
                </c:pt>
                <c:pt idx="153">
                  <c:v>110.06</c:v>
                </c:pt>
                <c:pt idx="154">
                  <c:v>109.16</c:v>
                </c:pt>
                <c:pt idx="155">
                  <c:v>108.57</c:v>
                </c:pt>
                <c:pt idx="156">
                  <c:v>108.17</c:v>
                </c:pt>
                <c:pt idx="157">
                  <c:v>108.69</c:v>
                </c:pt>
                <c:pt idx="158">
                  <c:v>109.3</c:v>
                </c:pt>
                <c:pt idx="159">
                  <c:v>108.71</c:v>
                </c:pt>
                <c:pt idx="160">
                  <c:v>109.19</c:v>
                </c:pt>
                <c:pt idx="161">
                  <c:v>107.85</c:v>
                </c:pt>
                <c:pt idx="162">
                  <c:v>108.56</c:v>
                </c:pt>
                <c:pt idx="163">
                  <c:v>108.34</c:v>
                </c:pt>
                <c:pt idx="164">
                  <c:v>108.73</c:v>
                </c:pt>
                <c:pt idx="165">
                  <c:v>107.88</c:v>
                </c:pt>
                <c:pt idx="166">
                  <c:v>107.62</c:v>
                </c:pt>
                <c:pt idx="167">
                  <c:v>108.31</c:v>
                </c:pt>
                <c:pt idx="168">
                  <c:v>108.99</c:v>
                </c:pt>
                <c:pt idx="169">
                  <c:v>108.66</c:v>
                </c:pt>
                <c:pt idx="170">
                  <c:v>109.12</c:v>
                </c:pt>
                <c:pt idx="171">
                  <c:v>108.95</c:v>
                </c:pt>
                <c:pt idx="172">
                  <c:v>109.07</c:v>
                </c:pt>
                <c:pt idx="173">
                  <c:v>109.49</c:v>
                </c:pt>
                <c:pt idx="174">
                  <c:v>109.49</c:v>
                </c:pt>
                <c:pt idx="175">
                  <c:v>109.2</c:v>
                </c:pt>
                <c:pt idx="176">
                  <c:v>109.62</c:v>
                </c:pt>
                <c:pt idx="177">
                  <c:v>109.98</c:v>
                </c:pt>
                <c:pt idx="178">
                  <c:v>109.94</c:v>
                </c:pt>
                <c:pt idx="179">
                  <c:v>109.43</c:v>
                </c:pt>
                <c:pt idx="180">
                  <c:v>110.04</c:v>
                </c:pt>
                <c:pt idx="181">
                  <c:v>110.03</c:v>
                </c:pt>
                <c:pt idx="182">
                  <c:v>109.61</c:v>
                </c:pt>
                <c:pt idx="183">
                  <c:v>109.82</c:v>
                </c:pt>
                <c:pt idx="184">
                  <c:v>109.52</c:v>
                </c:pt>
                <c:pt idx="185">
                  <c:v>109.6</c:v>
                </c:pt>
                <c:pt idx="186">
                  <c:v>109.29</c:v>
                </c:pt>
                <c:pt idx="187">
                  <c:v>109.34</c:v>
                </c:pt>
                <c:pt idx="188">
                  <c:v>108.73</c:v>
                </c:pt>
                <c:pt idx="189">
                  <c:v>108.85</c:v>
                </c:pt>
                <c:pt idx="190">
                  <c:v>108.6</c:v>
                </c:pt>
                <c:pt idx="191">
                  <c:v>108.25</c:v>
                </c:pt>
                <c:pt idx="192">
                  <c:v>108.65</c:v>
                </c:pt>
                <c:pt idx="193">
                  <c:v>109.19</c:v>
                </c:pt>
                <c:pt idx="194">
                  <c:v>108.74</c:v>
                </c:pt>
                <c:pt idx="195">
                  <c:v>109.2</c:v>
                </c:pt>
                <c:pt idx="196">
                  <c:v>108.93</c:v>
                </c:pt>
                <c:pt idx="197">
                  <c:v>108.56</c:v>
                </c:pt>
                <c:pt idx="198">
                  <c:v>108.62</c:v>
                </c:pt>
                <c:pt idx="199">
                  <c:v>108.55</c:v>
                </c:pt>
                <c:pt idx="200">
                  <c:v>107.86</c:v>
                </c:pt>
                <c:pt idx="201">
                  <c:v>107.66</c:v>
                </c:pt>
                <c:pt idx="202">
                  <c:v>107.12</c:v>
                </c:pt>
                <c:pt idx="203">
                  <c:v>107.95</c:v>
                </c:pt>
                <c:pt idx="204">
                  <c:v>108.17</c:v>
                </c:pt>
                <c:pt idx="205">
                  <c:v>108.37</c:v>
                </c:pt>
                <c:pt idx="206">
                  <c:v>108.78</c:v>
                </c:pt>
                <c:pt idx="207">
                  <c:v>108.93</c:v>
                </c:pt>
                <c:pt idx="208">
                  <c:v>109.26</c:v>
                </c:pt>
                <c:pt idx="209">
                  <c:v>109.36</c:v>
                </c:pt>
                <c:pt idx="210">
                  <c:v>108.93</c:v>
                </c:pt>
                <c:pt idx="211">
                  <c:v>108.92</c:v>
                </c:pt>
                <c:pt idx="212">
                  <c:v>108.62</c:v>
                </c:pt>
                <c:pt idx="213">
                  <c:v>108.85</c:v>
                </c:pt>
                <c:pt idx="214">
                  <c:v>108.17</c:v>
                </c:pt>
                <c:pt idx="215">
                  <c:v>108.06</c:v>
                </c:pt>
                <c:pt idx="216">
                  <c:v>108.41</c:v>
                </c:pt>
                <c:pt idx="217">
                  <c:v>108.16</c:v>
                </c:pt>
                <c:pt idx="218">
                  <c:v>109.08</c:v>
                </c:pt>
                <c:pt idx="219">
                  <c:v>109.01</c:v>
                </c:pt>
                <c:pt idx="220">
                  <c:v>108.99</c:v>
                </c:pt>
                <c:pt idx="221">
                  <c:v>109.12</c:v>
                </c:pt>
                <c:pt idx="222">
                  <c:v>108.77</c:v>
                </c:pt>
                <c:pt idx="223">
                  <c:v>109.07</c:v>
                </c:pt>
                <c:pt idx="224">
                  <c:v>108.78</c:v>
                </c:pt>
                <c:pt idx="225">
                  <c:v>108.91</c:v>
                </c:pt>
                <c:pt idx="226">
                  <c:v>109.41</c:v>
                </c:pt>
                <c:pt idx="227">
                  <c:v>109.5</c:v>
                </c:pt>
                <c:pt idx="228">
                  <c:v>109.5</c:v>
                </c:pt>
                <c:pt idx="229">
                  <c:v>109.7</c:v>
                </c:pt>
                <c:pt idx="230">
                  <c:v>109.07</c:v>
                </c:pt>
                <c:pt idx="231">
                  <c:v>108.46</c:v>
                </c:pt>
                <c:pt idx="232">
                  <c:v>108.64</c:v>
                </c:pt>
                <c:pt idx="233">
                  <c:v>108.67</c:v>
                </c:pt>
                <c:pt idx="234">
                  <c:v>107.88</c:v>
                </c:pt>
                <c:pt idx="235">
                  <c:v>107.67</c:v>
                </c:pt>
                <c:pt idx="236">
                  <c:v>107.71</c:v>
                </c:pt>
                <c:pt idx="237">
                  <c:v>107.46</c:v>
                </c:pt>
                <c:pt idx="238">
                  <c:v>106.96</c:v>
                </c:pt>
                <c:pt idx="239">
                  <c:v>107.21</c:v>
                </c:pt>
                <c:pt idx="240">
                  <c:v>107.58</c:v>
                </c:pt>
                <c:pt idx="241">
                  <c:v>107.5</c:v>
                </c:pt>
                <c:pt idx="242">
                  <c:v>107.56</c:v>
                </c:pt>
                <c:pt idx="243">
                  <c:v>107.15</c:v>
                </c:pt>
                <c:pt idx="244">
                  <c:v>106.85</c:v>
                </c:pt>
                <c:pt idx="245">
                  <c:v>106.67</c:v>
                </c:pt>
                <c:pt idx="246">
                  <c:v>106.26</c:v>
                </c:pt>
                <c:pt idx="247">
                  <c:v>106.23</c:v>
                </c:pt>
                <c:pt idx="248">
                  <c:v>106.51</c:v>
                </c:pt>
                <c:pt idx="249">
                  <c:v>106.83</c:v>
                </c:pt>
                <c:pt idx="250">
                  <c:v>106.22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F-4570-8F24-A05412B96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792857"/>
        <c:axId val="553688955"/>
      </c:areaChart>
      <c:dateAx>
        <c:axId val="1195792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553688955"/>
        <c:crosses val="autoZero"/>
        <c:auto val="1"/>
        <c:lblOffset val="100"/>
        <c:baseTimeUnit val="days"/>
      </c:dateAx>
      <c:valAx>
        <c:axId val="553688955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19579285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IEF!$F$27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IEF!$B$28:$B$1000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45989.545138888803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46015.545138888803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IEF!$F$28:$F$1000</c:f>
              <c:numCache>
                <c:formatCode>#,##0.00</c:formatCode>
                <c:ptCount val="973"/>
                <c:pt idx="0">
                  <c:v>94.82</c:v>
                </c:pt>
                <c:pt idx="1">
                  <c:v>94.9</c:v>
                </c:pt>
                <c:pt idx="2">
                  <c:v>95.68</c:v>
                </c:pt>
                <c:pt idx="3">
                  <c:v>95.81</c:v>
                </c:pt>
                <c:pt idx="4">
                  <c:v>95.74</c:v>
                </c:pt>
                <c:pt idx="5">
                  <c:v>95.67</c:v>
                </c:pt>
                <c:pt idx="6">
                  <c:v>95.6</c:v>
                </c:pt>
                <c:pt idx="7">
                  <c:v>95.38</c:v>
                </c:pt>
                <c:pt idx="8">
                  <c:v>95.41</c:v>
                </c:pt>
                <c:pt idx="9">
                  <c:v>95.39</c:v>
                </c:pt>
                <c:pt idx="10">
                  <c:v>95.73</c:v>
                </c:pt>
                <c:pt idx="11">
                  <c:v>95.42</c:v>
                </c:pt>
                <c:pt idx="12">
                  <c:v>95.23</c:v>
                </c:pt>
                <c:pt idx="13">
                  <c:v>95.14</c:v>
                </c:pt>
                <c:pt idx="14">
                  <c:v>95.38</c:v>
                </c:pt>
                <c:pt idx="15">
                  <c:v>95.52</c:v>
                </c:pt>
                <c:pt idx="16">
                  <c:v>95.24</c:v>
                </c:pt>
                <c:pt idx="17">
                  <c:v>95.77</c:v>
                </c:pt>
                <c:pt idx="18">
                  <c:v>95.58</c:v>
                </c:pt>
                <c:pt idx="19">
                  <c:v>95.83</c:v>
                </c:pt>
                <c:pt idx="20">
                  <c:v>96.01</c:v>
                </c:pt>
                <c:pt idx="21">
                  <c:v>96.23</c:v>
                </c:pt>
                <c:pt idx="22">
                  <c:v>96.15</c:v>
                </c:pt>
                <c:pt idx="23">
                  <c:v>95.55</c:v>
                </c:pt>
                <c:pt idx="24">
                  <c:v>95.88</c:v>
                </c:pt>
                <c:pt idx="25">
                  <c:v>96.31</c:v>
                </c:pt>
                <c:pt idx="26">
                  <c:v>96.78</c:v>
                </c:pt>
                <c:pt idx="27">
                  <c:v>97.08</c:v>
                </c:pt>
                <c:pt idx="28">
                  <c:v>96.85</c:v>
                </c:pt>
                <c:pt idx="29">
                  <c:v>97.11</c:v>
                </c:pt>
                <c:pt idx="30">
                  <c:v>97.26</c:v>
                </c:pt>
                <c:pt idx="31">
                  <c:v>96.98</c:v>
                </c:pt>
                <c:pt idx="32">
                  <c:v>97.14</c:v>
                </c:pt>
                <c:pt idx="33">
                  <c:v>97.2</c:v>
                </c:pt>
                <c:pt idx="34">
                  <c:v>96.99</c:v>
                </c:pt>
                <c:pt idx="35">
                  <c:v>96.67</c:v>
                </c:pt>
                <c:pt idx="36">
                  <c:v>96.63</c:v>
                </c:pt>
                <c:pt idx="37">
                  <c:v>96.47</c:v>
                </c:pt>
                <c:pt idx="38">
                  <c:v>96.74</c:v>
                </c:pt>
                <c:pt idx="39">
                  <c:v>96.48</c:v>
                </c:pt>
                <c:pt idx="40">
                  <c:v>96.27</c:v>
                </c:pt>
                <c:pt idx="41">
                  <c:v>96.22</c:v>
                </c:pt>
                <c:pt idx="42">
                  <c:v>96.5</c:v>
                </c:pt>
                <c:pt idx="43">
                  <c:v>96.46</c:v>
                </c:pt>
                <c:pt idx="44">
                  <c:v>96.49</c:v>
                </c:pt>
                <c:pt idx="45">
                  <c:v>96.59</c:v>
                </c:pt>
                <c:pt idx="46">
                  <c:v>96.4</c:v>
                </c:pt>
                <c:pt idx="47">
                  <c:v>96.12</c:v>
                </c:pt>
                <c:pt idx="48">
                  <c:v>96.36</c:v>
                </c:pt>
                <c:pt idx="49">
                  <c:v>96.38</c:v>
                </c:pt>
                <c:pt idx="50">
                  <c:v>96.31</c:v>
                </c:pt>
                <c:pt idx="51">
                  <c:v>96.91</c:v>
                </c:pt>
                <c:pt idx="52">
                  <c:v>96.96</c:v>
                </c:pt>
                <c:pt idx="53">
                  <c:v>97.21</c:v>
                </c:pt>
                <c:pt idx="54">
                  <c:v>97.1</c:v>
                </c:pt>
                <c:pt idx="55">
                  <c:v>97.55</c:v>
                </c:pt>
                <c:pt idx="56">
                  <c:v>97.39</c:v>
                </c:pt>
                <c:pt idx="57">
                  <c:v>97.52</c:v>
                </c:pt>
                <c:pt idx="58">
                  <c:v>97.7</c:v>
                </c:pt>
                <c:pt idx="59">
                  <c:v>97.72</c:v>
                </c:pt>
                <c:pt idx="60">
                  <c:v>97.4</c:v>
                </c:pt>
                <c:pt idx="61">
                  <c:v>97.49</c:v>
                </c:pt>
                <c:pt idx="62">
                  <c:v>97.49</c:v>
                </c:pt>
                <c:pt idx="63">
                  <c:v>97.58</c:v>
                </c:pt>
                <c:pt idx="64">
                  <c:v>96.95</c:v>
                </c:pt>
                <c:pt idx="65">
                  <c:v>96.81</c:v>
                </c:pt>
                <c:pt idx="66">
                  <c:v>96.85</c:v>
                </c:pt>
                <c:pt idx="67">
                  <c:v>96.5</c:v>
                </c:pt>
                <c:pt idx="68">
                  <c:v>96.62</c:v>
                </c:pt>
                <c:pt idx="69">
                  <c:v>96.16</c:v>
                </c:pt>
                <c:pt idx="70">
                  <c:v>96.65</c:v>
                </c:pt>
                <c:pt idx="71">
                  <c:v>96.69</c:v>
                </c:pt>
                <c:pt idx="72">
                  <c:v>96.56</c:v>
                </c:pt>
                <c:pt idx="73">
                  <c:v>96.86</c:v>
                </c:pt>
                <c:pt idx="74">
                  <c:v>96.88</c:v>
                </c:pt>
                <c:pt idx="75">
                  <c:v>96.6</c:v>
                </c:pt>
                <c:pt idx="76">
                  <c:v>96.44</c:v>
                </c:pt>
                <c:pt idx="77">
                  <c:v>96.55</c:v>
                </c:pt>
                <c:pt idx="78">
                  <c:v>96.71</c:v>
                </c:pt>
                <c:pt idx="79">
                  <c:v>96.64</c:v>
                </c:pt>
                <c:pt idx="80">
                  <c:v>96.87</c:v>
                </c:pt>
                <c:pt idx="81">
                  <c:v>97.19</c:v>
                </c:pt>
                <c:pt idx="82">
                  <c:v>97.34</c:v>
                </c:pt>
                <c:pt idx="83">
                  <c:v>97.59</c:v>
                </c:pt>
                <c:pt idx="84">
                  <c:v>97.67</c:v>
                </c:pt>
                <c:pt idx="85">
                  <c:v>97.5</c:v>
                </c:pt>
                <c:pt idx="86">
                  <c:v>96.69</c:v>
                </c:pt>
                <c:pt idx="87">
                  <c:v>96.77</c:v>
                </c:pt>
                <c:pt idx="88">
                  <c:v>96.97</c:v>
                </c:pt>
                <c:pt idx="89">
                  <c:v>96.67</c:v>
                </c:pt>
                <c:pt idx="90">
                  <c:v>96.47</c:v>
                </c:pt>
                <c:pt idx="91">
                  <c:v>96.27</c:v>
                </c:pt>
                <c:pt idx="92">
                  <c:v>96.13</c:v>
                </c:pt>
                <c:pt idx="93">
                  <c:v>96.44</c:v>
                </c:pt>
                <c:pt idx="94">
                  <c:v>96.45</c:v>
                </c:pt>
                <c:pt idx="95">
                  <c:v>96.19</c:v>
                </c:pt>
                <c:pt idx="96">
                  <c:v>96.27</c:v>
                </c:pt>
                <c:pt idx="97">
                  <c:v>96.54</c:v>
                </c:pt>
                <c:pt idx="98">
                  <c:v>96.52</c:v>
                </c:pt>
                <c:pt idx="99">
                  <c:v>96.77</c:v>
                </c:pt>
                <c:pt idx="100">
                  <c:v>96.24</c:v>
                </c:pt>
                <c:pt idx="101">
                  <c:v>96.14</c:v>
                </c:pt>
                <c:pt idx="102">
                  <c:v>96.1</c:v>
                </c:pt>
                <c:pt idx="103">
                  <c:v>96.35</c:v>
                </c:pt>
                <c:pt idx="104">
                  <c:v>96.44</c:v>
                </c:pt>
                <c:pt idx="105">
                  <c:v>96.58</c:v>
                </c:pt>
                <c:pt idx="106">
                  <c:v>96.48</c:v>
                </c:pt>
                <c:pt idx="107">
                  <c:v>96.16</c:v>
                </c:pt>
                <c:pt idx="108">
                  <c:v>96.08</c:v>
                </c:pt>
                <c:pt idx="109">
                  <c:v>96.37</c:v>
                </c:pt>
                <c:pt idx="110">
                  <c:v>96.3</c:v>
                </c:pt>
                <c:pt idx="111">
                  <c:v>96.48</c:v>
                </c:pt>
                <c:pt idx="112">
                  <c:v>96.19</c:v>
                </c:pt>
                <c:pt idx="113">
                  <c:v>96.3</c:v>
                </c:pt>
                <c:pt idx="114">
                  <c:v>96.18</c:v>
                </c:pt>
                <c:pt idx="115">
                  <c:v>96.3</c:v>
                </c:pt>
                <c:pt idx="116">
                  <c:v>96.5</c:v>
                </c:pt>
                <c:pt idx="117">
                  <c:v>96.3</c:v>
                </c:pt>
                <c:pt idx="118">
                  <c:v>95.93</c:v>
                </c:pt>
                <c:pt idx="119">
                  <c:v>95.55</c:v>
                </c:pt>
                <c:pt idx="120">
                  <c:v>95.8</c:v>
                </c:pt>
                <c:pt idx="121">
                  <c:v>95.79</c:v>
                </c:pt>
                <c:pt idx="122">
                  <c:v>95.95</c:v>
                </c:pt>
                <c:pt idx="123">
                  <c:v>96.09</c:v>
                </c:pt>
                <c:pt idx="124">
                  <c:v>95.98</c:v>
                </c:pt>
                <c:pt idx="125">
                  <c:v>95.9</c:v>
                </c:pt>
                <c:pt idx="126">
                  <c:v>96</c:v>
                </c:pt>
                <c:pt idx="127">
                  <c:v>95.94</c:v>
                </c:pt>
                <c:pt idx="128">
                  <c:v>95.44</c:v>
                </c:pt>
                <c:pt idx="129">
                  <c:v>95.53</c:v>
                </c:pt>
                <c:pt idx="130">
                  <c:v>95.51</c:v>
                </c:pt>
                <c:pt idx="131">
                  <c:v>96.07</c:v>
                </c:pt>
                <c:pt idx="132">
                  <c:v>96.07</c:v>
                </c:pt>
                <c:pt idx="133">
                  <c:v>96.09</c:v>
                </c:pt>
                <c:pt idx="134">
                  <c:v>96.51</c:v>
                </c:pt>
                <c:pt idx="135">
                  <c:v>96.24</c:v>
                </c:pt>
                <c:pt idx="136">
                  <c:v>96.83</c:v>
                </c:pt>
                <c:pt idx="137">
                  <c:v>97.21</c:v>
                </c:pt>
                <c:pt idx="138">
                  <c:v>97.2</c:v>
                </c:pt>
                <c:pt idx="139">
                  <c:v>97</c:v>
                </c:pt>
                <c:pt idx="140">
                  <c:v>97.09</c:v>
                </c:pt>
                <c:pt idx="141">
                  <c:v>97.09</c:v>
                </c:pt>
                <c:pt idx="142">
                  <c:v>97.44</c:v>
                </c:pt>
                <c:pt idx="143">
                  <c:v>97.42</c:v>
                </c:pt>
                <c:pt idx="144">
                  <c:v>97.34</c:v>
                </c:pt>
                <c:pt idx="145">
                  <c:v>97.6</c:v>
                </c:pt>
                <c:pt idx="146">
                  <c:v>97.99</c:v>
                </c:pt>
                <c:pt idx="147">
                  <c:v>97.12</c:v>
                </c:pt>
                <c:pt idx="148">
                  <c:v>97.01</c:v>
                </c:pt>
                <c:pt idx="149">
                  <c:v>96.81</c:v>
                </c:pt>
                <c:pt idx="150">
                  <c:v>96.51</c:v>
                </c:pt>
                <c:pt idx="151">
                  <c:v>96.45</c:v>
                </c:pt>
                <c:pt idx="152">
                  <c:v>96.75</c:v>
                </c:pt>
                <c:pt idx="153">
                  <c:v>96.44</c:v>
                </c:pt>
                <c:pt idx="154">
                  <c:v>96</c:v>
                </c:pt>
                <c:pt idx="155">
                  <c:v>95.69</c:v>
                </c:pt>
                <c:pt idx="156">
                  <c:v>95.59</c:v>
                </c:pt>
                <c:pt idx="157">
                  <c:v>96.02</c:v>
                </c:pt>
                <c:pt idx="158">
                  <c:v>96.19</c:v>
                </c:pt>
                <c:pt idx="159">
                  <c:v>95.75</c:v>
                </c:pt>
                <c:pt idx="160">
                  <c:v>95.74</c:v>
                </c:pt>
                <c:pt idx="161">
                  <c:v>94.88</c:v>
                </c:pt>
                <c:pt idx="162">
                  <c:v>95.18</c:v>
                </c:pt>
                <c:pt idx="163">
                  <c:v>94.86</c:v>
                </c:pt>
                <c:pt idx="164">
                  <c:v>95.36</c:v>
                </c:pt>
                <c:pt idx="165">
                  <c:v>94.59</c:v>
                </c:pt>
                <c:pt idx="166">
                  <c:v>94.6</c:v>
                </c:pt>
                <c:pt idx="167">
                  <c:v>95.27</c:v>
                </c:pt>
                <c:pt idx="168">
                  <c:v>95.44</c:v>
                </c:pt>
                <c:pt idx="169">
                  <c:v>95.04</c:v>
                </c:pt>
                <c:pt idx="170">
                  <c:v>95.26</c:v>
                </c:pt>
                <c:pt idx="171">
                  <c:v>95.01</c:v>
                </c:pt>
                <c:pt idx="172">
                  <c:v>95.25</c:v>
                </c:pt>
                <c:pt idx="173">
                  <c:v>95.46</c:v>
                </c:pt>
                <c:pt idx="174">
                  <c:v>95.43</c:v>
                </c:pt>
                <c:pt idx="175">
                  <c:v>95.27</c:v>
                </c:pt>
                <c:pt idx="176">
                  <c:v>95.48</c:v>
                </c:pt>
                <c:pt idx="177">
                  <c:v>95.79</c:v>
                </c:pt>
                <c:pt idx="178">
                  <c:v>95.58</c:v>
                </c:pt>
                <c:pt idx="179">
                  <c:v>95.41</c:v>
                </c:pt>
                <c:pt idx="180">
                  <c:v>95.93</c:v>
                </c:pt>
                <c:pt idx="181">
                  <c:v>95.84</c:v>
                </c:pt>
                <c:pt idx="182">
                  <c:v>95.42</c:v>
                </c:pt>
                <c:pt idx="183">
                  <c:v>95.52</c:v>
                </c:pt>
                <c:pt idx="184">
                  <c:v>95.37</c:v>
                </c:pt>
                <c:pt idx="185">
                  <c:v>95.56</c:v>
                </c:pt>
                <c:pt idx="186">
                  <c:v>95.34</c:v>
                </c:pt>
                <c:pt idx="187">
                  <c:v>95.25</c:v>
                </c:pt>
                <c:pt idx="188">
                  <c:v>94.8</c:v>
                </c:pt>
                <c:pt idx="189">
                  <c:v>94.98</c:v>
                </c:pt>
                <c:pt idx="190">
                  <c:v>94.74</c:v>
                </c:pt>
                <c:pt idx="191">
                  <c:v>94.39</c:v>
                </c:pt>
                <c:pt idx="192">
                  <c:v>94.53</c:v>
                </c:pt>
                <c:pt idx="193">
                  <c:v>95</c:v>
                </c:pt>
                <c:pt idx="194">
                  <c:v>94.71</c:v>
                </c:pt>
                <c:pt idx="195">
                  <c:v>94.96</c:v>
                </c:pt>
                <c:pt idx="196">
                  <c:v>94.64</c:v>
                </c:pt>
                <c:pt idx="197">
                  <c:v>94.32</c:v>
                </c:pt>
                <c:pt idx="198">
                  <c:v>94.32</c:v>
                </c:pt>
                <c:pt idx="199">
                  <c:v>94.26</c:v>
                </c:pt>
                <c:pt idx="200">
                  <c:v>93.51</c:v>
                </c:pt>
                <c:pt idx="201">
                  <c:v>93.47</c:v>
                </c:pt>
                <c:pt idx="202">
                  <c:v>93.11</c:v>
                </c:pt>
                <c:pt idx="203">
                  <c:v>93.74</c:v>
                </c:pt>
                <c:pt idx="204">
                  <c:v>93.8</c:v>
                </c:pt>
                <c:pt idx="205">
                  <c:v>93.88</c:v>
                </c:pt>
                <c:pt idx="206">
                  <c:v>94.28</c:v>
                </c:pt>
                <c:pt idx="207">
                  <c:v>94.32</c:v>
                </c:pt>
                <c:pt idx="208">
                  <c:v>94.54</c:v>
                </c:pt>
                <c:pt idx="209">
                  <c:v>94.65</c:v>
                </c:pt>
                <c:pt idx="210">
                  <c:v>94.17</c:v>
                </c:pt>
                <c:pt idx="211">
                  <c:v>94.24</c:v>
                </c:pt>
                <c:pt idx="212">
                  <c:v>94</c:v>
                </c:pt>
                <c:pt idx="213">
                  <c:v>94.12</c:v>
                </c:pt>
                <c:pt idx="214">
                  <c:v>93.62</c:v>
                </c:pt>
                <c:pt idx="215">
                  <c:v>93.52</c:v>
                </c:pt>
                <c:pt idx="216">
                  <c:v>93.78</c:v>
                </c:pt>
                <c:pt idx="217">
                  <c:v>93.69</c:v>
                </c:pt>
                <c:pt idx="218">
                  <c:v>94.34</c:v>
                </c:pt>
                <c:pt idx="219">
                  <c:v>94.18</c:v>
                </c:pt>
                <c:pt idx="220">
                  <c:v>94.28</c:v>
                </c:pt>
                <c:pt idx="221">
                  <c:v>94.52</c:v>
                </c:pt>
                <c:pt idx="222">
                  <c:v>94.02</c:v>
                </c:pt>
                <c:pt idx="223">
                  <c:v>94.36</c:v>
                </c:pt>
                <c:pt idx="224">
                  <c:v>94</c:v>
                </c:pt>
                <c:pt idx="225">
                  <c:v>94.12</c:v>
                </c:pt>
                <c:pt idx="226">
                  <c:v>94.73</c:v>
                </c:pt>
                <c:pt idx="227">
                  <c:v>94.79</c:v>
                </c:pt>
                <c:pt idx="228">
                  <c:v>95.03</c:v>
                </c:pt>
                <c:pt idx="229">
                  <c:v>95.06</c:v>
                </c:pt>
                <c:pt idx="230">
                  <c:v>94.57</c:v>
                </c:pt>
                <c:pt idx="231">
                  <c:v>94.03</c:v>
                </c:pt>
                <c:pt idx="232">
                  <c:v>94.12</c:v>
                </c:pt>
                <c:pt idx="233">
                  <c:v>94.18</c:v>
                </c:pt>
                <c:pt idx="234">
                  <c:v>93.7</c:v>
                </c:pt>
                <c:pt idx="235">
                  <c:v>93.51</c:v>
                </c:pt>
                <c:pt idx="236">
                  <c:v>93.71</c:v>
                </c:pt>
                <c:pt idx="237">
                  <c:v>93.63</c:v>
                </c:pt>
                <c:pt idx="238">
                  <c:v>93.29</c:v>
                </c:pt>
                <c:pt idx="239">
                  <c:v>93.55</c:v>
                </c:pt>
                <c:pt idx="240">
                  <c:v>93.78</c:v>
                </c:pt>
                <c:pt idx="241">
                  <c:v>93.72</c:v>
                </c:pt>
                <c:pt idx="242">
                  <c:v>93.84</c:v>
                </c:pt>
                <c:pt idx="243">
                  <c:v>93.54</c:v>
                </c:pt>
                <c:pt idx="244">
                  <c:v>93.31</c:v>
                </c:pt>
                <c:pt idx="245">
                  <c:v>93.1</c:v>
                </c:pt>
                <c:pt idx="246">
                  <c:v>92.85</c:v>
                </c:pt>
                <c:pt idx="247">
                  <c:v>93.03</c:v>
                </c:pt>
                <c:pt idx="248">
                  <c:v>93.28</c:v>
                </c:pt>
                <c:pt idx="249">
                  <c:v>93.56</c:v>
                </c:pt>
                <c:pt idx="250">
                  <c:v>93.17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9-4759-821F-6D33FBBF7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795007"/>
        <c:axId val="1024406183"/>
      </c:areaChart>
      <c:dateAx>
        <c:axId val="62579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024406183"/>
        <c:crosses val="autoZero"/>
        <c:auto val="1"/>
        <c:lblOffset val="100"/>
        <c:baseTimeUnit val="days"/>
      </c:dateAx>
      <c:valAx>
        <c:axId val="1024406183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62579500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SHY!$F$27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SHY!$B$28:$B$1000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45989.545138888803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46015.545138888803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SHY!$F$28:$F$1000</c:f>
              <c:numCache>
                <c:formatCode>#,##0.00</c:formatCode>
                <c:ptCount val="973"/>
                <c:pt idx="0">
                  <c:v>82.52</c:v>
                </c:pt>
                <c:pt idx="1">
                  <c:v>82.52</c:v>
                </c:pt>
                <c:pt idx="2">
                  <c:v>82.66</c:v>
                </c:pt>
                <c:pt idx="3">
                  <c:v>82.68</c:v>
                </c:pt>
                <c:pt idx="4">
                  <c:v>82.65</c:v>
                </c:pt>
                <c:pt idx="5">
                  <c:v>82.68</c:v>
                </c:pt>
                <c:pt idx="6">
                  <c:v>82.64</c:v>
                </c:pt>
                <c:pt idx="7">
                  <c:v>82.62</c:v>
                </c:pt>
                <c:pt idx="8">
                  <c:v>82.62</c:v>
                </c:pt>
                <c:pt idx="9">
                  <c:v>82.68</c:v>
                </c:pt>
                <c:pt idx="10">
                  <c:v>82.79</c:v>
                </c:pt>
                <c:pt idx="11">
                  <c:v>82.7</c:v>
                </c:pt>
                <c:pt idx="12">
                  <c:v>82.67</c:v>
                </c:pt>
                <c:pt idx="13">
                  <c:v>82.67</c:v>
                </c:pt>
                <c:pt idx="14">
                  <c:v>82.71</c:v>
                </c:pt>
                <c:pt idx="15">
                  <c:v>82.74</c:v>
                </c:pt>
                <c:pt idx="16">
                  <c:v>82.67</c:v>
                </c:pt>
                <c:pt idx="17">
                  <c:v>82.85</c:v>
                </c:pt>
                <c:pt idx="18">
                  <c:v>82.81</c:v>
                </c:pt>
                <c:pt idx="19">
                  <c:v>82.88</c:v>
                </c:pt>
                <c:pt idx="20">
                  <c:v>82.94</c:v>
                </c:pt>
                <c:pt idx="21">
                  <c:v>82.91</c:v>
                </c:pt>
                <c:pt idx="22">
                  <c:v>82.98</c:v>
                </c:pt>
                <c:pt idx="23">
                  <c:v>82.68</c:v>
                </c:pt>
                <c:pt idx="24">
                  <c:v>82.74</c:v>
                </c:pt>
                <c:pt idx="25">
                  <c:v>82.8</c:v>
                </c:pt>
                <c:pt idx="26">
                  <c:v>82.92</c:v>
                </c:pt>
                <c:pt idx="27">
                  <c:v>82.97</c:v>
                </c:pt>
                <c:pt idx="28">
                  <c:v>82.9</c:v>
                </c:pt>
                <c:pt idx="29">
                  <c:v>82.91</c:v>
                </c:pt>
                <c:pt idx="30">
                  <c:v>82.94</c:v>
                </c:pt>
                <c:pt idx="31">
                  <c:v>82.93</c:v>
                </c:pt>
                <c:pt idx="32">
                  <c:v>82.96</c:v>
                </c:pt>
                <c:pt idx="33">
                  <c:v>83</c:v>
                </c:pt>
                <c:pt idx="34">
                  <c:v>82.96</c:v>
                </c:pt>
                <c:pt idx="35">
                  <c:v>82.93</c:v>
                </c:pt>
                <c:pt idx="36">
                  <c:v>82.96</c:v>
                </c:pt>
                <c:pt idx="37">
                  <c:v>82.92</c:v>
                </c:pt>
                <c:pt idx="38">
                  <c:v>82.95</c:v>
                </c:pt>
                <c:pt idx="39">
                  <c:v>82.91</c:v>
                </c:pt>
                <c:pt idx="40">
                  <c:v>82.84</c:v>
                </c:pt>
                <c:pt idx="41">
                  <c:v>82.89</c:v>
                </c:pt>
                <c:pt idx="42">
                  <c:v>82.92</c:v>
                </c:pt>
                <c:pt idx="43">
                  <c:v>82.96</c:v>
                </c:pt>
                <c:pt idx="44">
                  <c:v>82.8</c:v>
                </c:pt>
                <c:pt idx="45">
                  <c:v>82.82</c:v>
                </c:pt>
                <c:pt idx="46">
                  <c:v>82.79</c:v>
                </c:pt>
                <c:pt idx="47">
                  <c:v>82.77</c:v>
                </c:pt>
                <c:pt idx="48">
                  <c:v>82.81</c:v>
                </c:pt>
                <c:pt idx="49">
                  <c:v>82.8</c:v>
                </c:pt>
                <c:pt idx="50">
                  <c:v>82.79</c:v>
                </c:pt>
                <c:pt idx="51">
                  <c:v>82.93</c:v>
                </c:pt>
                <c:pt idx="52">
                  <c:v>83.09</c:v>
                </c:pt>
                <c:pt idx="53">
                  <c:v>83.03</c:v>
                </c:pt>
                <c:pt idx="54">
                  <c:v>82.99</c:v>
                </c:pt>
                <c:pt idx="55">
                  <c:v>83.1</c:v>
                </c:pt>
                <c:pt idx="56">
                  <c:v>83.09</c:v>
                </c:pt>
                <c:pt idx="57">
                  <c:v>83.1</c:v>
                </c:pt>
                <c:pt idx="58">
                  <c:v>83.12</c:v>
                </c:pt>
                <c:pt idx="59">
                  <c:v>83.12</c:v>
                </c:pt>
                <c:pt idx="60">
                  <c:v>83.06</c:v>
                </c:pt>
                <c:pt idx="61">
                  <c:v>83.11</c:v>
                </c:pt>
                <c:pt idx="62">
                  <c:v>83.09</c:v>
                </c:pt>
                <c:pt idx="63">
                  <c:v>83.1</c:v>
                </c:pt>
                <c:pt idx="64">
                  <c:v>82.94</c:v>
                </c:pt>
                <c:pt idx="65">
                  <c:v>82.95</c:v>
                </c:pt>
                <c:pt idx="66">
                  <c:v>82.98</c:v>
                </c:pt>
                <c:pt idx="67">
                  <c:v>82.72</c:v>
                </c:pt>
                <c:pt idx="68">
                  <c:v>82.75</c:v>
                </c:pt>
                <c:pt idx="69">
                  <c:v>82.69</c:v>
                </c:pt>
                <c:pt idx="70">
                  <c:v>82.79</c:v>
                </c:pt>
                <c:pt idx="71">
                  <c:v>82.83</c:v>
                </c:pt>
                <c:pt idx="72">
                  <c:v>82.81</c:v>
                </c:pt>
                <c:pt idx="73">
                  <c:v>82.88</c:v>
                </c:pt>
                <c:pt idx="74">
                  <c:v>82.85</c:v>
                </c:pt>
                <c:pt idx="75">
                  <c:v>82.8</c:v>
                </c:pt>
                <c:pt idx="76">
                  <c:v>82.83</c:v>
                </c:pt>
                <c:pt idx="77">
                  <c:v>82.82</c:v>
                </c:pt>
                <c:pt idx="78">
                  <c:v>82.87</c:v>
                </c:pt>
                <c:pt idx="79">
                  <c:v>82.86</c:v>
                </c:pt>
                <c:pt idx="80">
                  <c:v>82.93</c:v>
                </c:pt>
                <c:pt idx="81">
                  <c:v>83.03</c:v>
                </c:pt>
                <c:pt idx="82">
                  <c:v>83.04</c:v>
                </c:pt>
                <c:pt idx="83">
                  <c:v>83.09</c:v>
                </c:pt>
                <c:pt idx="84">
                  <c:v>83.08</c:v>
                </c:pt>
                <c:pt idx="85">
                  <c:v>83.08</c:v>
                </c:pt>
                <c:pt idx="86">
                  <c:v>82.76</c:v>
                </c:pt>
                <c:pt idx="87">
                  <c:v>82.81</c:v>
                </c:pt>
                <c:pt idx="88">
                  <c:v>82.86</c:v>
                </c:pt>
                <c:pt idx="89">
                  <c:v>82.8</c:v>
                </c:pt>
                <c:pt idx="90">
                  <c:v>82.77</c:v>
                </c:pt>
                <c:pt idx="91">
                  <c:v>82.75</c:v>
                </c:pt>
                <c:pt idx="92">
                  <c:v>82.71</c:v>
                </c:pt>
                <c:pt idx="93">
                  <c:v>82.85</c:v>
                </c:pt>
                <c:pt idx="94">
                  <c:v>82.86</c:v>
                </c:pt>
                <c:pt idx="95">
                  <c:v>82.87</c:v>
                </c:pt>
                <c:pt idx="96">
                  <c:v>82.92</c:v>
                </c:pt>
                <c:pt idx="97">
                  <c:v>82.96</c:v>
                </c:pt>
                <c:pt idx="98">
                  <c:v>82.97</c:v>
                </c:pt>
                <c:pt idx="99">
                  <c:v>83.03</c:v>
                </c:pt>
                <c:pt idx="100">
                  <c:v>82.76</c:v>
                </c:pt>
                <c:pt idx="101">
                  <c:v>82.72</c:v>
                </c:pt>
                <c:pt idx="102">
                  <c:v>82.68</c:v>
                </c:pt>
                <c:pt idx="103">
                  <c:v>82.73</c:v>
                </c:pt>
                <c:pt idx="104">
                  <c:v>82.79</c:v>
                </c:pt>
                <c:pt idx="105">
                  <c:v>82.83</c:v>
                </c:pt>
                <c:pt idx="106">
                  <c:v>82.85</c:v>
                </c:pt>
                <c:pt idx="107">
                  <c:v>82.82</c:v>
                </c:pt>
                <c:pt idx="108">
                  <c:v>82.86</c:v>
                </c:pt>
                <c:pt idx="109">
                  <c:v>82.89</c:v>
                </c:pt>
                <c:pt idx="110">
                  <c:v>82.9</c:v>
                </c:pt>
                <c:pt idx="111">
                  <c:v>82.89</c:v>
                </c:pt>
                <c:pt idx="112">
                  <c:v>82.86</c:v>
                </c:pt>
                <c:pt idx="113">
                  <c:v>82.83</c:v>
                </c:pt>
                <c:pt idx="114">
                  <c:v>82.83</c:v>
                </c:pt>
                <c:pt idx="115">
                  <c:v>82.85</c:v>
                </c:pt>
                <c:pt idx="116">
                  <c:v>82.87</c:v>
                </c:pt>
                <c:pt idx="117">
                  <c:v>82.81</c:v>
                </c:pt>
                <c:pt idx="118">
                  <c:v>82.79</c:v>
                </c:pt>
                <c:pt idx="119">
                  <c:v>82.8</c:v>
                </c:pt>
                <c:pt idx="120">
                  <c:v>82.84</c:v>
                </c:pt>
                <c:pt idx="121">
                  <c:v>82.81</c:v>
                </c:pt>
                <c:pt idx="122">
                  <c:v>82.84</c:v>
                </c:pt>
                <c:pt idx="123">
                  <c:v>82.87</c:v>
                </c:pt>
                <c:pt idx="124">
                  <c:v>82.89</c:v>
                </c:pt>
                <c:pt idx="125">
                  <c:v>82.89</c:v>
                </c:pt>
                <c:pt idx="126">
                  <c:v>82.92</c:v>
                </c:pt>
                <c:pt idx="127">
                  <c:v>82.99</c:v>
                </c:pt>
                <c:pt idx="128">
                  <c:v>82.7</c:v>
                </c:pt>
                <c:pt idx="129">
                  <c:v>82.69</c:v>
                </c:pt>
                <c:pt idx="130">
                  <c:v>82.73</c:v>
                </c:pt>
                <c:pt idx="131">
                  <c:v>82.86</c:v>
                </c:pt>
                <c:pt idx="132">
                  <c:v>82.86</c:v>
                </c:pt>
                <c:pt idx="133">
                  <c:v>82.88</c:v>
                </c:pt>
                <c:pt idx="134">
                  <c:v>82.93</c:v>
                </c:pt>
                <c:pt idx="135">
                  <c:v>82.85</c:v>
                </c:pt>
                <c:pt idx="136">
                  <c:v>82.93</c:v>
                </c:pt>
                <c:pt idx="137">
                  <c:v>83.06</c:v>
                </c:pt>
                <c:pt idx="138">
                  <c:v>83.03</c:v>
                </c:pt>
                <c:pt idx="139">
                  <c:v>82.98</c:v>
                </c:pt>
                <c:pt idx="140">
                  <c:v>82.98</c:v>
                </c:pt>
                <c:pt idx="141">
                  <c:v>82.99</c:v>
                </c:pt>
                <c:pt idx="142">
                  <c:v>83.06</c:v>
                </c:pt>
                <c:pt idx="143">
                  <c:v>83.06</c:v>
                </c:pt>
                <c:pt idx="144">
                  <c:v>83.04</c:v>
                </c:pt>
                <c:pt idx="145">
                  <c:v>83.07</c:v>
                </c:pt>
                <c:pt idx="146">
                  <c:v>83.18</c:v>
                </c:pt>
                <c:pt idx="147">
                  <c:v>82.81</c:v>
                </c:pt>
                <c:pt idx="148">
                  <c:v>82.8</c:v>
                </c:pt>
                <c:pt idx="149">
                  <c:v>82.75</c:v>
                </c:pt>
                <c:pt idx="150">
                  <c:v>82.69</c:v>
                </c:pt>
                <c:pt idx="151">
                  <c:v>82.73</c:v>
                </c:pt>
                <c:pt idx="152">
                  <c:v>82.77</c:v>
                </c:pt>
                <c:pt idx="153">
                  <c:v>82.72</c:v>
                </c:pt>
                <c:pt idx="154">
                  <c:v>82.64</c:v>
                </c:pt>
                <c:pt idx="155">
                  <c:v>82.5</c:v>
                </c:pt>
                <c:pt idx="156">
                  <c:v>82.55</c:v>
                </c:pt>
                <c:pt idx="157">
                  <c:v>82.65</c:v>
                </c:pt>
                <c:pt idx="158">
                  <c:v>82.66</c:v>
                </c:pt>
                <c:pt idx="159">
                  <c:v>82.51</c:v>
                </c:pt>
                <c:pt idx="160">
                  <c:v>82.49</c:v>
                </c:pt>
                <c:pt idx="161">
                  <c:v>82.31</c:v>
                </c:pt>
                <c:pt idx="162">
                  <c:v>82.43</c:v>
                </c:pt>
                <c:pt idx="163">
                  <c:v>82.31</c:v>
                </c:pt>
                <c:pt idx="164">
                  <c:v>82.4</c:v>
                </c:pt>
                <c:pt idx="165">
                  <c:v>82.22</c:v>
                </c:pt>
                <c:pt idx="166">
                  <c:v>82.39</c:v>
                </c:pt>
                <c:pt idx="167">
                  <c:v>82.5</c:v>
                </c:pt>
                <c:pt idx="168">
                  <c:v>82.57</c:v>
                </c:pt>
                <c:pt idx="169">
                  <c:v>82.32</c:v>
                </c:pt>
                <c:pt idx="170">
                  <c:v>82.36</c:v>
                </c:pt>
                <c:pt idx="171">
                  <c:v>82.28</c:v>
                </c:pt>
                <c:pt idx="172">
                  <c:v>82.34</c:v>
                </c:pt>
                <c:pt idx="173">
                  <c:v>82.42</c:v>
                </c:pt>
                <c:pt idx="174">
                  <c:v>82.44</c:v>
                </c:pt>
                <c:pt idx="175">
                  <c:v>82.41</c:v>
                </c:pt>
                <c:pt idx="176">
                  <c:v>82.47</c:v>
                </c:pt>
                <c:pt idx="177">
                  <c:v>82.53</c:v>
                </c:pt>
                <c:pt idx="178">
                  <c:v>82.51</c:v>
                </c:pt>
                <c:pt idx="179">
                  <c:v>82.48</c:v>
                </c:pt>
                <c:pt idx="180">
                  <c:v>82.64</c:v>
                </c:pt>
                <c:pt idx="181">
                  <c:v>82.6</c:v>
                </c:pt>
                <c:pt idx="182">
                  <c:v>82.48</c:v>
                </c:pt>
                <c:pt idx="183">
                  <c:v>82.52</c:v>
                </c:pt>
                <c:pt idx="184">
                  <c:v>82.48</c:v>
                </c:pt>
                <c:pt idx="185">
                  <c:v>82.57</c:v>
                </c:pt>
                <c:pt idx="186">
                  <c:v>82.55</c:v>
                </c:pt>
                <c:pt idx="187">
                  <c:v>82.5</c:v>
                </c:pt>
                <c:pt idx="188">
                  <c:v>82.39</c:v>
                </c:pt>
                <c:pt idx="189">
                  <c:v>82.48</c:v>
                </c:pt>
                <c:pt idx="190">
                  <c:v>82.25</c:v>
                </c:pt>
                <c:pt idx="191">
                  <c:v>82.15</c:v>
                </c:pt>
                <c:pt idx="192">
                  <c:v>82.19</c:v>
                </c:pt>
                <c:pt idx="193">
                  <c:v>82.3</c:v>
                </c:pt>
                <c:pt idx="194">
                  <c:v>82.23</c:v>
                </c:pt>
                <c:pt idx="195">
                  <c:v>82.3</c:v>
                </c:pt>
                <c:pt idx="196">
                  <c:v>82.22</c:v>
                </c:pt>
                <c:pt idx="197">
                  <c:v>82.16</c:v>
                </c:pt>
                <c:pt idx="198">
                  <c:v>82.19</c:v>
                </c:pt>
                <c:pt idx="199">
                  <c:v>82.16</c:v>
                </c:pt>
                <c:pt idx="200">
                  <c:v>82.06</c:v>
                </c:pt>
                <c:pt idx="201">
                  <c:v>82.1</c:v>
                </c:pt>
                <c:pt idx="202">
                  <c:v>82.04</c:v>
                </c:pt>
                <c:pt idx="203">
                  <c:v>82.15</c:v>
                </c:pt>
                <c:pt idx="204">
                  <c:v>82.14</c:v>
                </c:pt>
                <c:pt idx="205">
                  <c:v>82.12</c:v>
                </c:pt>
                <c:pt idx="206">
                  <c:v>82.21</c:v>
                </c:pt>
                <c:pt idx="207">
                  <c:v>82.22</c:v>
                </c:pt>
                <c:pt idx="208">
                  <c:v>82.26</c:v>
                </c:pt>
                <c:pt idx="209">
                  <c:v>82.3</c:v>
                </c:pt>
                <c:pt idx="210">
                  <c:v>82.01</c:v>
                </c:pt>
                <c:pt idx="211">
                  <c:v>82.01</c:v>
                </c:pt>
                <c:pt idx="212">
                  <c:v>81.97</c:v>
                </c:pt>
                <c:pt idx="213">
                  <c:v>82.03</c:v>
                </c:pt>
                <c:pt idx="214">
                  <c:v>81.86</c:v>
                </c:pt>
                <c:pt idx="215">
                  <c:v>81.900000000000006</c:v>
                </c:pt>
                <c:pt idx="216">
                  <c:v>81.94</c:v>
                </c:pt>
                <c:pt idx="217">
                  <c:v>81.94</c:v>
                </c:pt>
                <c:pt idx="218">
                  <c:v>82.09</c:v>
                </c:pt>
                <c:pt idx="219">
                  <c:v>82.07</c:v>
                </c:pt>
                <c:pt idx="220">
                  <c:v>82.11</c:v>
                </c:pt>
                <c:pt idx="221">
                  <c:v>82.13</c:v>
                </c:pt>
                <c:pt idx="222">
                  <c:v>81.88</c:v>
                </c:pt>
                <c:pt idx="223">
                  <c:v>81.99</c:v>
                </c:pt>
                <c:pt idx="224">
                  <c:v>81.91</c:v>
                </c:pt>
                <c:pt idx="225">
                  <c:v>81.97</c:v>
                </c:pt>
                <c:pt idx="226">
                  <c:v>82.07</c:v>
                </c:pt>
                <c:pt idx="227">
                  <c:v>82.09</c:v>
                </c:pt>
                <c:pt idx="228">
                  <c:v>82.19</c:v>
                </c:pt>
                <c:pt idx="229">
                  <c:v>82.17</c:v>
                </c:pt>
                <c:pt idx="230">
                  <c:v>82.11</c:v>
                </c:pt>
                <c:pt idx="231">
                  <c:v>81.84</c:v>
                </c:pt>
                <c:pt idx="232">
                  <c:v>81.94</c:v>
                </c:pt>
                <c:pt idx="233">
                  <c:v>81.98</c:v>
                </c:pt>
                <c:pt idx="234">
                  <c:v>81.86</c:v>
                </c:pt>
                <c:pt idx="235">
                  <c:v>81.84</c:v>
                </c:pt>
                <c:pt idx="236">
                  <c:v>81.91</c:v>
                </c:pt>
                <c:pt idx="237">
                  <c:v>81.88</c:v>
                </c:pt>
                <c:pt idx="238">
                  <c:v>81.790000000000006</c:v>
                </c:pt>
                <c:pt idx="239">
                  <c:v>81.93</c:v>
                </c:pt>
                <c:pt idx="240">
                  <c:v>82</c:v>
                </c:pt>
                <c:pt idx="241">
                  <c:v>82</c:v>
                </c:pt>
                <c:pt idx="242">
                  <c:v>81.99</c:v>
                </c:pt>
                <c:pt idx="243">
                  <c:v>81.96</c:v>
                </c:pt>
                <c:pt idx="244">
                  <c:v>81.89</c:v>
                </c:pt>
                <c:pt idx="245">
                  <c:v>81.83</c:v>
                </c:pt>
                <c:pt idx="246">
                  <c:v>81.77</c:v>
                </c:pt>
                <c:pt idx="247">
                  <c:v>81.849999999999994</c:v>
                </c:pt>
                <c:pt idx="248">
                  <c:v>81.87</c:v>
                </c:pt>
                <c:pt idx="249">
                  <c:v>81.94</c:v>
                </c:pt>
                <c:pt idx="250">
                  <c:v>81.99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0-4389-BD83-17FC948A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77611"/>
        <c:axId val="1525651950"/>
      </c:areaChart>
      <c:dateAx>
        <c:axId val="13157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525651950"/>
        <c:crosses val="autoZero"/>
        <c:auto val="1"/>
        <c:lblOffset val="100"/>
        <c:baseTimeUnit val="days"/>
      </c:dateAx>
      <c:valAx>
        <c:axId val="152565195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1315776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TLT!$F$27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TLT!$B$28:$B$1000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45989.545138888803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46015.545138888803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TLT!$F$28:$F$1000</c:f>
              <c:numCache>
                <c:formatCode>#,##0.00</c:formatCode>
                <c:ptCount val="973"/>
                <c:pt idx="0">
                  <c:v>86.87</c:v>
                </c:pt>
                <c:pt idx="1">
                  <c:v>86.92</c:v>
                </c:pt>
                <c:pt idx="2">
                  <c:v>87.82</c:v>
                </c:pt>
                <c:pt idx="3">
                  <c:v>88.06</c:v>
                </c:pt>
                <c:pt idx="4">
                  <c:v>88.33</c:v>
                </c:pt>
                <c:pt idx="5">
                  <c:v>87.82</c:v>
                </c:pt>
                <c:pt idx="6">
                  <c:v>87.67</c:v>
                </c:pt>
                <c:pt idx="7">
                  <c:v>87.29</c:v>
                </c:pt>
                <c:pt idx="8">
                  <c:v>87.39</c:v>
                </c:pt>
                <c:pt idx="9">
                  <c:v>86.95</c:v>
                </c:pt>
                <c:pt idx="10">
                  <c:v>87.67</c:v>
                </c:pt>
                <c:pt idx="11">
                  <c:v>87.02</c:v>
                </c:pt>
                <c:pt idx="12">
                  <c:v>86.4</c:v>
                </c:pt>
                <c:pt idx="13">
                  <c:v>86.15</c:v>
                </c:pt>
                <c:pt idx="14">
                  <c:v>86.65</c:v>
                </c:pt>
                <c:pt idx="15">
                  <c:v>86.84</c:v>
                </c:pt>
                <c:pt idx="16">
                  <c:v>86.41</c:v>
                </c:pt>
                <c:pt idx="17">
                  <c:v>87.05</c:v>
                </c:pt>
                <c:pt idx="18">
                  <c:v>86.8</c:v>
                </c:pt>
                <c:pt idx="19">
                  <c:v>86.75</c:v>
                </c:pt>
                <c:pt idx="20">
                  <c:v>86.65</c:v>
                </c:pt>
                <c:pt idx="21">
                  <c:v>87.22</c:v>
                </c:pt>
                <c:pt idx="22">
                  <c:v>86.6</c:v>
                </c:pt>
                <c:pt idx="23">
                  <c:v>85.63</c:v>
                </c:pt>
                <c:pt idx="24">
                  <c:v>86.57</c:v>
                </c:pt>
                <c:pt idx="25">
                  <c:v>87.23</c:v>
                </c:pt>
                <c:pt idx="26">
                  <c:v>88.56</c:v>
                </c:pt>
                <c:pt idx="27">
                  <c:v>89.74</c:v>
                </c:pt>
                <c:pt idx="28">
                  <c:v>89.23</c:v>
                </c:pt>
                <c:pt idx="29">
                  <c:v>89.74</c:v>
                </c:pt>
                <c:pt idx="30">
                  <c:v>90.34</c:v>
                </c:pt>
                <c:pt idx="31">
                  <c:v>89.95</c:v>
                </c:pt>
                <c:pt idx="32">
                  <c:v>90.16</c:v>
                </c:pt>
                <c:pt idx="33">
                  <c:v>90.35</c:v>
                </c:pt>
                <c:pt idx="34">
                  <c:v>90.12</c:v>
                </c:pt>
                <c:pt idx="35">
                  <c:v>89.19</c:v>
                </c:pt>
                <c:pt idx="36">
                  <c:v>89.02</c:v>
                </c:pt>
                <c:pt idx="37">
                  <c:v>88.7</c:v>
                </c:pt>
                <c:pt idx="38">
                  <c:v>89.32</c:v>
                </c:pt>
                <c:pt idx="39">
                  <c:v>88.98</c:v>
                </c:pt>
                <c:pt idx="40">
                  <c:v>88.98</c:v>
                </c:pt>
                <c:pt idx="41">
                  <c:v>88.9</c:v>
                </c:pt>
                <c:pt idx="42">
                  <c:v>89.63</c:v>
                </c:pt>
                <c:pt idx="43">
                  <c:v>89.37</c:v>
                </c:pt>
                <c:pt idx="44">
                  <c:v>89.29</c:v>
                </c:pt>
                <c:pt idx="45">
                  <c:v>89.55</c:v>
                </c:pt>
                <c:pt idx="46">
                  <c:v>89.38</c:v>
                </c:pt>
                <c:pt idx="47">
                  <c:v>88.67</c:v>
                </c:pt>
                <c:pt idx="48">
                  <c:v>89.18</c:v>
                </c:pt>
                <c:pt idx="49">
                  <c:v>89.25</c:v>
                </c:pt>
                <c:pt idx="50">
                  <c:v>89.18</c:v>
                </c:pt>
                <c:pt idx="51">
                  <c:v>90.62</c:v>
                </c:pt>
                <c:pt idx="52">
                  <c:v>90.57</c:v>
                </c:pt>
                <c:pt idx="53">
                  <c:v>90.86</c:v>
                </c:pt>
                <c:pt idx="54">
                  <c:v>90.66</c:v>
                </c:pt>
                <c:pt idx="55">
                  <c:v>91.34</c:v>
                </c:pt>
                <c:pt idx="56">
                  <c:v>91.2</c:v>
                </c:pt>
                <c:pt idx="57">
                  <c:v>91.55</c:v>
                </c:pt>
                <c:pt idx="58">
                  <c:v>92</c:v>
                </c:pt>
                <c:pt idx="59">
                  <c:v>92.06</c:v>
                </c:pt>
                <c:pt idx="60">
                  <c:v>91.43</c:v>
                </c:pt>
                <c:pt idx="61">
                  <c:v>91.47</c:v>
                </c:pt>
                <c:pt idx="62">
                  <c:v>91.78</c:v>
                </c:pt>
                <c:pt idx="63">
                  <c:v>92.02</c:v>
                </c:pt>
                <c:pt idx="64">
                  <c:v>91.09</c:v>
                </c:pt>
                <c:pt idx="65">
                  <c:v>90.56</c:v>
                </c:pt>
                <c:pt idx="66">
                  <c:v>90.29</c:v>
                </c:pt>
                <c:pt idx="67">
                  <c:v>89.74</c:v>
                </c:pt>
                <c:pt idx="68">
                  <c:v>89.94</c:v>
                </c:pt>
                <c:pt idx="69">
                  <c:v>88.96</c:v>
                </c:pt>
                <c:pt idx="70">
                  <c:v>89.76</c:v>
                </c:pt>
                <c:pt idx="71">
                  <c:v>89.57</c:v>
                </c:pt>
                <c:pt idx="72">
                  <c:v>89.55</c:v>
                </c:pt>
                <c:pt idx="73">
                  <c:v>89.96</c:v>
                </c:pt>
                <c:pt idx="74">
                  <c:v>90.12</c:v>
                </c:pt>
                <c:pt idx="75">
                  <c:v>89.38</c:v>
                </c:pt>
                <c:pt idx="76">
                  <c:v>88.87</c:v>
                </c:pt>
                <c:pt idx="77">
                  <c:v>89.09</c:v>
                </c:pt>
                <c:pt idx="78">
                  <c:v>89.06</c:v>
                </c:pt>
                <c:pt idx="79">
                  <c:v>88.88</c:v>
                </c:pt>
                <c:pt idx="80">
                  <c:v>89.23</c:v>
                </c:pt>
                <c:pt idx="81">
                  <c:v>89.5</c:v>
                </c:pt>
                <c:pt idx="82">
                  <c:v>90.01</c:v>
                </c:pt>
                <c:pt idx="83">
                  <c:v>90.24</c:v>
                </c:pt>
                <c:pt idx="84">
                  <c:v>90.64</c:v>
                </c:pt>
                <c:pt idx="85">
                  <c:v>90.21</c:v>
                </c:pt>
                <c:pt idx="86">
                  <c:v>88.77</c:v>
                </c:pt>
                <c:pt idx="87">
                  <c:v>88.81</c:v>
                </c:pt>
                <c:pt idx="88">
                  <c:v>89.06</c:v>
                </c:pt>
                <c:pt idx="89">
                  <c:v>88.58</c:v>
                </c:pt>
                <c:pt idx="90">
                  <c:v>88.17</c:v>
                </c:pt>
                <c:pt idx="91">
                  <c:v>87.88</c:v>
                </c:pt>
                <c:pt idx="92">
                  <c:v>87.97</c:v>
                </c:pt>
                <c:pt idx="93">
                  <c:v>88.31</c:v>
                </c:pt>
                <c:pt idx="94">
                  <c:v>88.19</c:v>
                </c:pt>
                <c:pt idx="95">
                  <c:v>87.34</c:v>
                </c:pt>
                <c:pt idx="96">
                  <c:v>87.4</c:v>
                </c:pt>
                <c:pt idx="97">
                  <c:v>87.88</c:v>
                </c:pt>
                <c:pt idx="98">
                  <c:v>87.8</c:v>
                </c:pt>
                <c:pt idx="99">
                  <c:v>88.22</c:v>
                </c:pt>
                <c:pt idx="100">
                  <c:v>87.55</c:v>
                </c:pt>
                <c:pt idx="101">
                  <c:v>87.36</c:v>
                </c:pt>
                <c:pt idx="102">
                  <c:v>87.5</c:v>
                </c:pt>
                <c:pt idx="103">
                  <c:v>88.03</c:v>
                </c:pt>
                <c:pt idx="104">
                  <c:v>87.74</c:v>
                </c:pt>
                <c:pt idx="105">
                  <c:v>88.07</c:v>
                </c:pt>
                <c:pt idx="106">
                  <c:v>87.86</c:v>
                </c:pt>
                <c:pt idx="107">
                  <c:v>87.16</c:v>
                </c:pt>
                <c:pt idx="108">
                  <c:v>87.03</c:v>
                </c:pt>
                <c:pt idx="109">
                  <c:v>87.46</c:v>
                </c:pt>
                <c:pt idx="110">
                  <c:v>87.28</c:v>
                </c:pt>
                <c:pt idx="111">
                  <c:v>87.79</c:v>
                </c:pt>
                <c:pt idx="112">
                  <c:v>87.35</c:v>
                </c:pt>
                <c:pt idx="113">
                  <c:v>87.93</c:v>
                </c:pt>
                <c:pt idx="114">
                  <c:v>87.67</c:v>
                </c:pt>
                <c:pt idx="115">
                  <c:v>87.82</c:v>
                </c:pt>
                <c:pt idx="116">
                  <c:v>88.33</c:v>
                </c:pt>
                <c:pt idx="117">
                  <c:v>88.31</c:v>
                </c:pt>
                <c:pt idx="118">
                  <c:v>87.8</c:v>
                </c:pt>
                <c:pt idx="119">
                  <c:v>86.65</c:v>
                </c:pt>
                <c:pt idx="120">
                  <c:v>87.31</c:v>
                </c:pt>
                <c:pt idx="121">
                  <c:v>87.69</c:v>
                </c:pt>
                <c:pt idx="122">
                  <c:v>87.93</c:v>
                </c:pt>
                <c:pt idx="123">
                  <c:v>88.35</c:v>
                </c:pt>
                <c:pt idx="124">
                  <c:v>87.8</c:v>
                </c:pt>
                <c:pt idx="125">
                  <c:v>87.6</c:v>
                </c:pt>
                <c:pt idx="126">
                  <c:v>87.62</c:v>
                </c:pt>
                <c:pt idx="127">
                  <c:v>87.13</c:v>
                </c:pt>
                <c:pt idx="128">
                  <c:v>86.55</c:v>
                </c:pt>
                <c:pt idx="129">
                  <c:v>86.76</c:v>
                </c:pt>
                <c:pt idx="130">
                  <c:v>86.54</c:v>
                </c:pt>
                <c:pt idx="131">
                  <c:v>87.48</c:v>
                </c:pt>
                <c:pt idx="132">
                  <c:v>87.54</c:v>
                </c:pt>
                <c:pt idx="133">
                  <c:v>87.52</c:v>
                </c:pt>
                <c:pt idx="134">
                  <c:v>88.53</c:v>
                </c:pt>
                <c:pt idx="135">
                  <c:v>88.06</c:v>
                </c:pt>
                <c:pt idx="136">
                  <c:v>89.23</c:v>
                </c:pt>
                <c:pt idx="137">
                  <c:v>89.72</c:v>
                </c:pt>
                <c:pt idx="138">
                  <c:v>89.87</c:v>
                </c:pt>
                <c:pt idx="139">
                  <c:v>89.53</c:v>
                </c:pt>
                <c:pt idx="140">
                  <c:v>89.62</c:v>
                </c:pt>
                <c:pt idx="141">
                  <c:v>89.41</c:v>
                </c:pt>
                <c:pt idx="142">
                  <c:v>89.74</c:v>
                </c:pt>
                <c:pt idx="143">
                  <c:v>89.9</c:v>
                </c:pt>
                <c:pt idx="144">
                  <c:v>89.91</c:v>
                </c:pt>
                <c:pt idx="145">
                  <c:v>90.27</c:v>
                </c:pt>
                <c:pt idx="146">
                  <c:v>90.82</c:v>
                </c:pt>
                <c:pt idx="147">
                  <c:v>89.61</c:v>
                </c:pt>
                <c:pt idx="148">
                  <c:v>89.43</c:v>
                </c:pt>
                <c:pt idx="149">
                  <c:v>89.15</c:v>
                </c:pt>
                <c:pt idx="150">
                  <c:v>88.79</c:v>
                </c:pt>
                <c:pt idx="151">
                  <c:v>88.46</c:v>
                </c:pt>
                <c:pt idx="152">
                  <c:v>89.23</c:v>
                </c:pt>
                <c:pt idx="153">
                  <c:v>88.28</c:v>
                </c:pt>
                <c:pt idx="154">
                  <c:v>87.14</c:v>
                </c:pt>
                <c:pt idx="155">
                  <c:v>86.97</c:v>
                </c:pt>
                <c:pt idx="156">
                  <c:v>86.54</c:v>
                </c:pt>
                <c:pt idx="157">
                  <c:v>87.21</c:v>
                </c:pt>
                <c:pt idx="158">
                  <c:v>87.45</c:v>
                </c:pt>
                <c:pt idx="159">
                  <c:v>86.96</c:v>
                </c:pt>
                <c:pt idx="160">
                  <c:v>87.49</c:v>
                </c:pt>
                <c:pt idx="161">
                  <c:v>85.83</c:v>
                </c:pt>
                <c:pt idx="162">
                  <c:v>86.39</c:v>
                </c:pt>
                <c:pt idx="163">
                  <c:v>86.01</c:v>
                </c:pt>
                <c:pt idx="164">
                  <c:v>86.84</c:v>
                </c:pt>
                <c:pt idx="165">
                  <c:v>86.11</c:v>
                </c:pt>
                <c:pt idx="166">
                  <c:v>85.64</c:v>
                </c:pt>
                <c:pt idx="167">
                  <c:v>86.78</c:v>
                </c:pt>
                <c:pt idx="168">
                  <c:v>86.69</c:v>
                </c:pt>
                <c:pt idx="169">
                  <c:v>86.26</c:v>
                </c:pt>
                <c:pt idx="170">
                  <c:v>86.79</c:v>
                </c:pt>
                <c:pt idx="171">
                  <c:v>86.65</c:v>
                </c:pt>
                <c:pt idx="172">
                  <c:v>86.64</c:v>
                </c:pt>
                <c:pt idx="173">
                  <c:v>86.92</c:v>
                </c:pt>
                <c:pt idx="174">
                  <c:v>86.7</c:v>
                </c:pt>
                <c:pt idx="175">
                  <c:v>86.49</c:v>
                </c:pt>
                <c:pt idx="176">
                  <c:v>86.75</c:v>
                </c:pt>
                <c:pt idx="177">
                  <c:v>87.21</c:v>
                </c:pt>
                <c:pt idx="178">
                  <c:v>86.83</c:v>
                </c:pt>
                <c:pt idx="179">
                  <c:v>86.28</c:v>
                </c:pt>
                <c:pt idx="180">
                  <c:v>87.07</c:v>
                </c:pt>
                <c:pt idx="181">
                  <c:v>87.05</c:v>
                </c:pt>
                <c:pt idx="182">
                  <c:v>86.57</c:v>
                </c:pt>
                <c:pt idx="183">
                  <c:v>86.74</c:v>
                </c:pt>
                <c:pt idx="184">
                  <c:v>86.55</c:v>
                </c:pt>
                <c:pt idx="185">
                  <c:v>86.71</c:v>
                </c:pt>
                <c:pt idx="186">
                  <c:v>86.28</c:v>
                </c:pt>
                <c:pt idx="187">
                  <c:v>86.37</c:v>
                </c:pt>
                <c:pt idx="188">
                  <c:v>85.7</c:v>
                </c:pt>
                <c:pt idx="189">
                  <c:v>85.62</c:v>
                </c:pt>
                <c:pt idx="190">
                  <c:v>85.61</c:v>
                </c:pt>
                <c:pt idx="191">
                  <c:v>84.96</c:v>
                </c:pt>
                <c:pt idx="192">
                  <c:v>85.43</c:v>
                </c:pt>
                <c:pt idx="193">
                  <c:v>86.08</c:v>
                </c:pt>
                <c:pt idx="194">
                  <c:v>85.65</c:v>
                </c:pt>
                <c:pt idx="195">
                  <c:v>86.08</c:v>
                </c:pt>
                <c:pt idx="196">
                  <c:v>85.56</c:v>
                </c:pt>
                <c:pt idx="197">
                  <c:v>84.99</c:v>
                </c:pt>
                <c:pt idx="198">
                  <c:v>84.8</c:v>
                </c:pt>
                <c:pt idx="199">
                  <c:v>84.92</c:v>
                </c:pt>
                <c:pt idx="200">
                  <c:v>83.66</c:v>
                </c:pt>
                <c:pt idx="201">
                  <c:v>83.56</c:v>
                </c:pt>
                <c:pt idx="202">
                  <c:v>83.02</c:v>
                </c:pt>
                <c:pt idx="203">
                  <c:v>83.91</c:v>
                </c:pt>
                <c:pt idx="204">
                  <c:v>84.22</c:v>
                </c:pt>
                <c:pt idx="205">
                  <c:v>84.68</c:v>
                </c:pt>
                <c:pt idx="206">
                  <c:v>85.1</c:v>
                </c:pt>
                <c:pt idx="207">
                  <c:v>85.3</c:v>
                </c:pt>
                <c:pt idx="208">
                  <c:v>85.74</c:v>
                </c:pt>
                <c:pt idx="209">
                  <c:v>85.76</c:v>
                </c:pt>
                <c:pt idx="210">
                  <c:v>85.47</c:v>
                </c:pt>
                <c:pt idx="211">
                  <c:v>85.65</c:v>
                </c:pt>
                <c:pt idx="212">
                  <c:v>85.31</c:v>
                </c:pt>
                <c:pt idx="213">
                  <c:v>85.5</c:v>
                </c:pt>
                <c:pt idx="214">
                  <c:v>85.06</c:v>
                </c:pt>
                <c:pt idx="215">
                  <c:v>84.62</c:v>
                </c:pt>
                <c:pt idx="216">
                  <c:v>85.12</c:v>
                </c:pt>
                <c:pt idx="217">
                  <c:v>84.88</c:v>
                </c:pt>
                <c:pt idx="218">
                  <c:v>85.98</c:v>
                </c:pt>
                <c:pt idx="219">
                  <c:v>85.77</c:v>
                </c:pt>
                <c:pt idx="220">
                  <c:v>85.72</c:v>
                </c:pt>
                <c:pt idx="221">
                  <c:v>86.19</c:v>
                </c:pt>
                <c:pt idx="222">
                  <c:v>86.33</c:v>
                </c:pt>
                <c:pt idx="223">
                  <c:v>86.75</c:v>
                </c:pt>
                <c:pt idx="224">
                  <c:v>86.09</c:v>
                </c:pt>
                <c:pt idx="225">
                  <c:v>86.2</c:v>
                </c:pt>
                <c:pt idx="226">
                  <c:v>87.38</c:v>
                </c:pt>
                <c:pt idx="227">
                  <c:v>87.35</c:v>
                </c:pt>
                <c:pt idx="228">
                  <c:v>87.36</c:v>
                </c:pt>
                <c:pt idx="229">
                  <c:v>87.45</c:v>
                </c:pt>
                <c:pt idx="230">
                  <c:v>86.42</c:v>
                </c:pt>
                <c:pt idx="231">
                  <c:v>85.52</c:v>
                </c:pt>
                <c:pt idx="232">
                  <c:v>85.51</c:v>
                </c:pt>
                <c:pt idx="233">
                  <c:v>85.45</c:v>
                </c:pt>
                <c:pt idx="234">
                  <c:v>84.55</c:v>
                </c:pt>
                <c:pt idx="235">
                  <c:v>84.36</c:v>
                </c:pt>
                <c:pt idx="236">
                  <c:v>84.49</c:v>
                </c:pt>
                <c:pt idx="237">
                  <c:v>84.47</c:v>
                </c:pt>
                <c:pt idx="238">
                  <c:v>83.97</c:v>
                </c:pt>
                <c:pt idx="239">
                  <c:v>84.08</c:v>
                </c:pt>
                <c:pt idx="240">
                  <c:v>84.24</c:v>
                </c:pt>
                <c:pt idx="241">
                  <c:v>84.21</c:v>
                </c:pt>
                <c:pt idx="242">
                  <c:v>84.52</c:v>
                </c:pt>
                <c:pt idx="243">
                  <c:v>83.89</c:v>
                </c:pt>
                <c:pt idx="244">
                  <c:v>83.66</c:v>
                </c:pt>
                <c:pt idx="245">
                  <c:v>83.44</c:v>
                </c:pt>
                <c:pt idx="246">
                  <c:v>83.17</c:v>
                </c:pt>
                <c:pt idx="247">
                  <c:v>83.25</c:v>
                </c:pt>
                <c:pt idx="248">
                  <c:v>83.75</c:v>
                </c:pt>
                <c:pt idx="249">
                  <c:v>84.24</c:v>
                </c:pt>
                <c:pt idx="250">
                  <c:v>82.85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C-4189-9556-567C6C605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04417"/>
        <c:axId val="1009424337"/>
      </c:areaChart>
      <c:dateAx>
        <c:axId val="537304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009424337"/>
        <c:crosses val="autoZero"/>
        <c:auto val="1"/>
        <c:lblOffset val="100"/>
        <c:baseTimeUnit val="days"/>
      </c:dateAx>
      <c:valAx>
        <c:axId val="1009424337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53730441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GLD!$F$27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GLD!$B$28:$B$1000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GLD!$F$28:$F$1000</c:f>
              <c:numCache>
                <c:formatCode>#,##0.00</c:formatCode>
                <c:ptCount val="973"/>
                <c:pt idx="0">
                  <c:v>300.95999999999998</c:v>
                </c:pt>
                <c:pt idx="1">
                  <c:v>302.95999999999998</c:v>
                </c:pt>
                <c:pt idx="2">
                  <c:v>309.11</c:v>
                </c:pt>
                <c:pt idx="3">
                  <c:v>310.91000000000003</c:v>
                </c:pt>
                <c:pt idx="4">
                  <c:v>311.16000000000003</c:v>
                </c:pt>
                <c:pt idx="5">
                  <c:v>310.5</c:v>
                </c:pt>
                <c:pt idx="6">
                  <c:v>313.12</c:v>
                </c:pt>
                <c:pt idx="7">
                  <c:v>313.05</c:v>
                </c:pt>
                <c:pt idx="8">
                  <c:v>308.55</c:v>
                </c:pt>
                <c:pt idx="9">
                  <c:v>308.27</c:v>
                </c:pt>
                <c:pt idx="10">
                  <c:v>309.20999999999998</c:v>
                </c:pt>
                <c:pt idx="11">
                  <c:v>307.25</c:v>
                </c:pt>
                <c:pt idx="12">
                  <c:v>307.43</c:v>
                </c:pt>
                <c:pt idx="13">
                  <c:v>306.95</c:v>
                </c:pt>
                <c:pt idx="14">
                  <c:v>305.27</c:v>
                </c:pt>
                <c:pt idx="15">
                  <c:v>308.36</c:v>
                </c:pt>
                <c:pt idx="16">
                  <c:v>307.29000000000002</c:v>
                </c:pt>
                <c:pt idx="17">
                  <c:v>310.58</c:v>
                </c:pt>
                <c:pt idx="18">
                  <c:v>309.83</c:v>
                </c:pt>
                <c:pt idx="19">
                  <c:v>312.08</c:v>
                </c:pt>
                <c:pt idx="20">
                  <c:v>312.70999999999998</c:v>
                </c:pt>
                <c:pt idx="21">
                  <c:v>315.02999999999997</c:v>
                </c:pt>
                <c:pt idx="22">
                  <c:v>318.07</c:v>
                </c:pt>
                <c:pt idx="23">
                  <c:v>325.58999999999997</c:v>
                </c:pt>
                <c:pt idx="24">
                  <c:v>328.14</c:v>
                </c:pt>
                <c:pt idx="25">
                  <c:v>326.69</c:v>
                </c:pt>
                <c:pt idx="26">
                  <c:v>331.05</c:v>
                </c:pt>
                <c:pt idx="27">
                  <c:v>334.82</c:v>
                </c:pt>
                <c:pt idx="28">
                  <c:v>334.06</c:v>
                </c:pt>
                <c:pt idx="29">
                  <c:v>335.26</c:v>
                </c:pt>
                <c:pt idx="30">
                  <c:v>334.76</c:v>
                </c:pt>
                <c:pt idx="31">
                  <c:v>335.42</c:v>
                </c:pt>
                <c:pt idx="32">
                  <c:v>338.91</c:v>
                </c:pt>
                <c:pt idx="33">
                  <c:v>339.59</c:v>
                </c:pt>
                <c:pt idx="34">
                  <c:v>336.97</c:v>
                </c:pt>
                <c:pt idx="35">
                  <c:v>335.62</c:v>
                </c:pt>
                <c:pt idx="36">
                  <c:v>339.18</c:v>
                </c:pt>
                <c:pt idx="37">
                  <c:v>345.05</c:v>
                </c:pt>
                <c:pt idx="38">
                  <c:v>346.46</c:v>
                </c:pt>
                <c:pt idx="39">
                  <c:v>343.32</c:v>
                </c:pt>
                <c:pt idx="40">
                  <c:v>344.75</c:v>
                </c:pt>
                <c:pt idx="41">
                  <c:v>346.74</c:v>
                </c:pt>
                <c:pt idx="42">
                  <c:v>352.46</c:v>
                </c:pt>
                <c:pt idx="43">
                  <c:v>355.47</c:v>
                </c:pt>
                <c:pt idx="44">
                  <c:v>356.03</c:v>
                </c:pt>
                <c:pt idx="45">
                  <c:v>354.79</c:v>
                </c:pt>
                <c:pt idx="46">
                  <c:v>357.64</c:v>
                </c:pt>
                <c:pt idx="47">
                  <c:v>364.38</c:v>
                </c:pt>
                <c:pt idx="48">
                  <c:v>366.26</c:v>
                </c:pt>
                <c:pt idx="49">
                  <c:v>372.3</c:v>
                </c:pt>
                <c:pt idx="50">
                  <c:v>365.43</c:v>
                </c:pt>
                <c:pt idx="51">
                  <c:v>369.12</c:v>
                </c:pt>
                <c:pt idx="52">
                  <c:v>378.09</c:v>
                </c:pt>
                <c:pt idx="53">
                  <c:v>380.79</c:v>
                </c:pt>
                <c:pt idx="54">
                  <c:v>387.39</c:v>
                </c:pt>
                <c:pt idx="55">
                  <c:v>396.45</c:v>
                </c:pt>
                <c:pt idx="56">
                  <c:v>388.99</c:v>
                </c:pt>
                <c:pt idx="57">
                  <c:v>403.15</c:v>
                </c:pt>
                <c:pt idx="58">
                  <c:v>377.24</c:v>
                </c:pt>
                <c:pt idx="59">
                  <c:v>377.28</c:v>
                </c:pt>
                <c:pt idx="60">
                  <c:v>378.79</c:v>
                </c:pt>
                <c:pt idx="61">
                  <c:v>377.52</c:v>
                </c:pt>
                <c:pt idx="62">
                  <c:v>367.01</c:v>
                </c:pt>
                <c:pt idx="63">
                  <c:v>364.38</c:v>
                </c:pt>
                <c:pt idx="64">
                  <c:v>363</c:v>
                </c:pt>
                <c:pt idx="65">
                  <c:v>370.13</c:v>
                </c:pt>
                <c:pt idx="66">
                  <c:v>368.12</c:v>
                </c:pt>
                <c:pt idx="67">
                  <c:v>368.78</c:v>
                </c:pt>
                <c:pt idx="68">
                  <c:v>362.32</c:v>
                </c:pt>
                <c:pt idx="69">
                  <c:v>366.51</c:v>
                </c:pt>
                <c:pt idx="70">
                  <c:v>366.07</c:v>
                </c:pt>
                <c:pt idx="71">
                  <c:v>368.31</c:v>
                </c:pt>
                <c:pt idx="72">
                  <c:v>378.38</c:v>
                </c:pt>
                <c:pt idx="73">
                  <c:v>379.87</c:v>
                </c:pt>
                <c:pt idx="74">
                  <c:v>385.99</c:v>
                </c:pt>
                <c:pt idx="75">
                  <c:v>382.87</c:v>
                </c:pt>
                <c:pt idx="76">
                  <c:v>375.96</c:v>
                </c:pt>
                <c:pt idx="77">
                  <c:v>371.65</c:v>
                </c:pt>
                <c:pt idx="78">
                  <c:v>374.35</c:v>
                </c:pt>
                <c:pt idx="79">
                  <c:v>374.96</c:v>
                </c:pt>
                <c:pt idx="80">
                  <c:v>374.85</c:v>
                </c:pt>
                <c:pt idx="81">
                  <c:v>374.27</c:v>
                </c:pt>
                <c:pt idx="82">
                  <c:v>380.2</c:v>
                </c:pt>
                <c:pt idx="83">
                  <c:v>380.08</c:v>
                </c:pt>
                <c:pt idx="84">
                  <c:v>383.12</c:v>
                </c:pt>
                <c:pt idx="85">
                  <c:v>387.88</c:v>
                </c:pt>
                <c:pt idx="86">
                  <c:v>389.75</c:v>
                </c:pt>
                <c:pt idx="87">
                  <c:v>387.24</c:v>
                </c:pt>
                <c:pt idx="88">
                  <c:v>386.88</c:v>
                </c:pt>
                <c:pt idx="89">
                  <c:v>387.13</c:v>
                </c:pt>
                <c:pt idx="90">
                  <c:v>386.44</c:v>
                </c:pt>
                <c:pt idx="91">
                  <c:v>385.42</c:v>
                </c:pt>
                <c:pt idx="92">
                  <c:v>387.4</c:v>
                </c:pt>
                <c:pt idx="93">
                  <c:v>389.05</c:v>
                </c:pt>
                <c:pt idx="94">
                  <c:v>393.24</c:v>
                </c:pt>
                <c:pt idx="95">
                  <c:v>395.44</c:v>
                </c:pt>
                <c:pt idx="96">
                  <c:v>395.8</c:v>
                </c:pt>
                <c:pt idx="97">
                  <c:v>395.89</c:v>
                </c:pt>
                <c:pt idx="98">
                  <c:v>399.29</c:v>
                </c:pt>
                <c:pt idx="99">
                  <c:v>398.57</c:v>
                </c:pt>
                <c:pt idx="100">
                  <c:v>399.02</c:v>
                </c:pt>
                <c:pt idx="101">
                  <c:v>408.23</c:v>
                </c:pt>
                <c:pt idx="102">
                  <c:v>413.64</c:v>
                </c:pt>
                <c:pt idx="103">
                  <c:v>411.93</c:v>
                </c:pt>
                <c:pt idx="104">
                  <c:v>416.74</c:v>
                </c:pt>
                <c:pt idx="105">
                  <c:v>398.6</c:v>
                </c:pt>
                <c:pt idx="106">
                  <c:v>398.89</c:v>
                </c:pt>
                <c:pt idx="107">
                  <c:v>396.31</c:v>
                </c:pt>
                <c:pt idx="108">
                  <c:v>398.28</c:v>
                </c:pt>
                <c:pt idx="109">
                  <c:v>408.76</c:v>
                </c:pt>
                <c:pt idx="110">
                  <c:v>413.18</c:v>
                </c:pt>
                <c:pt idx="111">
                  <c:v>409.23</c:v>
                </c:pt>
                <c:pt idx="112">
                  <c:v>411.49</c:v>
                </c:pt>
                <c:pt idx="113">
                  <c:v>414.47</c:v>
                </c:pt>
                <c:pt idx="114">
                  <c:v>422.23</c:v>
                </c:pt>
                <c:pt idx="115">
                  <c:v>421.63</c:v>
                </c:pt>
                <c:pt idx="116">
                  <c:v>425.94</c:v>
                </c:pt>
                <c:pt idx="117">
                  <c:v>423.33</c:v>
                </c:pt>
                <c:pt idx="118">
                  <c:v>421.29</c:v>
                </c:pt>
                <c:pt idx="119">
                  <c:v>437.23</c:v>
                </c:pt>
                <c:pt idx="120">
                  <c:v>443.6</c:v>
                </c:pt>
                <c:pt idx="121">
                  <c:v>451.79</c:v>
                </c:pt>
                <c:pt idx="122">
                  <c:v>458</c:v>
                </c:pt>
                <c:pt idx="123">
                  <c:v>464.7</c:v>
                </c:pt>
                <c:pt idx="124">
                  <c:v>476.1</c:v>
                </c:pt>
                <c:pt idx="125">
                  <c:v>494.56</c:v>
                </c:pt>
                <c:pt idx="126">
                  <c:v>495.9</c:v>
                </c:pt>
                <c:pt idx="127">
                  <c:v>444.95</c:v>
                </c:pt>
                <c:pt idx="128">
                  <c:v>427.13</c:v>
                </c:pt>
                <c:pt idx="129">
                  <c:v>454.29</c:v>
                </c:pt>
                <c:pt idx="130">
                  <c:v>453.97</c:v>
                </c:pt>
                <c:pt idx="131">
                  <c:v>441.88</c:v>
                </c:pt>
                <c:pt idx="132">
                  <c:v>455.46</c:v>
                </c:pt>
                <c:pt idx="133">
                  <c:v>467.03</c:v>
                </c:pt>
                <c:pt idx="134">
                  <c:v>462.4</c:v>
                </c:pt>
                <c:pt idx="135">
                  <c:v>467.63</c:v>
                </c:pt>
                <c:pt idx="136">
                  <c:v>451.39</c:v>
                </c:pt>
                <c:pt idx="137">
                  <c:v>462.62</c:v>
                </c:pt>
                <c:pt idx="138">
                  <c:v>448.2</c:v>
                </c:pt>
                <c:pt idx="139">
                  <c:v>458.28</c:v>
                </c:pt>
                <c:pt idx="140">
                  <c:v>459.56</c:v>
                </c:pt>
                <c:pt idx="141">
                  <c:v>468.62</c:v>
                </c:pt>
                <c:pt idx="142">
                  <c:v>481.28</c:v>
                </c:pt>
                <c:pt idx="143">
                  <c:v>474.61</c:v>
                </c:pt>
                <c:pt idx="144">
                  <c:v>473.42</c:v>
                </c:pt>
                <c:pt idx="145">
                  <c:v>477.48</c:v>
                </c:pt>
                <c:pt idx="146">
                  <c:v>483.75</c:v>
                </c:pt>
                <c:pt idx="147">
                  <c:v>490</c:v>
                </c:pt>
                <c:pt idx="148">
                  <c:v>468.14</c:v>
                </c:pt>
                <c:pt idx="149">
                  <c:v>471.8</c:v>
                </c:pt>
                <c:pt idx="150">
                  <c:v>466.13</c:v>
                </c:pt>
                <c:pt idx="151">
                  <c:v>473.51</c:v>
                </c:pt>
                <c:pt idx="152">
                  <c:v>472.53</c:v>
                </c:pt>
                <c:pt idx="153">
                  <c:v>477.86</c:v>
                </c:pt>
                <c:pt idx="154">
                  <c:v>476.24</c:v>
                </c:pt>
                <c:pt idx="155">
                  <c:v>466.88</c:v>
                </c:pt>
                <c:pt idx="156">
                  <c:v>460.84</c:v>
                </c:pt>
                <c:pt idx="157">
                  <c:v>460.43</c:v>
                </c:pt>
                <c:pt idx="158">
                  <c:v>459.27</c:v>
                </c:pt>
                <c:pt idx="159">
                  <c:v>444.74</c:v>
                </c:pt>
                <c:pt idx="160">
                  <c:v>426.41</c:v>
                </c:pt>
                <c:pt idx="161">
                  <c:v>413.38</c:v>
                </c:pt>
                <c:pt idx="162">
                  <c:v>404.04</c:v>
                </c:pt>
                <c:pt idx="163">
                  <c:v>404.13</c:v>
                </c:pt>
                <c:pt idx="164">
                  <c:v>416.29</c:v>
                </c:pt>
                <c:pt idx="165">
                  <c:v>400.64</c:v>
                </c:pt>
                <c:pt idx="166">
                  <c:v>414.7</c:v>
                </c:pt>
                <c:pt idx="167">
                  <c:v>414.58</c:v>
                </c:pt>
                <c:pt idx="168">
                  <c:v>430.29</c:v>
                </c:pt>
                <c:pt idx="169">
                  <c:v>437.82</c:v>
                </c:pt>
                <c:pt idx="170">
                  <c:v>429.41</c:v>
                </c:pt>
                <c:pt idx="171">
                  <c:v>427.65</c:v>
                </c:pt>
                <c:pt idx="172">
                  <c:v>431.81</c:v>
                </c:pt>
                <c:pt idx="173">
                  <c:v>434.53</c:v>
                </c:pt>
                <c:pt idx="174">
                  <c:v>437.91</c:v>
                </c:pt>
                <c:pt idx="175">
                  <c:v>437.13</c:v>
                </c:pt>
                <c:pt idx="176">
                  <c:v>435.36</c:v>
                </c:pt>
                <c:pt idx="177">
                  <c:v>445.09</c:v>
                </c:pt>
                <c:pt idx="178">
                  <c:v>440.46</c:v>
                </c:pt>
                <c:pt idx="179">
                  <c:v>440.08</c:v>
                </c:pt>
                <c:pt idx="180">
                  <c:v>445.93</c:v>
                </c:pt>
                <c:pt idx="181">
                  <c:v>442.09</c:v>
                </c:pt>
                <c:pt idx="182">
                  <c:v>429.57</c:v>
                </c:pt>
                <c:pt idx="183">
                  <c:v>435.26</c:v>
                </c:pt>
                <c:pt idx="184">
                  <c:v>431.04</c:v>
                </c:pt>
                <c:pt idx="185">
                  <c:v>433.25</c:v>
                </c:pt>
                <c:pt idx="186">
                  <c:v>429.89</c:v>
                </c:pt>
                <c:pt idx="187">
                  <c:v>421.91</c:v>
                </c:pt>
                <c:pt idx="188">
                  <c:v>417.41</c:v>
                </c:pt>
                <c:pt idx="189">
                  <c:v>423.66</c:v>
                </c:pt>
                <c:pt idx="190">
                  <c:v>423.18</c:v>
                </c:pt>
                <c:pt idx="191">
                  <c:v>414.71</c:v>
                </c:pt>
                <c:pt idx="192">
                  <c:v>418.27</c:v>
                </c:pt>
                <c:pt idx="193">
                  <c:v>430.96</c:v>
                </c:pt>
                <c:pt idx="194">
                  <c:v>431.68</c:v>
                </c:pt>
                <c:pt idx="195">
                  <c:v>433.77</c:v>
                </c:pt>
                <c:pt idx="196">
                  <c:v>434.65</c:v>
                </c:pt>
                <c:pt idx="197">
                  <c:v>432.93</c:v>
                </c:pt>
                <c:pt idx="198">
                  <c:v>430.5</c:v>
                </c:pt>
                <c:pt idx="199">
                  <c:v>427.21</c:v>
                </c:pt>
                <c:pt idx="200">
                  <c:v>417.29</c:v>
                </c:pt>
                <c:pt idx="201">
                  <c:v>418.43</c:v>
                </c:pt>
                <c:pt idx="202">
                  <c:v>411.5</c:v>
                </c:pt>
                <c:pt idx="203">
                  <c:v>417.4</c:v>
                </c:pt>
                <c:pt idx="204">
                  <c:v>416.99</c:v>
                </c:pt>
                <c:pt idx="205">
                  <c:v>413.82</c:v>
                </c:pt>
                <c:pt idx="206">
                  <c:v>414</c:v>
                </c:pt>
                <c:pt idx="207">
                  <c:v>408.49</c:v>
                </c:pt>
                <c:pt idx="208">
                  <c:v>412.77</c:v>
                </c:pt>
                <c:pt idx="209">
                  <c:v>417.12</c:v>
                </c:pt>
                <c:pt idx="210">
                  <c:v>411.26</c:v>
                </c:pt>
                <c:pt idx="211">
                  <c:v>411.95</c:v>
                </c:pt>
                <c:pt idx="212">
                  <c:v>407.87</c:v>
                </c:pt>
                <c:pt idx="213">
                  <c:v>411.27</c:v>
                </c:pt>
                <c:pt idx="214">
                  <c:v>396.24</c:v>
                </c:pt>
                <c:pt idx="215">
                  <c:v>397.27</c:v>
                </c:pt>
                <c:pt idx="216">
                  <c:v>390.78</c:v>
                </c:pt>
                <c:pt idx="217">
                  <c:v>374.58</c:v>
                </c:pt>
                <c:pt idx="218">
                  <c:v>386.32</c:v>
                </c:pt>
                <c:pt idx="219">
                  <c:v>386.54</c:v>
                </c:pt>
                <c:pt idx="220">
                  <c:v>396.55</c:v>
                </c:pt>
                <c:pt idx="221">
                  <c:v>397.63</c:v>
                </c:pt>
                <c:pt idx="222">
                  <c:v>388.6</c:v>
                </c:pt>
                <c:pt idx="223">
                  <c:v>387.12</c:v>
                </c:pt>
                <c:pt idx="224">
                  <c:v>384.59</c:v>
                </c:pt>
                <c:pt idx="225">
                  <c:v>377.32</c:v>
                </c:pt>
                <c:pt idx="226">
                  <c:v>365.92</c:v>
                </c:pt>
                <c:pt idx="227">
                  <c:v>369.46</c:v>
                </c:pt>
                <c:pt idx="228">
                  <c:v>373.63</c:v>
                </c:pt>
                <c:pt idx="229">
                  <c:v>368.58</c:v>
                </c:pt>
                <c:pt idx="230">
                  <c:v>368.38</c:v>
                </c:pt>
                <c:pt idx="231">
                  <c:v>370.6</c:v>
                </c:pt>
                <c:pt idx="232">
                  <c:v>378.13</c:v>
                </c:pt>
                <c:pt idx="233">
                  <c:v>382.13</c:v>
                </c:pt>
                <c:pt idx="234">
                  <c:v>377.49</c:v>
                </c:pt>
                <c:pt idx="235">
                  <c:v>374.45</c:v>
                </c:pt>
                <c:pt idx="236">
                  <c:v>378.18</c:v>
                </c:pt>
                <c:pt idx="237">
                  <c:v>377.01</c:v>
                </c:pt>
                <c:pt idx="238">
                  <c:v>367.13</c:v>
                </c:pt>
                <c:pt idx="239">
                  <c:v>372.15</c:v>
                </c:pt>
                <c:pt idx="240">
                  <c:v>372.35</c:v>
                </c:pt>
                <c:pt idx="241">
                  <c:v>364.96</c:v>
                </c:pt>
                <c:pt idx="242">
                  <c:v>368.41</c:v>
                </c:pt>
                <c:pt idx="243">
                  <c:v>367.6</c:v>
                </c:pt>
                <c:pt idx="244">
                  <c:v>374.81</c:v>
                </c:pt>
                <c:pt idx="245">
                  <c:v>379.12</c:v>
                </c:pt>
                <c:pt idx="246">
                  <c:v>371.52</c:v>
                </c:pt>
                <c:pt idx="247">
                  <c:v>371.9</c:v>
                </c:pt>
                <c:pt idx="248">
                  <c:v>374.63</c:v>
                </c:pt>
                <c:pt idx="249">
                  <c:v>369.37</c:v>
                </c:pt>
                <c:pt idx="250">
                  <c:v>371.08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4-4AFE-9001-28AD0CBF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87745"/>
        <c:axId val="1443187413"/>
      </c:areaChart>
      <c:dateAx>
        <c:axId val="310187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1443187413"/>
        <c:crosses val="autoZero"/>
        <c:auto val="1"/>
        <c:lblOffset val="100"/>
        <c:baseTimeUnit val="days"/>
      </c:dateAx>
      <c:valAx>
        <c:axId val="1443187413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3101877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BIL!$F$27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BIL!$B$28:$B$1000</c:f>
              <c:numCache>
                <c:formatCode>mmm" "d", "yyyy</c:formatCode>
                <c:ptCount val="973"/>
                <c:pt idx="0">
                  <c:v>45868.666666666599</c:v>
                </c:pt>
                <c:pt idx="1">
                  <c:v>45869.666666666599</c:v>
                </c:pt>
                <c:pt idx="2">
                  <c:v>45870.666666666599</c:v>
                </c:pt>
                <c:pt idx="3">
                  <c:v>45873.666666666599</c:v>
                </c:pt>
                <c:pt idx="4">
                  <c:v>45874.666666666599</c:v>
                </c:pt>
                <c:pt idx="5">
                  <c:v>45875.666666666599</c:v>
                </c:pt>
                <c:pt idx="6">
                  <c:v>45876.666666666599</c:v>
                </c:pt>
                <c:pt idx="7">
                  <c:v>45877.666666666599</c:v>
                </c:pt>
                <c:pt idx="8">
                  <c:v>45880.666666666599</c:v>
                </c:pt>
                <c:pt idx="9">
                  <c:v>45881.666666666599</c:v>
                </c:pt>
                <c:pt idx="10">
                  <c:v>45882.666666666599</c:v>
                </c:pt>
                <c:pt idx="11">
                  <c:v>45883.666666666599</c:v>
                </c:pt>
                <c:pt idx="12">
                  <c:v>45884.666666666599</c:v>
                </c:pt>
                <c:pt idx="13">
                  <c:v>45887.666666666599</c:v>
                </c:pt>
                <c:pt idx="14">
                  <c:v>45888.666666666599</c:v>
                </c:pt>
                <c:pt idx="15">
                  <c:v>45889.666666666599</c:v>
                </c:pt>
                <c:pt idx="16">
                  <c:v>45890.666666666599</c:v>
                </c:pt>
                <c:pt idx="17">
                  <c:v>45891.666666666599</c:v>
                </c:pt>
                <c:pt idx="18">
                  <c:v>45894.666666666599</c:v>
                </c:pt>
                <c:pt idx="19">
                  <c:v>45895.666666666599</c:v>
                </c:pt>
                <c:pt idx="20">
                  <c:v>45896.666666666599</c:v>
                </c:pt>
                <c:pt idx="21">
                  <c:v>45897.666666666599</c:v>
                </c:pt>
                <c:pt idx="22">
                  <c:v>45898.666666666599</c:v>
                </c:pt>
                <c:pt idx="23">
                  <c:v>45902.666666666599</c:v>
                </c:pt>
                <c:pt idx="24">
                  <c:v>45903.666666666599</c:v>
                </c:pt>
                <c:pt idx="25">
                  <c:v>45904.666666666599</c:v>
                </c:pt>
                <c:pt idx="26">
                  <c:v>45905.666666666599</c:v>
                </c:pt>
                <c:pt idx="27">
                  <c:v>45908.666666666599</c:v>
                </c:pt>
                <c:pt idx="28">
                  <c:v>45909.666666666599</c:v>
                </c:pt>
                <c:pt idx="29">
                  <c:v>45910.666666666599</c:v>
                </c:pt>
                <c:pt idx="30">
                  <c:v>45911.666666666599</c:v>
                </c:pt>
                <c:pt idx="31">
                  <c:v>45912.666666666599</c:v>
                </c:pt>
                <c:pt idx="32">
                  <c:v>45915.666666666599</c:v>
                </c:pt>
                <c:pt idx="33">
                  <c:v>45916.666666666599</c:v>
                </c:pt>
                <c:pt idx="34">
                  <c:v>45917.666666666599</c:v>
                </c:pt>
                <c:pt idx="35">
                  <c:v>45918.666666666599</c:v>
                </c:pt>
                <c:pt idx="36">
                  <c:v>45919.666666666599</c:v>
                </c:pt>
                <c:pt idx="37">
                  <c:v>45922.666666666599</c:v>
                </c:pt>
                <c:pt idx="38">
                  <c:v>45923.666666666599</c:v>
                </c:pt>
                <c:pt idx="39">
                  <c:v>45924.666666666599</c:v>
                </c:pt>
                <c:pt idx="40">
                  <c:v>45925.666666666599</c:v>
                </c:pt>
                <c:pt idx="41">
                  <c:v>45926.666666666599</c:v>
                </c:pt>
                <c:pt idx="42">
                  <c:v>45929.666666666599</c:v>
                </c:pt>
                <c:pt idx="43">
                  <c:v>45930.666666666599</c:v>
                </c:pt>
                <c:pt idx="44">
                  <c:v>45931.666666666599</c:v>
                </c:pt>
                <c:pt idx="45">
                  <c:v>45932.666666666599</c:v>
                </c:pt>
                <c:pt idx="46">
                  <c:v>45933.666666666599</c:v>
                </c:pt>
                <c:pt idx="47">
                  <c:v>45936.666666666599</c:v>
                </c:pt>
                <c:pt idx="48">
                  <c:v>45937.666666666599</c:v>
                </c:pt>
                <c:pt idx="49">
                  <c:v>45938.666666666599</c:v>
                </c:pt>
                <c:pt idx="50">
                  <c:v>45939.666666666599</c:v>
                </c:pt>
                <c:pt idx="51">
                  <c:v>45940.666666666599</c:v>
                </c:pt>
                <c:pt idx="52">
                  <c:v>45943.666666666599</c:v>
                </c:pt>
                <c:pt idx="53">
                  <c:v>45944.666666666599</c:v>
                </c:pt>
                <c:pt idx="54">
                  <c:v>45945.666666666599</c:v>
                </c:pt>
                <c:pt idx="55">
                  <c:v>45946.666666666599</c:v>
                </c:pt>
                <c:pt idx="56">
                  <c:v>45947.666666666599</c:v>
                </c:pt>
                <c:pt idx="57">
                  <c:v>45950.666666666599</c:v>
                </c:pt>
                <c:pt idx="58">
                  <c:v>45951.666666666599</c:v>
                </c:pt>
                <c:pt idx="59">
                  <c:v>45952.666666666599</c:v>
                </c:pt>
                <c:pt idx="60">
                  <c:v>45953.666666666599</c:v>
                </c:pt>
                <c:pt idx="61">
                  <c:v>45954.666666666599</c:v>
                </c:pt>
                <c:pt idx="62">
                  <c:v>45957.666666666599</c:v>
                </c:pt>
                <c:pt idx="63">
                  <c:v>45958.666666666599</c:v>
                </c:pt>
                <c:pt idx="64">
                  <c:v>45959.666666666599</c:v>
                </c:pt>
                <c:pt idx="65">
                  <c:v>45960.666666666599</c:v>
                </c:pt>
                <c:pt idx="66">
                  <c:v>45961.666666666599</c:v>
                </c:pt>
                <c:pt idx="67">
                  <c:v>45964.666666666599</c:v>
                </c:pt>
                <c:pt idx="68">
                  <c:v>45965.666666666599</c:v>
                </c:pt>
                <c:pt idx="69">
                  <c:v>45966.666666666599</c:v>
                </c:pt>
                <c:pt idx="70">
                  <c:v>45967.666666666599</c:v>
                </c:pt>
                <c:pt idx="71">
                  <c:v>45968.666666666599</c:v>
                </c:pt>
                <c:pt idx="72">
                  <c:v>45971.666666666599</c:v>
                </c:pt>
                <c:pt idx="73">
                  <c:v>45972.666666666599</c:v>
                </c:pt>
                <c:pt idx="74">
                  <c:v>45973.666666666599</c:v>
                </c:pt>
                <c:pt idx="75">
                  <c:v>45974.666666666599</c:v>
                </c:pt>
                <c:pt idx="76">
                  <c:v>45975.666666666599</c:v>
                </c:pt>
                <c:pt idx="77">
                  <c:v>45978.666666666599</c:v>
                </c:pt>
                <c:pt idx="78">
                  <c:v>45979.666666666599</c:v>
                </c:pt>
                <c:pt idx="79">
                  <c:v>45980.666666666599</c:v>
                </c:pt>
                <c:pt idx="80">
                  <c:v>45981.666666666599</c:v>
                </c:pt>
                <c:pt idx="81">
                  <c:v>45982.666666666599</c:v>
                </c:pt>
                <c:pt idx="82">
                  <c:v>45985.666666666599</c:v>
                </c:pt>
                <c:pt idx="83">
                  <c:v>45986.666666666599</c:v>
                </c:pt>
                <c:pt idx="84">
                  <c:v>45987.666666666599</c:v>
                </c:pt>
                <c:pt idx="85">
                  <c:v>45989.552083333299</c:v>
                </c:pt>
                <c:pt idx="86">
                  <c:v>45992.666666666599</c:v>
                </c:pt>
                <c:pt idx="87">
                  <c:v>45993.666666666599</c:v>
                </c:pt>
                <c:pt idx="88">
                  <c:v>45994.666666666599</c:v>
                </c:pt>
                <c:pt idx="89">
                  <c:v>45995.666666666599</c:v>
                </c:pt>
                <c:pt idx="90">
                  <c:v>45996.666666666599</c:v>
                </c:pt>
                <c:pt idx="91">
                  <c:v>45999.666666666599</c:v>
                </c:pt>
                <c:pt idx="92">
                  <c:v>46000.666666666599</c:v>
                </c:pt>
                <c:pt idx="93">
                  <c:v>46001.666666666599</c:v>
                </c:pt>
                <c:pt idx="94">
                  <c:v>46002.666666666599</c:v>
                </c:pt>
                <c:pt idx="95">
                  <c:v>46003.666666666599</c:v>
                </c:pt>
                <c:pt idx="96">
                  <c:v>46006.666666666599</c:v>
                </c:pt>
                <c:pt idx="97">
                  <c:v>46007.666666666599</c:v>
                </c:pt>
                <c:pt idx="98">
                  <c:v>46008.666666666599</c:v>
                </c:pt>
                <c:pt idx="99">
                  <c:v>46009.666666666599</c:v>
                </c:pt>
                <c:pt idx="100">
                  <c:v>46010.666666666599</c:v>
                </c:pt>
                <c:pt idx="101">
                  <c:v>46013.666666666599</c:v>
                </c:pt>
                <c:pt idx="102">
                  <c:v>46014.666666666599</c:v>
                </c:pt>
                <c:pt idx="103">
                  <c:v>46015.541666666599</c:v>
                </c:pt>
                <c:pt idx="104">
                  <c:v>46017.666666666599</c:v>
                </c:pt>
                <c:pt idx="105">
                  <c:v>46020.666666666599</c:v>
                </c:pt>
                <c:pt idx="106">
                  <c:v>46021.666666666599</c:v>
                </c:pt>
                <c:pt idx="107">
                  <c:v>46022.666666666599</c:v>
                </c:pt>
                <c:pt idx="108">
                  <c:v>46024.666666666599</c:v>
                </c:pt>
                <c:pt idx="109">
                  <c:v>46027.666666666599</c:v>
                </c:pt>
                <c:pt idx="110">
                  <c:v>46028.666666666599</c:v>
                </c:pt>
                <c:pt idx="111">
                  <c:v>46029.666666666599</c:v>
                </c:pt>
                <c:pt idx="112">
                  <c:v>46030.666666666599</c:v>
                </c:pt>
                <c:pt idx="113">
                  <c:v>46031.666666666599</c:v>
                </c:pt>
                <c:pt idx="114">
                  <c:v>46034.666666666599</c:v>
                </c:pt>
                <c:pt idx="115">
                  <c:v>46035.666666666599</c:v>
                </c:pt>
                <c:pt idx="116">
                  <c:v>46036.666666666599</c:v>
                </c:pt>
                <c:pt idx="117">
                  <c:v>46037.666666666599</c:v>
                </c:pt>
                <c:pt idx="118">
                  <c:v>46038.666666666599</c:v>
                </c:pt>
                <c:pt idx="119">
                  <c:v>46042.666666666599</c:v>
                </c:pt>
                <c:pt idx="120">
                  <c:v>46043.666666666599</c:v>
                </c:pt>
                <c:pt idx="121">
                  <c:v>46044.666666666599</c:v>
                </c:pt>
                <c:pt idx="122">
                  <c:v>46045.666666666599</c:v>
                </c:pt>
                <c:pt idx="123">
                  <c:v>46048.666666666599</c:v>
                </c:pt>
                <c:pt idx="124">
                  <c:v>46049.666666666599</c:v>
                </c:pt>
                <c:pt idx="125">
                  <c:v>46050.666666666599</c:v>
                </c:pt>
                <c:pt idx="126">
                  <c:v>46051.666666666599</c:v>
                </c:pt>
                <c:pt idx="127">
                  <c:v>46052.666666666599</c:v>
                </c:pt>
                <c:pt idx="128">
                  <c:v>46055.666666666599</c:v>
                </c:pt>
                <c:pt idx="129">
                  <c:v>46056.666666666599</c:v>
                </c:pt>
                <c:pt idx="130">
                  <c:v>46057.666666666599</c:v>
                </c:pt>
                <c:pt idx="131">
                  <c:v>46058.666666666599</c:v>
                </c:pt>
                <c:pt idx="132">
                  <c:v>46059.666666666599</c:v>
                </c:pt>
                <c:pt idx="133">
                  <c:v>46062.666666666599</c:v>
                </c:pt>
                <c:pt idx="134">
                  <c:v>46063.666666666599</c:v>
                </c:pt>
                <c:pt idx="135">
                  <c:v>46064.666666666599</c:v>
                </c:pt>
                <c:pt idx="136">
                  <c:v>46065.666666666599</c:v>
                </c:pt>
                <c:pt idx="137">
                  <c:v>46066.666666666599</c:v>
                </c:pt>
                <c:pt idx="138">
                  <c:v>46070.666666666599</c:v>
                </c:pt>
                <c:pt idx="139">
                  <c:v>46071.666666666599</c:v>
                </c:pt>
                <c:pt idx="140">
                  <c:v>46072.666666666599</c:v>
                </c:pt>
                <c:pt idx="141">
                  <c:v>46073.666666666599</c:v>
                </c:pt>
                <c:pt idx="142">
                  <c:v>46076.666666666599</c:v>
                </c:pt>
                <c:pt idx="143">
                  <c:v>46077.666666666599</c:v>
                </c:pt>
                <c:pt idx="144">
                  <c:v>46078.666666666599</c:v>
                </c:pt>
                <c:pt idx="145">
                  <c:v>46079.666666666599</c:v>
                </c:pt>
                <c:pt idx="146">
                  <c:v>46080.666666666599</c:v>
                </c:pt>
                <c:pt idx="147">
                  <c:v>46083.666666666599</c:v>
                </c:pt>
                <c:pt idx="148">
                  <c:v>46084.666666666599</c:v>
                </c:pt>
                <c:pt idx="149">
                  <c:v>46085.666666666599</c:v>
                </c:pt>
                <c:pt idx="150">
                  <c:v>46086.666666666599</c:v>
                </c:pt>
                <c:pt idx="151">
                  <c:v>46087.666666666599</c:v>
                </c:pt>
                <c:pt idx="152">
                  <c:v>46090.666666666599</c:v>
                </c:pt>
                <c:pt idx="153">
                  <c:v>46091.666666666599</c:v>
                </c:pt>
                <c:pt idx="154">
                  <c:v>46092.666666666599</c:v>
                </c:pt>
                <c:pt idx="155">
                  <c:v>46093.666666666599</c:v>
                </c:pt>
                <c:pt idx="156">
                  <c:v>46094.666666666599</c:v>
                </c:pt>
                <c:pt idx="157">
                  <c:v>46097.666666666599</c:v>
                </c:pt>
                <c:pt idx="158">
                  <c:v>46098.666666666599</c:v>
                </c:pt>
                <c:pt idx="159">
                  <c:v>46099.666666666599</c:v>
                </c:pt>
                <c:pt idx="160">
                  <c:v>46100.666666666599</c:v>
                </c:pt>
                <c:pt idx="161">
                  <c:v>46101.666666666599</c:v>
                </c:pt>
                <c:pt idx="162">
                  <c:v>46104.666666666599</c:v>
                </c:pt>
                <c:pt idx="163">
                  <c:v>46105.666666666599</c:v>
                </c:pt>
                <c:pt idx="164">
                  <c:v>46106.666666666599</c:v>
                </c:pt>
                <c:pt idx="165">
                  <c:v>46107.666666666599</c:v>
                </c:pt>
                <c:pt idx="166">
                  <c:v>46108.666666666599</c:v>
                </c:pt>
                <c:pt idx="167">
                  <c:v>46111.666666666599</c:v>
                </c:pt>
                <c:pt idx="168">
                  <c:v>46112.666666666599</c:v>
                </c:pt>
                <c:pt idx="169">
                  <c:v>46113.666666666599</c:v>
                </c:pt>
                <c:pt idx="170">
                  <c:v>46114.666666666599</c:v>
                </c:pt>
                <c:pt idx="171">
                  <c:v>46118.666666666599</c:v>
                </c:pt>
                <c:pt idx="172">
                  <c:v>46119.666666666599</c:v>
                </c:pt>
                <c:pt idx="173">
                  <c:v>46120.666666666599</c:v>
                </c:pt>
                <c:pt idx="174">
                  <c:v>46121.666666666599</c:v>
                </c:pt>
                <c:pt idx="175">
                  <c:v>46122.666666666599</c:v>
                </c:pt>
                <c:pt idx="176">
                  <c:v>46125.666666666599</c:v>
                </c:pt>
                <c:pt idx="177">
                  <c:v>46126.666666666599</c:v>
                </c:pt>
                <c:pt idx="178">
                  <c:v>46127.666666666599</c:v>
                </c:pt>
                <c:pt idx="179">
                  <c:v>46128.666666666599</c:v>
                </c:pt>
                <c:pt idx="180">
                  <c:v>46129.666666666599</c:v>
                </c:pt>
                <c:pt idx="181">
                  <c:v>46132.666666666599</c:v>
                </c:pt>
                <c:pt idx="182">
                  <c:v>46133.666666666599</c:v>
                </c:pt>
                <c:pt idx="183">
                  <c:v>46134.666666666599</c:v>
                </c:pt>
                <c:pt idx="184">
                  <c:v>46135.666666666599</c:v>
                </c:pt>
                <c:pt idx="185">
                  <c:v>46136.666666666599</c:v>
                </c:pt>
                <c:pt idx="186">
                  <c:v>46139.666666666599</c:v>
                </c:pt>
                <c:pt idx="187">
                  <c:v>46140.666666666599</c:v>
                </c:pt>
                <c:pt idx="188">
                  <c:v>46141.666666666599</c:v>
                </c:pt>
                <c:pt idx="189">
                  <c:v>46142.666666666599</c:v>
                </c:pt>
                <c:pt idx="190">
                  <c:v>46143.666666666599</c:v>
                </c:pt>
                <c:pt idx="191">
                  <c:v>46146.666666666599</c:v>
                </c:pt>
                <c:pt idx="192">
                  <c:v>46147.666666666599</c:v>
                </c:pt>
                <c:pt idx="193">
                  <c:v>46148.666666666599</c:v>
                </c:pt>
                <c:pt idx="194">
                  <c:v>46149.666666666599</c:v>
                </c:pt>
                <c:pt idx="195">
                  <c:v>46150.666666666599</c:v>
                </c:pt>
                <c:pt idx="196">
                  <c:v>46153.666666666599</c:v>
                </c:pt>
                <c:pt idx="197">
                  <c:v>46154.666666666599</c:v>
                </c:pt>
                <c:pt idx="198">
                  <c:v>46155.666666666599</c:v>
                </c:pt>
                <c:pt idx="199">
                  <c:v>46156.666666666599</c:v>
                </c:pt>
                <c:pt idx="200">
                  <c:v>46157.666666666599</c:v>
                </c:pt>
                <c:pt idx="201">
                  <c:v>46160.666666666599</c:v>
                </c:pt>
                <c:pt idx="202">
                  <c:v>46161.666666666599</c:v>
                </c:pt>
                <c:pt idx="203">
                  <c:v>46162.666666666599</c:v>
                </c:pt>
                <c:pt idx="204">
                  <c:v>46163.666666666599</c:v>
                </c:pt>
                <c:pt idx="205">
                  <c:v>46164.666666666599</c:v>
                </c:pt>
                <c:pt idx="206">
                  <c:v>46168.666666666599</c:v>
                </c:pt>
                <c:pt idx="207">
                  <c:v>46169.666666666599</c:v>
                </c:pt>
                <c:pt idx="208">
                  <c:v>46170.666666666599</c:v>
                </c:pt>
                <c:pt idx="209">
                  <c:v>46171.666666666599</c:v>
                </c:pt>
                <c:pt idx="210">
                  <c:v>46174.666666666599</c:v>
                </c:pt>
                <c:pt idx="211">
                  <c:v>46175.666666666599</c:v>
                </c:pt>
                <c:pt idx="212">
                  <c:v>46176.666666666599</c:v>
                </c:pt>
                <c:pt idx="213">
                  <c:v>46177.666666666599</c:v>
                </c:pt>
                <c:pt idx="214">
                  <c:v>46178.666666666599</c:v>
                </c:pt>
                <c:pt idx="215">
                  <c:v>46181.666666666599</c:v>
                </c:pt>
                <c:pt idx="216">
                  <c:v>46182.666666666599</c:v>
                </c:pt>
                <c:pt idx="217">
                  <c:v>46183.666666666599</c:v>
                </c:pt>
                <c:pt idx="218">
                  <c:v>46184.666666666599</c:v>
                </c:pt>
                <c:pt idx="219">
                  <c:v>46185.666666666599</c:v>
                </c:pt>
                <c:pt idx="220">
                  <c:v>46188.666666666599</c:v>
                </c:pt>
                <c:pt idx="221">
                  <c:v>46189.666666666599</c:v>
                </c:pt>
                <c:pt idx="222">
                  <c:v>46190.666666666599</c:v>
                </c:pt>
                <c:pt idx="223">
                  <c:v>46191.666666666599</c:v>
                </c:pt>
                <c:pt idx="224">
                  <c:v>46195.666666666599</c:v>
                </c:pt>
                <c:pt idx="225">
                  <c:v>46196.666666666599</c:v>
                </c:pt>
                <c:pt idx="226">
                  <c:v>46197.666666666599</c:v>
                </c:pt>
                <c:pt idx="227">
                  <c:v>46198.666666666599</c:v>
                </c:pt>
                <c:pt idx="228">
                  <c:v>46199.666666666599</c:v>
                </c:pt>
                <c:pt idx="229">
                  <c:v>46202.666666666599</c:v>
                </c:pt>
                <c:pt idx="230">
                  <c:v>46203.666666666599</c:v>
                </c:pt>
                <c:pt idx="231">
                  <c:v>46204.666666666599</c:v>
                </c:pt>
                <c:pt idx="232">
                  <c:v>46205.666666666599</c:v>
                </c:pt>
                <c:pt idx="233">
                  <c:v>46209.666666666599</c:v>
                </c:pt>
                <c:pt idx="234">
                  <c:v>46210.666666666599</c:v>
                </c:pt>
                <c:pt idx="235">
                  <c:v>46211.666666666599</c:v>
                </c:pt>
                <c:pt idx="236">
                  <c:v>46212.666666666599</c:v>
                </c:pt>
                <c:pt idx="237">
                  <c:v>46213.666666666599</c:v>
                </c:pt>
                <c:pt idx="238">
                  <c:v>46216.666666666599</c:v>
                </c:pt>
                <c:pt idx="239">
                  <c:v>46217.666666666599</c:v>
                </c:pt>
                <c:pt idx="240">
                  <c:v>46218.666666666599</c:v>
                </c:pt>
                <c:pt idx="241">
                  <c:v>46219.666666666599</c:v>
                </c:pt>
                <c:pt idx="242">
                  <c:v>46220.666666666599</c:v>
                </c:pt>
                <c:pt idx="243">
                  <c:v>46223.666666666599</c:v>
                </c:pt>
                <c:pt idx="244">
                  <c:v>46224.666666666599</c:v>
                </c:pt>
                <c:pt idx="245">
                  <c:v>46225.666666666599</c:v>
                </c:pt>
                <c:pt idx="246">
                  <c:v>46226.666666666599</c:v>
                </c:pt>
                <c:pt idx="247">
                  <c:v>46227.666666666599</c:v>
                </c:pt>
                <c:pt idx="248">
                  <c:v>46230.666666666599</c:v>
                </c:pt>
                <c:pt idx="249">
                  <c:v>46231.666666666599</c:v>
                </c:pt>
                <c:pt idx="250">
                  <c:v>46232.666666666599</c:v>
                </c:pt>
              </c:numCache>
            </c:numRef>
          </c:cat>
          <c:val>
            <c:numRef>
              <c:f>BIL!$F$28:$F$1000</c:f>
              <c:numCache>
                <c:formatCode>#,##0.00</c:formatCode>
                <c:ptCount val="973"/>
                <c:pt idx="0">
                  <c:v>91.74</c:v>
                </c:pt>
                <c:pt idx="1">
                  <c:v>91.75</c:v>
                </c:pt>
                <c:pt idx="2">
                  <c:v>91.47</c:v>
                </c:pt>
                <c:pt idx="3">
                  <c:v>91.48</c:v>
                </c:pt>
                <c:pt idx="4">
                  <c:v>91.48</c:v>
                </c:pt>
                <c:pt idx="5">
                  <c:v>91.51</c:v>
                </c:pt>
                <c:pt idx="6">
                  <c:v>91.51</c:v>
                </c:pt>
                <c:pt idx="7">
                  <c:v>91.54</c:v>
                </c:pt>
                <c:pt idx="8">
                  <c:v>91.55</c:v>
                </c:pt>
                <c:pt idx="9">
                  <c:v>91.56</c:v>
                </c:pt>
                <c:pt idx="10">
                  <c:v>91.57</c:v>
                </c:pt>
                <c:pt idx="11">
                  <c:v>91.58</c:v>
                </c:pt>
                <c:pt idx="12">
                  <c:v>91.62</c:v>
                </c:pt>
                <c:pt idx="13">
                  <c:v>91.62</c:v>
                </c:pt>
                <c:pt idx="14">
                  <c:v>91.64</c:v>
                </c:pt>
                <c:pt idx="15">
                  <c:v>91.66</c:v>
                </c:pt>
                <c:pt idx="16">
                  <c:v>91.66</c:v>
                </c:pt>
                <c:pt idx="17">
                  <c:v>91.69</c:v>
                </c:pt>
                <c:pt idx="18">
                  <c:v>91.7</c:v>
                </c:pt>
                <c:pt idx="19">
                  <c:v>91.71</c:v>
                </c:pt>
                <c:pt idx="20">
                  <c:v>91.72</c:v>
                </c:pt>
                <c:pt idx="21">
                  <c:v>91.73</c:v>
                </c:pt>
                <c:pt idx="22">
                  <c:v>91.77</c:v>
                </c:pt>
                <c:pt idx="23">
                  <c:v>91.47</c:v>
                </c:pt>
                <c:pt idx="24">
                  <c:v>91.48</c:v>
                </c:pt>
                <c:pt idx="25">
                  <c:v>91.5</c:v>
                </c:pt>
                <c:pt idx="26">
                  <c:v>91.53</c:v>
                </c:pt>
                <c:pt idx="27">
                  <c:v>91.54</c:v>
                </c:pt>
                <c:pt idx="28">
                  <c:v>91.55</c:v>
                </c:pt>
                <c:pt idx="29">
                  <c:v>91.56</c:v>
                </c:pt>
                <c:pt idx="30">
                  <c:v>91.57</c:v>
                </c:pt>
                <c:pt idx="31">
                  <c:v>91.6</c:v>
                </c:pt>
                <c:pt idx="32">
                  <c:v>91.61</c:v>
                </c:pt>
                <c:pt idx="33">
                  <c:v>91.62</c:v>
                </c:pt>
                <c:pt idx="34">
                  <c:v>91.63</c:v>
                </c:pt>
                <c:pt idx="35">
                  <c:v>91.64</c:v>
                </c:pt>
                <c:pt idx="36">
                  <c:v>91.68</c:v>
                </c:pt>
                <c:pt idx="37">
                  <c:v>91.69</c:v>
                </c:pt>
                <c:pt idx="38">
                  <c:v>91.69</c:v>
                </c:pt>
                <c:pt idx="39">
                  <c:v>91.71</c:v>
                </c:pt>
                <c:pt idx="40">
                  <c:v>91.71</c:v>
                </c:pt>
                <c:pt idx="41">
                  <c:v>91.74</c:v>
                </c:pt>
                <c:pt idx="42">
                  <c:v>91.75</c:v>
                </c:pt>
                <c:pt idx="43">
                  <c:v>91.75</c:v>
                </c:pt>
                <c:pt idx="44">
                  <c:v>91.46</c:v>
                </c:pt>
                <c:pt idx="45">
                  <c:v>91.47</c:v>
                </c:pt>
                <c:pt idx="46">
                  <c:v>91.49</c:v>
                </c:pt>
                <c:pt idx="47">
                  <c:v>91.51</c:v>
                </c:pt>
                <c:pt idx="48">
                  <c:v>91.51</c:v>
                </c:pt>
                <c:pt idx="49">
                  <c:v>91.53</c:v>
                </c:pt>
                <c:pt idx="50">
                  <c:v>91.53</c:v>
                </c:pt>
                <c:pt idx="51">
                  <c:v>91.57</c:v>
                </c:pt>
                <c:pt idx="52">
                  <c:v>91.58</c:v>
                </c:pt>
                <c:pt idx="53">
                  <c:v>91.58</c:v>
                </c:pt>
                <c:pt idx="54">
                  <c:v>91.59</c:v>
                </c:pt>
                <c:pt idx="55">
                  <c:v>91.6</c:v>
                </c:pt>
                <c:pt idx="56">
                  <c:v>91.62</c:v>
                </c:pt>
                <c:pt idx="57">
                  <c:v>91.64</c:v>
                </c:pt>
                <c:pt idx="58">
                  <c:v>91.64</c:v>
                </c:pt>
                <c:pt idx="59">
                  <c:v>91.66</c:v>
                </c:pt>
                <c:pt idx="60">
                  <c:v>91.67</c:v>
                </c:pt>
                <c:pt idx="61">
                  <c:v>91.7</c:v>
                </c:pt>
                <c:pt idx="62">
                  <c:v>91.7</c:v>
                </c:pt>
                <c:pt idx="63">
                  <c:v>91.71</c:v>
                </c:pt>
                <c:pt idx="64">
                  <c:v>91.74</c:v>
                </c:pt>
                <c:pt idx="65">
                  <c:v>91.74</c:v>
                </c:pt>
                <c:pt idx="66">
                  <c:v>91.76</c:v>
                </c:pt>
                <c:pt idx="67">
                  <c:v>91.47</c:v>
                </c:pt>
                <c:pt idx="68">
                  <c:v>91.48</c:v>
                </c:pt>
                <c:pt idx="69">
                  <c:v>91.49</c:v>
                </c:pt>
                <c:pt idx="70">
                  <c:v>91.5</c:v>
                </c:pt>
                <c:pt idx="71">
                  <c:v>91.53</c:v>
                </c:pt>
                <c:pt idx="72">
                  <c:v>91.55</c:v>
                </c:pt>
                <c:pt idx="73">
                  <c:v>91.54</c:v>
                </c:pt>
                <c:pt idx="74">
                  <c:v>91.55</c:v>
                </c:pt>
                <c:pt idx="75">
                  <c:v>91.56</c:v>
                </c:pt>
                <c:pt idx="76">
                  <c:v>91.6</c:v>
                </c:pt>
                <c:pt idx="77">
                  <c:v>91.6</c:v>
                </c:pt>
                <c:pt idx="78">
                  <c:v>91.62</c:v>
                </c:pt>
                <c:pt idx="79">
                  <c:v>91.62</c:v>
                </c:pt>
                <c:pt idx="80">
                  <c:v>91.64</c:v>
                </c:pt>
                <c:pt idx="81">
                  <c:v>91.66</c:v>
                </c:pt>
                <c:pt idx="82">
                  <c:v>91.66</c:v>
                </c:pt>
                <c:pt idx="83">
                  <c:v>91.68</c:v>
                </c:pt>
                <c:pt idx="84">
                  <c:v>91.69</c:v>
                </c:pt>
                <c:pt idx="85">
                  <c:v>91.72</c:v>
                </c:pt>
                <c:pt idx="86">
                  <c:v>91.45</c:v>
                </c:pt>
                <c:pt idx="87">
                  <c:v>91.48</c:v>
                </c:pt>
                <c:pt idx="88">
                  <c:v>91.49</c:v>
                </c:pt>
                <c:pt idx="89">
                  <c:v>91.5</c:v>
                </c:pt>
                <c:pt idx="90">
                  <c:v>91.52</c:v>
                </c:pt>
                <c:pt idx="91">
                  <c:v>91.53</c:v>
                </c:pt>
                <c:pt idx="92">
                  <c:v>91.55</c:v>
                </c:pt>
                <c:pt idx="93">
                  <c:v>91.55</c:v>
                </c:pt>
                <c:pt idx="94">
                  <c:v>91.56</c:v>
                </c:pt>
                <c:pt idx="95">
                  <c:v>91.6</c:v>
                </c:pt>
                <c:pt idx="96">
                  <c:v>91.6</c:v>
                </c:pt>
                <c:pt idx="97">
                  <c:v>91.61</c:v>
                </c:pt>
                <c:pt idx="98">
                  <c:v>91.62</c:v>
                </c:pt>
                <c:pt idx="99">
                  <c:v>91.27</c:v>
                </c:pt>
                <c:pt idx="100">
                  <c:v>91.3</c:v>
                </c:pt>
                <c:pt idx="101">
                  <c:v>91.3</c:v>
                </c:pt>
                <c:pt idx="102">
                  <c:v>91.3</c:v>
                </c:pt>
                <c:pt idx="103">
                  <c:v>91.33</c:v>
                </c:pt>
                <c:pt idx="104">
                  <c:v>91.36</c:v>
                </c:pt>
                <c:pt idx="105">
                  <c:v>91.36</c:v>
                </c:pt>
                <c:pt idx="106">
                  <c:v>91.37</c:v>
                </c:pt>
                <c:pt idx="107">
                  <c:v>91.38</c:v>
                </c:pt>
                <c:pt idx="108">
                  <c:v>91.42</c:v>
                </c:pt>
                <c:pt idx="109">
                  <c:v>91.42</c:v>
                </c:pt>
                <c:pt idx="110">
                  <c:v>91.43</c:v>
                </c:pt>
                <c:pt idx="111">
                  <c:v>91.45</c:v>
                </c:pt>
                <c:pt idx="112">
                  <c:v>91.45</c:v>
                </c:pt>
                <c:pt idx="113">
                  <c:v>91.47</c:v>
                </c:pt>
                <c:pt idx="114">
                  <c:v>91.48</c:v>
                </c:pt>
                <c:pt idx="115">
                  <c:v>91.49</c:v>
                </c:pt>
                <c:pt idx="116">
                  <c:v>91.5</c:v>
                </c:pt>
                <c:pt idx="117">
                  <c:v>91.5</c:v>
                </c:pt>
                <c:pt idx="118">
                  <c:v>91.54</c:v>
                </c:pt>
                <c:pt idx="119">
                  <c:v>91.54</c:v>
                </c:pt>
                <c:pt idx="120">
                  <c:v>91.55</c:v>
                </c:pt>
                <c:pt idx="121">
                  <c:v>91.56</c:v>
                </c:pt>
                <c:pt idx="122">
                  <c:v>91.59</c:v>
                </c:pt>
                <c:pt idx="123">
                  <c:v>91.59</c:v>
                </c:pt>
                <c:pt idx="124">
                  <c:v>91.6</c:v>
                </c:pt>
                <c:pt idx="125">
                  <c:v>91.61</c:v>
                </c:pt>
                <c:pt idx="126">
                  <c:v>91.63</c:v>
                </c:pt>
                <c:pt idx="127">
                  <c:v>91.65</c:v>
                </c:pt>
                <c:pt idx="128">
                  <c:v>91.39</c:v>
                </c:pt>
                <c:pt idx="129">
                  <c:v>91.39</c:v>
                </c:pt>
                <c:pt idx="130">
                  <c:v>91.41</c:v>
                </c:pt>
                <c:pt idx="131">
                  <c:v>91.41</c:v>
                </c:pt>
                <c:pt idx="132">
                  <c:v>91.44</c:v>
                </c:pt>
                <c:pt idx="133">
                  <c:v>91.44</c:v>
                </c:pt>
                <c:pt idx="134">
                  <c:v>91.45</c:v>
                </c:pt>
                <c:pt idx="135">
                  <c:v>91.47</c:v>
                </c:pt>
                <c:pt idx="136">
                  <c:v>91.47</c:v>
                </c:pt>
                <c:pt idx="137">
                  <c:v>91.51</c:v>
                </c:pt>
                <c:pt idx="138">
                  <c:v>91.52</c:v>
                </c:pt>
                <c:pt idx="139">
                  <c:v>91.53</c:v>
                </c:pt>
                <c:pt idx="140">
                  <c:v>91.53</c:v>
                </c:pt>
                <c:pt idx="141">
                  <c:v>91.56</c:v>
                </c:pt>
                <c:pt idx="142">
                  <c:v>91.56</c:v>
                </c:pt>
                <c:pt idx="143">
                  <c:v>91.58</c:v>
                </c:pt>
                <c:pt idx="144">
                  <c:v>91.59</c:v>
                </c:pt>
                <c:pt idx="145">
                  <c:v>91.6</c:v>
                </c:pt>
                <c:pt idx="146">
                  <c:v>91.62</c:v>
                </c:pt>
                <c:pt idx="147">
                  <c:v>91.39</c:v>
                </c:pt>
                <c:pt idx="148">
                  <c:v>91.4</c:v>
                </c:pt>
                <c:pt idx="149">
                  <c:v>91.41</c:v>
                </c:pt>
                <c:pt idx="150">
                  <c:v>91.42</c:v>
                </c:pt>
                <c:pt idx="151">
                  <c:v>91.44</c:v>
                </c:pt>
                <c:pt idx="152">
                  <c:v>91.45</c:v>
                </c:pt>
                <c:pt idx="153">
                  <c:v>91.46</c:v>
                </c:pt>
                <c:pt idx="154">
                  <c:v>91.46</c:v>
                </c:pt>
                <c:pt idx="155">
                  <c:v>91.48</c:v>
                </c:pt>
                <c:pt idx="156">
                  <c:v>91.51</c:v>
                </c:pt>
                <c:pt idx="157">
                  <c:v>91.51</c:v>
                </c:pt>
                <c:pt idx="158">
                  <c:v>91.52</c:v>
                </c:pt>
                <c:pt idx="159">
                  <c:v>91.54</c:v>
                </c:pt>
                <c:pt idx="160">
                  <c:v>91.54</c:v>
                </c:pt>
                <c:pt idx="161">
                  <c:v>91.57</c:v>
                </c:pt>
                <c:pt idx="162">
                  <c:v>91.58</c:v>
                </c:pt>
                <c:pt idx="163">
                  <c:v>91.59</c:v>
                </c:pt>
                <c:pt idx="164">
                  <c:v>91.58</c:v>
                </c:pt>
                <c:pt idx="165">
                  <c:v>91.6</c:v>
                </c:pt>
                <c:pt idx="166">
                  <c:v>91.63</c:v>
                </c:pt>
                <c:pt idx="167">
                  <c:v>91.64</c:v>
                </c:pt>
                <c:pt idx="168">
                  <c:v>91.64</c:v>
                </c:pt>
                <c:pt idx="169">
                  <c:v>91.4</c:v>
                </c:pt>
                <c:pt idx="170">
                  <c:v>91.42</c:v>
                </c:pt>
                <c:pt idx="171">
                  <c:v>91.44</c:v>
                </c:pt>
                <c:pt idx="172">
                  <c:v>91.45</c:v>
                </c:pt>
                <c:pt idx="173">
                  <c:v>91.45</c:v>
                </c:pt>
                <c:pt idx="174">
                  <c:v>91.46</c:v>
                </c:pt>
                <c:pt idx="175">
                  <c:v>91.49</c:v>
                </c:pt>
                <c:pt idx="176">
                  <c:v>91.49</c:v>
                </c:pt>
                <c:pt idx="177">
                  <c:v>91.5</c:v>
                </c:pt>
                <c:pt idx="178">
                  <c:v>91.51</c:v>
                </c:pt>
                <c:pt idx="179">
                  <c:v>91.52</c:v>
                </c:pt>
                <c:pt idx="180">
                  <c:v>91.55</c:v>
                </c:pt>
                <c:pt idx="181">
                  <c:v>91.56</c:v>
                </c:pt>
                <c:pt idx="182">
                  <c:v>91.57</c:v>
                </c:pt>
                <c:pt idx="183">
                  <c:v>91.57</c:v>
                </c:pt>
                <c:pt idx="184">
                  <c:v>91.59</c:v>
                </c:pt>
                <c:pt idx="185">
                  <c:v>91.61</c:v>
                </c:pt>
                <c:pt idx="186">
                  <c:v>91.62</c:v>
                </c:pt>
                <c:pt idx="187">
                  <c:v>91.63</c:v>
                </c:pt>
                <c:pt idx="188">
                  <c:v>91.63</c:v>
                </c:pt>
                <c:pt idx="189">
                  <c:v>91.64</c:v>
                </c:pt>
                <c:pt idx="190">
                  <c:v>91.4</c:v>
                </c:pt>
                <c:pt idx="191">
                  <c:v>91.42</c:v>
                </c:pt>
                <c:pt idx="192">
                  <c:v>91.43</c:v>
                </c:pt>
                <c:pt idx="193">
                  <c:v>91.42</c:v>
                </c:pt>
                <c:pt idx="194">
                  <c:v>91.44</c:v>
                </c:pt>
                <c:pt idx="195">
                  <c:v>91.46</c:v>
                </c:pt>
                <c:pt idx="196">
                  <c:v>91.48</c:v>
                </c:pt>
                <c:pt idx="197">
                  <c:v>91.49</c:v>
                </c:pt>
                <c:pt idx="198">
                  <c:v>91.49</c:v>
                </c:pt>
                <c:pt idx="199">
                  <c:v>91.51</c:v>
                </c:pt>
                <c:pt idx="200">
                  <c:v>91.53</c:v>
                </c:pt>
                <c:pt idx="201">
                  <c:v>91.53</c:v>
                </c:pt>
                <c:pt idx="202">
                  <c:v>91.55</c:v>
                </c:pt>
                <c:pt idx="203">
                  <c:v>91.57</c:v>
                </c:pt>
                <c:pt idx="204">
                  <c:v>91.57</c:v>
                </c:pt>
                <c:pt idx="205">
                  <c:v>91.59</c:v>
                </c:pt>
                <c:pt idx="206">
                  <c:v>91.61</c:v>
                </c:pt>
                <c:pt idx="207">
                  <c:v>91.62</c:v>
                </c:pt>
                <c:pt idx="208">
                  <c:v>91.63</c:v>
                </c:pt>
                <c:pt idx="209">
                  <c:v>91.66</c:v>
                </c:pt>
                <c:pt idx="210">
                  <c:v>91.4</c:v>
                </c:pt>
                <c:pt idx="211">
                  <c:v>91.39</c:v>
                </c:pt>
                <c:pt idx="212">
                  <c:v>91.41</c:v>
                </c:pt>
                <c:pt idx="213">
                  <c:v>91.41</c:v>
                </c:pt>
                <c:pt idx="214">
                  <c:v>91.45</c:v>
                </c:pt>
                <c:pt idx="215">
                  <c:v>91.46</c:v>
                </c:pt>
                <c:pt idx="216">
                  <c:v>91.46</c:v>
                </c:pt>
                <c:pt idx="217">
                  <c:v>91.47</c:v>
                </c:pt>
                <c:pt idx="218">
                  <c:v>91.48</c:v>
                </c:pt>
                <c:pt idx="219">
                  <c:v>91.51</c:v>
                </c:pt>
                <c:pt idx="220">
                  <c:v>91.51</c:v>
                </c:pt>
                <c:pt idx="221">
                  <c:v>91.52</c:v>
                </c:pt>
                <c:pt idx="222">
                  <c:v>91.53</c:v>
                </c:pt>
                <c:pt idx="223">
                  <c:v>91.57</c:v>
                </c:pt>
                <c:pt idx="224">
                  <c:v>91.57</c:v>
                </c:pt>
                <c:pt idx="225">
                  <c:v>91.58</c:v>
                </c:pt>
                <c:pt idx="226">
                  <c:v>91.59</c:v>
                </c:pt>
                <c:pt idx="227">
                  <c:v>91.6</c:v>
                </c:pt>
                <c:pt idx="228">
                  <c:v>91.63</c:v>
                </c:pt>
                <c:pt idx="229">
                  <c:v>91.64</c:v>
                </c:pt>
                <c:pt idx="230">
                  <c:v>91.64</c:v>
                </c:pt>
                <c:pt idx="231">
                  <c:v>91.4</c:v>
                </c:pt>
                <c:pt idx="232">
                  <c:v>91.44</c:v>
                </c:pt>
                <c:pt idx="233">
                  <c:v>91.43</c:v>
                </c:pt>
                <c:pt idx="234">
                  <c:v>91.45</c:v>
                </c:pt>
                <c:pt idx="235">
                  <c:v>91.45</c:v>
                </c:pt>
                <c:pt idx="236">
                  <c:v>91.46</c:v>
                </c:pt>
                <c:pt idx="237">
                  <c:v>91.5</c:v>
                </c:pt>
                <c:pt idx="238">
                  <c:v>91.5</c:v>
                </c:pt>
                <c:pt idx="239">
                  <c:v>91.51</c:v>
                </c:pt>
                <c:pt idx="240">
                  <c:v>91.52</c:v>
                </c:pt>
                <c:pt idx="241">
                  <c:v>91.53</c:v>
                </c:pt>
                <c:pt idx="242">
                  <c:v>91.55</c:v>
                </c:pt>
                <c:pt idx="243">
                  <c:v>91.56</c:v>
                </c:pt>
                <c:pt idx="244">
                  <c:v>91.56</c:v>
                </c:pt>
                <c:pt idx="245">
                  <c:v>91.58</c:v>
                </c:pt>
                <c:pt idx="246">
                  <c:v>91.58</c:v>
                </c:pt>
                <c:pt idx="247">
                  <c:v>91.61</c:v>
                </c:pt>
                <c:pt idx="248">
                  <c:v>91.62</c:v>
                </c:pt>
                <c:pt idx="249">
                  <c:v>91.63</c:v>
                </c:pt>
                <c:pt idx="250">
                  <c:v>91.64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3-4F54-90B8-A14D97DC2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90860"/>
        <c:axId val="2139645791"/>
      </c:areaChart>
      <c:dateAx>
        <c:axId val="213990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&quot; &quot;d&quot;, 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  <a:endParaRPr lang="ko-KR"/>
          </a:p>
        </c:txPr>
        <c:crossAx val="2139645791"/>
        <c:crosses val="autoZero"/>
        <c:auto val="1"/>
        <c:lblOffset val="100"/>
        <c:baseTimeUnit val="days"/>
      </c:dateAx>
      <c:valAx>
        <c:axId val="2139645791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ko-KR"/>
          </a:p>
        </c:txPr>
        <c:crossAx val="21399086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742950</xdr:colOff>
      <xdr:row>0</xdr:row>
      <xdr:rowOff>0</xdr:rowOff>
    </xdr:from>
    <xdr:ext cx="2257425" cy="819150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114300</xdr:colOff>
      <xdr:row>0</xdr:row>
      <xdr:rowOff>9525</xdr:rowOff>
    </xdr:from>
    <xdr:ext cx="2257425" cy="819150"/>
    <xdr:graphicFrame macro="">
      <xdr:nvGraphicFramePr>
        <xdr:cNvPr id="3" name="Chart 2" title="차트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3" name="Chart 3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5" name="Chart 5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4" name="Chart 4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6" name="Chart 6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7" name="Chart 7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8" name="Chart 8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9" name="Chart 9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0" name="Chart 10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1" name="Chart 11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2" name="Chart 12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3" name="Chart 13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4" name="Chart 14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5" name="Chart 15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6" name="Chart 16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7" name="Chart 17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8" name="Chart 18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19" name="Chart 19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20" name="Chart 20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21" name="Chart 21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22" name="Chart 22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23" name="Chart 23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24" name="Chart 24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000750" cy="2181225"/>
    <xdr:graphicFrame macro="">
      <xdr:nvGraphicFramePr>
        <xdr:cNvPr id="25" name="Chart 25" descr="Line chart showing stock changes over time." title="Line chart showing stock changes over time.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google.com/financ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google.com/financ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google.com/financ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google.com/finance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google.com/financ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google.com/finance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www.google.com/finance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www.google.com/finance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://www.google.com/financ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://www.google.com/finance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://www.google.com/financ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://www.google.com/finance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://www.google.com/finance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://www.google.com/finance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://www.google.com/finance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://www.google.com/financ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://www.google.com/financ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http://www.google.com/financ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hyperlink" Target="http://www.google.com/finance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hyperlink" Target="http://www.google.com/finance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://www.google.com/finance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hyperlink" Target="http://www.google.com/finance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hyperlink" Target="http://www.google.com/finance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hyperlink" Target="http://www.google.com/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4E29-332E-4ADB-8D12-CE2396B443B5}">
  <dimension ref="A3:Q149"/>
  <sheetViews>
    <sheetView tabSelected="1" zoomScale="70" zoomScaleNormal="70" workbookViewId="0">
      <selection activeCell="C29" sqref="C29"/>
    </sheetView>
  </sheetViews>
  <sheetFormatPr defaultRowHeight="14.25" x14ac:dyDescent="0.2"/>
  <cols>
    <col min="1" max="1" width="7.28515625" style="343" customWidth="1"/>
    <col min="2" max="18" width="19.140625" style="343" customWidth="1"/>
    <col min="19" max="16384" width="9.140625" style="343"/>
  </cols>
  <sheetData>
    <row r="3" spans="2:17" ht="18" x14ac:dyDescent="0.2">
      <c r="B3" s="342" t="s">
        <v>152</v>
      </c>
    </row>
    <row r="4" spans="2:17" ht="15" thickBot="1" x14ac:dyDescent="0.25">
      <c r="B4" s="343" t="s">
        <v>153</v>
      </c>
    </row>
    <row r="5" spans="2:17" ht="15" x14ac:dyDescent="0.2">
      <c r="B5" s="344" t="s">
        <v>154</v>
      </c>
      <c r="C5" s="345" t="s">
        <v>155</v>
      </c>
      <c r="D5" s="345" t="s">
        <v>156</v>
      </c>
      <c r="E5" s="345" t="s">
        <v>157</v>
      </c>
      <c r="F5" s="346" t="s">
        <v>158</v>
      </c>
      <c r="G5" s="346"/>
    </row>
    <row r="6" spans="2:17" ht="15" thickBot="1" x14ac:dyDescent="0.25">
      <c r="B6" s="347" t="s">
        <v>159</v>
      </c>
      <c r="C6" s="348" t="s">
        <v>160</v>
      </c>
      <c r="D6" s="348">
        <v>46</v>
      </c>
      <c r="E6" s="348">
        <v>1000</v>
      </c>
      <c r="F6" s="349" t="s">
        <v>161</v>
      </c>
      <c r="G6" s="349"/>
    </row>
    <row r="9" spans="2:17" ht="18" x14ac:dyDescent="0.2">
      <c r="B9" s="342" t="s">
        <v>162</v>
      </c>
    </row>
    <row r="10" spans="2:17" ht="15" thickBot="1" x14ac:dyDescent="0.25">
      <c r="B10" s="343" t="s">
        <v>163</v>
      </c>
    </row>
    <row r="11" spans="2:17" ht="15" x14ac:dyDescent="0.2">
      <c r="B11" s="350" t="s">
        <v>164</v>
      </c>
      <c r="C11" s="351" t="s">
        <v>165</v>
      </c>
      <c r="D11" s="351" t="s">
        <v>166</v>
      </c>
      <c r="E11" s="352" t="s">
        <v>167</v>
      </c>
      <c r="F11" s="352" t="s">
        <v>168</v>
      </c>
      <c r="G11" s="352" t="s">
        <v>169</v>
      </c>
      <c r="H11" s="352" t="s">
        <v>170</v>
      </c>
      <c r="I11" s="352" t="s">
        <v>171</v>
      </c>
      <c r="J11" s="352" t="s">
        <v>172</v>
      </c>
      <c r="K11" s="352" t="s">
        <v>173</v>
      </c>
      <c r="L11" s="352" t="s">
        <v>174</v>
      </c>
      <c r="M11" s="352" t="s">
        <v>175</v>
      </c>
      <c r="N11" s="352" t="s">
        <v>176</v>
      </c>
      <c r="O11" s="352" t="s">
        <v>177</v>
      </c>
      <c r="P11" s="352" t="s">
        <v>178</v>
      </c>
      <c r="Q11" s="352" t="s">
        <v>179</v>
      </c>
    </row>
    <row r="12" spans="2:17" ht="15" x14ac:dyDescent="0.2">
      <c r="B12" s="353" t="s">
        <v>180</v>
      </c>
      <c r="C12" s="354">
        <f t="shared" ref="C12:C39" si="0">SUM(E12:Q12)</f>
        <v>100006</v>
      </c>
      <c r="D12" s="354">
        <f t="shared" ref="D12:D39" si="1">C12/13</f>
        <v>7692.7692307692305</v>
      </c>
      <c r="E12" s="354">
        <v>0</v>
      </c>
      <c r="F12" s="354">
        <v>0</v>
      </c>
      <c r="G12" s="354">
        <v>80000</v>
      </c>
      <c r="H12" s="354">
        <v>1</v>
      </c>
      <c r="I12" s="354">
        <v>0</v>
      </c>
      <c r="J12" s="354">
        <v>20000</v>
      </c>
      <c r="K12" s="354">
        <v>0</v>
      </c>
      <c r="L12" s="354">
        <v>0</v>
      </c>
      <c r="M12" s="354">
        <v>4</v>
      </c>
      <c r="N12" s="354">
        <v>0</v>
      </c>
      <c r="O12" s="354">
        <v>1</v>
      </c>
      <c r="P12" s="354">
        <v>0</v>
      </c>
      <c r="Q12" s="354">
        <v>0</v>
      </c>
    </row>
    <row r="13" spans="2:17" ht="15" x14ac:dyDescent="0.2">
      <c r="B13" s="353" t="s">
        <v>181</v>
      </c>
      <c r="C13" s="354">
        <f t="shared" si="0"/>
        <v>85914200</v>
      </c>
      <c r="D13" s="354">
        <f t="shared" si="1"/>
        <v>6608784.615384615</v>
      </c>
      <c r="E13" s="354">
        <v>0</v>
      </c>
      <c r="F13" s="354">
        <v>5107809</v>
      </c>
      <c r="G13" s="354">
        <v>5863980</v>
      </c>
      <c r="H13" s="354">
        <v>10584640</v>
      </c>
      <c r="I13" s="354">
        <v>5897358</v>
      </c>
      <c r="J13" s="354">
        <v>9609713</v>
      </c>
      <c r="K13" s="354">
        <v>5869380</v>
      </c>
      <c r="L13" s="354">
        <v>12652275</v>
      </c>
      <c r="M13" s="354">
        <v>6055700</v>
      </c>
      <c r="N13" s="354">
        <v>6132550</v>
      </c>
      <c r="O13" s="354">
        <v>6052268</v>
      </c>
      <c r="P13" s="354">
        <v>6022650</v>
      </c>
      <c r="Q13" s="354">
        <v>6065877</v>
      </c>
    </row>
    <row r="14" spans="2:17" ht="15" x14ac:dyDescent="0.2">
      <c r="B14" s="353" t="s">
        <v>182</v>
      </c>
      <c r="C14" s="354">
        <f t="shared" si="0"/>
        <v>10430</v>
      </c>
      <c r="D14" s="354">
        <f t="shared" si="1"/>
        <v>802.30769230769226</v>
      </c>
      <c r="E14" s="354">
        <v>0</v>
      </c>
      <c r="F14" s="354">
        <v>0</v>
      </c>
      <c r="G14" s="354">
        <v>0</v>
      </c>
      <c r="H14" s="354">
        <v>0</v>
      </c>
      <c r="I14" s="354">
        <v>0</v>
      </c>
      <c r="J14" s="354">
        <v>0</v>
      </c>
      <c r="K14" s="354">
        <v>0</v>
      </c>
      <c r="L14" s="354">
        <v>0</v>
      </c>
      <c r="M14" s="354">
        <v>0</v>
      </c>
      <c r="N14" s="354">
        <v>0</v>
      </c>
      <c r="O14" s="354">
        <v>0</v>
      </c>
      <c r="P14" s="354">
        <v>10430</v>
      </c>
      <c r="Q14" s="354">
        <v>0</v>
      </c>
    </row>
    <row r="15" spans="2:17" ht="15" x14ac:dyDescent="0.2">
      <c r="B15" s="353" t="s">
        <v>183</v>
      </c>
      <c r="C15" s="354">
        <f t="shared" si="0"/>
        <v>1064432</v>
      </c>
      <c r="D15" s="354">
        <f t="shared" si="1"/>
        <v>81879.38461538461</v>
      </c>
      <c r="E15" s="354">
        <v>0</v>
      </c>
      <c r="F15" s="354">
        <v>0</v>
      </c>
      <c r="G15" s="354">
        <v>0</v>
      </c>
      <c r="H15" s="354">
        <v>0</v>
      </c>
      <c r="I15" s="354">
        <v>0</v>
      </c>
      <c r="J15" s="354">
        <v>0</v>
      </c>
      <c r="K15" s="354">
        <v>0</v>
      </c>
      <c r="L15" s="354">
        <v>0</v>
      </c>
      <c r="M15" s="354">
        <v>0</v>
      </c>
      <c r="N15" s="354">
        <v>1064432</v>
      </c>
      <c r="O15" s="354">
        <v>0</v>
      </c>
      <c r="P15" s="354">
        <v>0</v>
      </c>
      <c r="Q15" s="354">
        <v>0</v>
      </c>
    </row>
    <row r="16" spans="2:17" ht="15" x14ac:dyDescent="0.2">
      <c r="B16" s="353" t="s">
        <v>184</v>
      </c>
      <c r="C16" s="354">
        <f t="shared" si="0"/>
        <v>2378785</v>
      </c>
      <c r="D16" s="354">
        <f t="shared" si="1"/>
        <v>182983.46153846153</v>
      </c>
      <c r="E16" s="354">
        <v>0</v>
      </c>
      <c r="F16" s="354">
        <v>0</v>
      </c>
      <c r="G16" s="354">
        <v>0</v>
      </c>
      <c r="H16" s="354">
        <v>0</v>
      </c>
      <c r="I16" s="354">
        <v>0</v>
      </c>
      <c r="J16" s="354">
        <v>0</v>
      </c>
      <c r="K16" s="354">
        <v>0</v>
      </c>
      <c r="L16" s="354">
        <v>0</v>
      </c>
      <c r="M16" s="354">
        <v>0</v>
      </c>
      <c r="N16" s="354">
        <v>0</v>
      </c>
      <c r="O16" s="354">
        <v>0</v>
      </c>
      <c r="P16" s="354">
        <v>2378785</v>
      </c>
      <c r="Q16" s="354">
        <v>0</v>
      </c>
    </row>
    <row r="17" spans="1:17" ht="15" x14ac:dyDescent="0.2">
      <c r="B17" s="353" t="s">
        <v>185</v>
      </c>
      <c r="C17" s="354">
        <f t="shared" si="0"/>
        <v>2279856</v>
      </c>
      <c r="D17" s="354">
        <f t="shared" si="1"/>
        <v>175373.53846153847</v>
      </c>
      <c r="E17" s="354">
        <v>0</v>
      </c>
      <c r="F17" s="354">
        <v>0</v>
      </c>
      <c r="G17" s="354">
        <v>0</v>
      </c>
      <c r="H17" s="354">
        <v>0</v>
      </c>
      <c r="I17" s="354">
        <v>0</v>
      </c>
      <c r="J17" s="354">
        <v>0</v>
      </c>
      <c r="K17" s="354">
        <v>0</v>
      </c>
      <c r="L17" s="354">
        <v>0</v>
      </c>
      <c r="M17" s="354">
        <v>0</v>
      </c>
      <c r="N17" s="354">
        <v>0</v>
      </c>
      <c r="O17" s="354">
        <v>0</v>
      </c>
      <c r="P17" s="354">
        <v>0</v>
      </c>
      <c r="Q17" s="354">
        <v>2279856</v>
      </c>
    </row>
    <row r="18" spans="1:17" ht="15.75" thickBot="1" x14ac:dyDescent="0.3">
      <c r="B18" s="355" t="s">
        <v>186</v>
      </c>
      <c r="C18" s="356">
        <f t="shared" si="0"/>
        <v>91747709</v>
      </c>
      <c r="D18" s="356">
        <f t="shared" si="1"/>
        <v>7057516.076923077</v>
      </c>
      <c r="E18" s="356">
        <f t="shared" ref="E18:Q18" si="2">SUM(E12:E17)</f>
        <v>0</v>
      </c>
      <c r="F18" s="356">
        <f t="shared" si="2"/>
        <v>5107809</v>
      </c>
      <c r="G18" s="356">
        <f t="shared" si="2"/>
        <v>5943980</v>
      </c>
      <c r="H18" s="356">
        <f t="shared" si="2"/>
        <v>10584641</v>
      </c>
      <c r="I18" s="356">
        <f t="shared" si="2"/>
        <v>5897358</v>
      </c>
      <c r="J18" s="356">
        <f t="shared" si="2"/>
        <v>9629713</v>
      </c>
      <c r="K18" s="356">
        <f t="shared" si="2"/>
        <v>5869380</v>
      </c>
      <c r="L18" s="356">
        <f t="shared" si="2"/>
        <v>12652275</v>
      </c>
      <c r="M18" s="356">
        <f t="shared" si="2"/>
        <v>6055704</v>
      </c>
      <c r="N18" s="356">
        <f t="shared" si="2"/>
        <v>7196982</v>
      </c>
      <c r="O18" s="356">
        <f t="shared" si="2"/>
        <v>6052269</v>
      </c>
      <c r="P18" s="356">
        <f t="shared" si="2"/>
        <v>8411865</v>
      </c>
      <c r="Q18" s="356">
        <f t="shared" si="2"/>
        <v>8345733</v>
      </c>
    </row>
    <row r="19" spans="1:17" ht="15" x14ac:dyDescent="0.2">
      <c r="A19" s="343" t="s">
        <v>187</v>
      </c>
      <c r="B19" s="353" t="s">
        <v>188</v>
      </c>
      <c r="C19" s="354">
        <f t="shared" si="0"/>
        <v>9091336</v>
      </c>
      <c r="D19" s="354">
        <f t="shared" si="1"/>
        <v>699333.5384615385</v>
      </c>
      <c r="E19" s="354">
        <v>700000</v>
      </c>
      <c r="F19" s="354">
        <v>730000</v>
      </c>
      <c r="G19" s="354">
        <v>700000</v>
      </c>
      <c r="H19" s="354">
        <v>930000</v>
      </c>
      <c r="I19" s="354">
        <v>750000</v>
      </c>
      <c r="J19" s="354">
        <v>750000</v>
      </c>
      <c r="K19" s="354">
        <v>750000</v>
      </c>
      <c r="L19" s="354">
        <v>760336</v>
      </c>
      <c r="M19" s="354">
        <v>721000</v>
      </c>
      <c r="N19" s="354">
        <v>750000</v>
      </c>
      <c r="O19" s="354">
        <v>750000</v>
      </c>
      <c r="P19" s="354">
        <v>750000</v>
      </c>
      <c r="Q19" s="354">
        <v>50000</v>
      </c>
    </row>
    <row r="20" spans="1:17" ht="15" x14ac:dyDescent="0.2">
      <c r="A20" s="343" t="s">
        <v>189</v>
      </c>
      <c r="B20" s="353" t="s">
        <v>190</v>
      </c>
      <c r="C20" s="354">
        <f t="shared" si="0"/>
        <v>206090</v>
      </c>
      <c r="D20" s="354">
        <f t="shared" si="1"/>
        <v>15853.076923076924</v>
      </c>
      <c r="E20" s="354">
        <v>0</v>
      </c>
      <c r="F20" s="354">
        <v>0</v>
      </c>
      <c r="G20" s="354">
        <v>10200</v>
      </c>
      <c r="H20" s="354">
        <v>0</v>
      </c>
      <c r="I20" s="354">
        <v>0</v>
      </c>
      <c r="J20" s="354">
        <v>12000</v>
      </c>
      <c r="K20" s="354">
        <v>85700</v>
      </c>
      <c r="L20" s="354">
        <v>92190</v>
      </c>
      <c r="M20" s="354">
        <v>0</v>
      </c>
      <c r="N20" s="354">
        <v>6000</v>
      </c>
      <c r="O20" s="354">
        <v>0</v>
      </c>
      <c r="P20" s="354">
        <v>0</v>
      </c>
      <c r="Q20" s="354">
        <v>0</v>
      </c>
    </row>
    <row r="21" spans="1:17" ht="15" x14ac:dyDescent="0.2">
      <c r="A21" s="343" t="s">
        <v>187</v>
      </c>
      <c r="B21" s="353" t="s">
        <v>191</v>
      </c>
      <c r="C21" s="354">
        <f t="shared" si="0"/>
        <v>620250</v>
      </c>
      <c r="D21" s="354">
        <f t="shared" si="1"/>
        <v>47711.538461538461</v>
      </c>
      <c r="E21" s="354">
        <v>0</v>
      </c>
      <c r="F21" s="354">
        <v>2900</v>
      </c>
      <c r="G21" s="354">
        <v>30000</v>
      </c>
      <c r="H21" s="354">
        <v>30000</v>
      </c>
      <c r="I21" s="354">
        <v>60750</v>
      </c>
      <c r="J21" s="354">
        <v>50000</v>
      </c>
      <c r="K21" s="354">
        <v>63200</v>
      </c>
      <c r="L21" s="354">
        <v>75300</v>
      </c>
      <c r="M21" s="354">
        <v>60000</v>
      </c>
      <c r="N21" s="354">
        <v>53200</v>
      </c>
      <c r="O21" s="354">
        <v>60000</v>
      </c>
      <c r="P21" s="354">
        <v>63400</v>
      </c>
      <c r="Q21" s="354">
        <v>71500</v>
      </c>
    </row>
    <row r="22" spans="1:17" ht="15" x14ac:dyDescent="0.2">
      <c r="A22" s="343" t="s">
        <v>187</v>
      </c>
      <c r="B22" s="353" t="s">
        <v>192</v>
      </c>
      <c r="C22" s="354">
        <f t="shared" si="0"/>
        <v>141322168</v>
      </c>
      <c r="D22" s="354">
        <f t="shared" si="1"/>
        <v>10870936</v>
      </c>
      <c r="E22" s="354">
        <v>60380</v>
      </c>
      <c r="F22" s="354">
        <v>1313802</v>
      </c>
      <c r="G22" s="354">
        <v>121577701</v>
      </c>
      <c r="H22" s="354">
        <v>1659562</v>
      </c>
      <c r="I22" s="354">
        <v>1384699</v>
      </c>
      <c r="J22" s="354">
        <v>1498194</v>
      </c>
      <c r="K22" s="354">
        <v>2075322</v>
      </c>
      <c r="L22" s="354">
        <v>1863655</v>
      </c>
      <c r="M22" s="354">
        <v>2015670</v>
      </c>
      <c r="N22" s="354">
        <v>1818208</v>
      </c>
      <c r="O22" s="354">
        <v>2053519</v>
      </c>
      <c r="P22" s="354">
        <v>2005859</v>
      </c>
      <c r="Q22" s="354">
        <v>1995597</v>
      </c>
    </row>
    <row r="23" spans="1:17" ht="15" x14ac:dyDescent="0.2">
      <c r="A23" s="343" t="s">
        <v>189</v>
      </c>
      <c r="B23" s="353" t="s">
        <v>193</v>
      </c>
      <c r="C23" s="354">
        <f t="shared" si="0"/>
        <v>318650</v>
      </c>
      <c r="D23" s="354">
        <f t="shared" si="1"/>
        <v>24511.538461538461</v>
      </c>
      <c r="E23" s="354">
        <v>0</v>
      </c>
      <c r="F23" s="354">
        <v>21900</v>
      </c>
      <c r="G23" s="354">
        <v>9270</v>
      </c>
      <c r="H23" s="354">
        <v>0</v>
      </c>
      <c r="I23" s="354">
        <v>7000</v>
      </c>
      <c r="J23" s="354">
        <v>18000</v>
      </c>
      <c r="K23" s="354">
        <v>71490</v>
      </c>
      <c r="L23" s="354">
        <v>34900</v>
      </c>
      <c r="M23" s="354">
        <v>54490</v>
      </c>
      <c r="N23" s="354">
        <v>37900</v>
      </c>
      <c r="O23" s="354">
        <v>4000</v>
      </c>
      <c r="P23" s="354">
        <v>48700</v>
      </c>
      <c r="Q23" s="354">
        <v>11000</v>
      </c>
    </row>
    <row r="24" spans="1:17" ht="15" x14ac:dyDescent="0.2">
      <c r="A24" s="343" t="s">
        <v>189</v>
      </c>
      <c r="B24" s="353" t="s">
        <v>194</v>
      </c>
      <c r="C24" s="354">
        <f t="shared" si="0"/>
        <v>32500</v>
      </c>
      <c r="D24" s="354">
        <f t="shared" si="1"/>
        <v>2500</v>
      </c>
      <c r="E24" s="354">
        <v>0</v>
      </c>
      <c r="F24" s="354">
        <v>0</v>
      </c>
      <c r="G24" s="354">
        <v>0</v>
      </c>
      <c r="H24" s="354">
        <v>0</v>
      </c>
      <c r="I24" s="354">
        <v>0</v>
      </c>
      <c r="J24" s="354">
        <v>0</v>
      </c>
      <c r="K24" s="354">
        <v>0</v>
      </c>
      <c r="L24" s="354">
        <v>0</v>
      </c>
      <c r="M24" s="354">
        <v>0</v>
      </c>
      <c r="N24" s="354">
        <v>0</v>
      </c>
      <c r="O24" s="354">
        <v>0</v>
      </c>
      <c r="P24" s="354">
        <v>32500</v>
      </c>
      <c r="Q24" s="354">
        <v>0</v>
      </c>
    </row>
    <row r="25" spans="1:17" ht="15" x14ac:dyDescent="0.2">
      <c r="A25" s="343" t="s">
        <v>189</v>
      </c>
      <c r="B25" s="353" t="s">
        <v>195</v>
      </c>
      <c r="C25" s="354">
        <f t="shared" si="0"/>
        <v>949908</v>
      </c>
      <c r="D25" s="354">
        <f t="shared" si="1"/>
        <v>73069.846153846156</v>
      </c>
      <c r="E25" s="354">
        <v>0</v>
      </c>
      <c r="F25" s="354">
        <v>52400</v>
      </c>
      <c r="G25" s="354">
        <v>81670</v>
      </c>
      <c r="H25" s="354">
        <v>41200</v>
      </c>
      <c r="I25" s="354">
        <v>102433</v>
      </c>
      <c r="J25" s="354">
        <v>83333</v>
      </c>
      <c r="K25" s="354">
        <v>150833</v>
      </c>
      <c r="L25" s="354">
        <v>83333</v>
      </c>
      <c r="M25" s="354">
        <v>101933</v>
      </c>
      <c r="N25" s="354">
        <v>83333</v>
      </c>
      <c r="O25" s="354">
        <v>43610</v>
      </c>
      <c r="P25" s="354">
        <v>37660</v>
      </c>
      <c r="Q25" s="354">
        <v>88170</v>
      </c>
    </row>
    <row r="26" spans="1:17" ht="15" x14ac:dyDescent="0.2">
      <c r="A26" s="343" t="s">
        <v>189</v>
      </c>
      <c r="B26" s="353" t="s">
        <v>196</v>
      </c>
      <c r="C26" s="354">
        <f t="shared" si="0"/>
        <v>5266511</v>
      </c>
      <c r="D26" s="354">
        <f t="shared" si="1"/>
        <v>405116.23076923075</v>
      </c>
      <c r="E26" s="354">
        <v>0</v>
      </c>
      <c r="F26" s="354">
        <v>517390</v>
      </c>
      <c r="G26" s="354">
        <v>562764</v>
      </c>
      <c r="H26" s="354">
        <v>384580</v>
      </c>
      <c r="I26" s="354">
        <v>657570</v>
      </c>
      <c r="J26" s="354">
        <v>562880</v>
      </c>
      <c r="K26" s="354">
        <v>406777</v>
      </c>
      <c r="L26" s="354">
        <v>664860</v>
      </c>
      <c r="M26" s="354">
        <v>238890</v>
      </c>
      <c r="N26" s="354">
        <v>248160</v>
      </c>
      <c r="O26" s="354">
        <v>611080</v>
      </c>
      <c r="P26" s="354">
        <v>180400</v>
      </c>
      <c r="Q26" s="354">
        <v>231160</v>
      </c>
    </row>
    <row r="27" spans="1:17" ht="15" x14ac:dyDescent="0.2">
      <c r="A27" s="343" t="s">
        <v>189</v>
      </c>
      <c r="B27" s="353" t="s">
        <v>197</v>
      </c>
      <c r="C27" s="354">
        <f t="shared" si="0"/>
        <v>149900</v>
      </c>
      <c r="D27" s="354">
        <f t="shared" si="1"/>
        <v>11530.76923076923</v>
      </c>
      <c r="E27" s="354">
        <v>0</v>
      </c>
      <c r="F27" s="354">
        <v>0</v>
      </c>
      <c r="G27" s="354">
        <v>0</v>
      </c>
      <c r="H27" s="354">
        <v>0</v>
      </c>
      <c r="I27" s="354">
        <v>28500</v>
      </c>
      <c r="J27" s="354">
        <v>0</v>
      </c>
      <c r="K27" s="354">
        <v>0</v>
      </c>
      <c r="L27" s="354">
        <v>0</v>
      </c>
      <c r="M27" s="354">
        <v>0</v>
      </c>
      <c r="N27" s="354">
        <v>121400</v>
      </c>
      <c r="O27" s="354">
        <v>0</v>
      </c>
      <c r="P27" s="354">
        <v>0</v>
      </c>
      <c r="Q27" s="354">
        <v>0</v>
      </c>
    </row>
    <row r="28" spans="1:17" ht="15" x14ac:dyDescent="0.2">
      <c r="A28" s="343" t="s">
        <v>189</v>
      </c>
      <c r="B28" s="353" t="s">
        <v>198</v>
      </c>
      <c r="C28" s="354">
        <f t="shared" si="0"/>
        <v>10859323</v>
      </c>
      <c r="D28" s="354">
        <f t="shared" si="1"/>
        <v>835332.5384615385</v>
      </c>
      <c r="E28" s="354">
        <v>198963</v>
      </c>
      <c r="F28" s="354">
        <v>1064704</v>
      </c>
      <c r="G28" s="354">
        <v>534182</v>
      </c>
      <c r="H28" s="354">
        <v>619454</v>
      </c>
      <c r="I28" s="354">
        <v>814865</v>
      </c>
      <c r="J28" s="354">
        <v>586715</v>
      </c>
      <c r="K28" s="354">
        <v>951826</v>
      </c>
      <c r="L28" s="354">
        <v>1051308</v>
      </c>
      <c r="M28" s="354">
        <v>1223049</v>
      </c>
      <c r="N28" s="354">
        <v>824610</v>
      </c>
      <c r="O28" s="354">
        <v>1109662</v>
      </c>
      <c r="P28" s="354">
        <v>717950</v>
      </c>
      <c r="Q28" s="354">
        <v>1162035</v>
      </c>
    </row>
    <row r="29" spans="1:17" ht="15" x14ac:dyDescent="0.2">
      <c r="A29" s="343" t="s">
        <v>189</v>
      </c>
      <c r="B29" s="353" t="s">
        <v>199</v>
      </c>
      <c r="C29" s="354">
        <f t="shared" si="0"/>
        <v>492054</v>
      </c>
      <c r="D29" s="354">
        <f t="shared" si="1"/>
        <v>37850.307692307695</v>
      </c>
      <c r="E29" s="354">
        <v>0</v>
      </c>
      <c r="F29" s="354">
        <v>0</v>
      </c>
      <c r="G29" s="354">
        <v>0</v>
      </c>
      <c r="H29" s="354">
        <v>42000</v>
      </c>
      <c r="I29" s="354">
        <v>0</v>
      </c>
      <c r="J29" s="354">
        <v>0</v>
      </c>
      <c r="K29" s="354">
        <v>28500</v>
      </c>
      <c r="L29" s="354">
        <v>126254</v>
      </c>
      <c r="M29" s="354">
        <v>3000</v>
      </c>
      <c r="N29" s="354">
        <v>61400</v>
      </c>
      <c r="O29" s="354">
        <v>10000</v>
      </c>
      <c r="P29" s="354">
        <v>220900</v>
      </c>
      <c r="Q29" s="354">
        <v>0</v>
      </c>
    </row>
    <row r="30" spans="1:17" ht="15" x14ac:dyDescent="0.2">
      <c r="A30" s="343" t="s">
        <v>189</v>
      </c>
      <c r="B30" s="353" t="s">
        <v>200</v>
      </c>
      <c r="C30" s="354">
        <f t="shared" si="0"/>
        <v>12192380</v>
      </c>
      <c r="D30" s="354">
        <f t="shared" si="1"/>
        <v>937875.38461538462</v>
      </c>
      <c r="E30" s="354">
        <v>95160</v>
      </c>
      <c r="F30" s="354">
        <v>796617</v>
      </c>
      <c r="G30" s="354">
        <v>5908354</v>
      </c>
      <c r="H30" s="354">
        <v>478950</v>
      </c>
      <c r="I30" s="354">
        <v>1478034</v>
      </c>
      <c r="J30" s="354">
        <v>251792</v>
      </c>
      <c r="K30" s="354">
        <v>894758</v>
      </c>
      <c r="L30" s="354">
        <v>253822</v>
      </c>
      <c r="M30" s="354">
        <v>505824</v>
      </c>
      <c r="N30" s="354">
        <v>365333</v>
      </c>
      <c r="O30" s="354">
        <v>286309</v>
      </c>
      <c r="P30" s="354">
        <v>688755</v>
      </c>
      <c r="Q30" s="354">
        <v>188672</v>
      </c>
    </row>
    <row r="31" spans="1:17" ht="15" x14ac:dyDescent="0.2">
      <c r="A31" s="343" t="s">
        <v>189</v>
      </c>
      <c r="B31" s="353" t="s">
        <v>201</v>
      </c>
      <c r="C31" s="354">
        <f t="shared" si="0"/>
        <v>1913160</v>
      </c>
      <c r="D31" s="354">
        <f t="shared" si="1"/>
        <v>147166.15384615384</v>
      </c>
      <c r="E31" s="354">
        <v>0</v>
      </c>
      <c r="F31" s="354">
        <v>111520</v>
      </c>
      <c r="G31" s="354">
        <v>268350</v>
      </c>
      <c r="H31" s="354">
        <v>132420</v>
      </c>
      <c r="I31" s="354">
        <v>434750</v>
      </c>
      <c r="J31" s="354">
        <v>116200</v>
      </c>
      <c r="K31" s="354">
        <v>57370</v>
      </c>
      <c r="L31" s="354">
        <v>105720</v>
      </c>
      <c r="M31" s="354">
        <v>110470</v>
      </c>
      <c r="N31" s="354">
        <v>30200</v>
      </c>
      <c r="O31" s="354">
        <v>265200</v>
      </c>
      <c r="P31" s="354">
        <v>235960</v>
      </c>
      <c r="Q31" s="354">
        <v>45000</v>
      </c>
    </row>
    <row r="32" spans="1:17" ht="15" x14ac:dyDescent="0.2">
      <c r="A32" s="343" t="s">
        <v>189</v>
      </c>
      <c r="B32" s="353" t="s">
        <v>202</v>
      </c>
      <c r="C32" s="354">
        <f t="shared" si="0"/>
        <v>1097940</v>
      </c>
      <c r="D32" s="354">
        <f t="shared" si="1"/>
        <v>84456.923076923078</v>
      </c>
      <c r="E32" s="354">
        <v>0</v>
      </c>
      <c r="F32" s="354">
        <v>311950</v>
      </c>
      <c r="G32" s="354">
        <v>273200</v>
      </c>
      <c r="H32" s="354">
        <v>72300</v>
      </c>
      <c r="I32" s="354">
        <v>0</v>
      </c>
      <c r="J32" s="354">
        <v>137370</v>
      </c>
      <c r="K32" s="354">
        <v>101620</v>
      </c>
      <c r="L32" s="354">
        <v>112900</v>
      </c>
      <c r="M32" s="354">
        <v>0</v>
      </c>
      <c r="N32" s="354">
        <v>29380</v>
      </c>
      <c r="O32" s="354">
        <v>22620</v>
      </c>
      <c r="P32" s="354">
        <v>36600</v>
      </c>
      <c r="Q32" s="354">
        <v>0</v>
      </c>
    </row>
    <row r="33" spans="1:17" ht="15" x14ac:dyDescent="0.2">
      <c r="A33" s="343" t="s">
        <v>187</v>
      </c>
      <c r="B33" s="353" t="s">
        <v>203</v>
      </c>
      <c r="C33" s="354">
        <f t="shared" si="0"/>
        <v>1551714</v>
      </c>
      <c r="D33" s="354">
        <f t="shared" si="1"/>
        <v>119362.61538461539</v>
      </c>
      <c r="E33" s="354">
        <v>0</v>
      </c>
      <c r="F33" s="354">
        <v>21800</v>
      </c>
      <c r="G33" s="354">
        <v>78100</v>
      </c>
      <c r="H33" s="354">
        <v>162859</v>
      </c>
      <c r="I33" s="354">
        <v>63700</v>
      </c>
      <c r="J33" s="354">
        <v>180307</v>
      </c>
      <c r="K33" s="354">
        <v>217000</v>
      </c>
      <c r="L33" s="354">
        <v>57700</v>
      </c>
      <c r="M33" s="354">
        <v>176212</v>
      </c>
      <c r="N33" s="354">
        <v>87300</v>
      </c>
      <c r="O33" s="354">
        <v>145800</v>
      </c>
      <c r="P33" s="354">
        <v>247613</v>
      </c>
      <c r="Q33" s="354">
        <v>113323</v>
      </c>
    </row>
    <row r="34" spans="1:17" ht="15" x14ac:dyDescent="0.2">
      <c r="A34" s="343" t="s">
        <v>187</v>
      </c>
      <c r="B34" s="353" t="s">
        <v>204</v>
      </c>
      <c r="C34" s="354">
        <f t="shared" si="0"/>
        <v>4826960</v>
      </c>
      <c r="D34" s="354">
        <f t="shared" si="1"/>
        <v>371304.61538461538</v>
      </c>
      <c r="E34" s="354">
        <v>0</v>
      </c>
      <c r="F34" s="354">
        <v>0</v>
      </c>
      <c r="G34" s="354">
        <v>0</v>
      </c>
      <c r="H34" s="354">
        <v>356320</v>
      </c>
      <c r="I34" s="354">
        <v>429500</v>
      </c>
      <c r="J34" s="354">
        <v>575080</v>
      </c>
      <c r="K34" s="354">
        <v>652050</v>
      </c>
      <c r="L34" s="354">
        <v>651140</v>
      </c>
      <c r="M34" s="354">
        <v>569840</v>
      </c>
      <c r="N34" s="354">
        <v>445220</v>
      </c>
      <c r="O34" s="354">
        <v>343940</v>
      </c>
      <c r="P34" s="354">
        <v>376890</v>
      </c>
      <c r="Q34" s="354">
        <v>426980</v>
      </c>
    </row>
    <row r="35" spans="1:17" ht="15" x14ac:dyDescent="0.2">
      <c r="A35" s="343" t="s">
        <v>189</v>
      </c>
      <c r="B35" s="353" t="s">
        <v>205</v>
      </c>
      <c r="C35" s="354">
        <f t="shared" si="0"/>
        <v>1877003</v>
      </c>
      <c r="D35" s="354">
        <f t="shared" si="1"/>
        <v>144384.84615384616</v>
      </c>
      <c r="E35" s="354">
        <v>0</v>
      </c>
      <c r="F35" s="354">
        <v>60800</v>
      </c>
      <c r="G35" s="354">
        <v>113145</v>
      </c>
      <c r="H35" s="354">
        <v>300660</v>
      </c>
      <c r="I35" s="354">
        <v>125000</v>
      </c>
      <c r="J35" s="354">
        <v>59850</v>
      </c>
      <c r="K35" s="354">
        <v>125066</v>
      </c>
      <c r="L35" s="354">
        <v>365366</v>
      </c>
      <c r="M35" s="354">
        <v>153136</v>
      </c>
      <c r="N35" s="354">
        <v>126000</v>
      </c>
      <c r="O35" s="354">
        <v>185200</v>
      </c>
      <c r="P35" s="354">
        <v>111350</v>
      </c>
      <c r="Q35" s="354">
        <v>151430</v>
      </c>
    </row>
    <row r="36" spans="1:17" ht="15" x14ac:dyDescent="0.2">
      <c r="A36" s="343" t="s">
        <v>189</v>
      </c>
      <c r="B36" s="353" t="s">
        <v>206</v>
      </c>
      <c r="C36" s="354">
        <f t="shared" si="0"/>
        <v>1852835</v>
      </c>
      <c r="D36" s="354">
        <f t="shared" si="1"/>
        <v>142525.76923076922</v>
      </c>
      <c r="E36" s="354">
        <v>29500</v>
      </c>
      <c r="F36" s="354">
        <v>96740</v>
      </c>
      <c r="G36" s="354">
        <v>168500</v>
      </c>
      <c r="H36" s="354">
        <v>727450</v>
      </c>
      <c r="I36" s="354">
        <v>60270</v>
      </c>
      <c r="J36" s="354">
        <v>0</v>
      </c>
      <c r="K36" s="354">
        <v>64500</v>
      </c>
      <c r="L36" s="354">
        <v>38500</v>
      </c>
      <c r="M36" s="354">
        <v>171510</v>
      </c>
      <c r="N36" s="354">
        <v>246565</v>
      </c>
      <c r="O36" s="354">
        <v>140000</v>
      </c>
      <c r="P36" s="354">
        <v>0</v>
      </c>
      <c r="Q36" s="354">
        <v>109300</v>
      </c>
    </row>
    <row r="37" spans="1:17" ht="15" x14ac:dyDescent="0.2">
      <c r="A37" s="343" t="s">
        <v>189</v>
      </c>
      <c r="B37" s="353" t="s">
        <v>185</v>
      </c>
      <c r="C37" s="354">
        <f t="shared" si="0"/>
        <v>0</v>
      </c>
      <c r="D37" s="354">
        <f t="shared" si="1"/>
        <v>0</v>
      </c>
      <c r="E37" s="354">
        <v>0</v>
      </c>
      <c r="F37" s="354">
        <v>0</v>
      </c>
      <c r="G37" s="354">
        <v>0</v>
      </c>
      <c r="H37" s="354">
        <v>0</v>
      </c>
      <c r="I37" s="354">
        <v>0</v>
      </c>
      <c r="J37" s="354">
        <v>0</v>
      </c>
      <c r="K37" s="354">
        <v>0</v>
      </c>
      <c r="L37" s="354">
        <v>0</v>
      </c>
      <c r="M37" s="354">
        <v>0</v>
      </c>
      <c r="N37" s="354">
        <v>0</v>
      </c>
      <c r="O37" s="354">
        <v>0</v>
      </c>
      <c r="P37" s="354">
        <v>0</v>
      </c>
      <c r="Q37" s="354">
        <v>0</v>
      </c>
    </row>
    <row r="38" spans="1:17" ht="15.75" thickBot="1" x14ac:dyDescent="0.3">
      <c r="B38" s="355" t="s">
        <v>207</v>
      </c>
      <c r="C38" s="356">
        <f t="shared" si="0"/>
        <v>194620682</v>
      </c>
      <c r="D38" s="356">
        <f t="shared" si="1"/>
        <v>14970821.692307692</v>
      </c>
      <c r="E38" s="356">
        <f t="shared" ref="E38:Q38" si="3">SUM(E19:E37)</f>
        <v>1084003</v>
      </c>
      <c r="F38" s="356">
        <f t="shared" si="3"/>
        <v>5102523</v>
      </c>
      <c r="G38" s="356">
        <f t="shared" si="3"/>
        <v>130315436</v>
      </c>
      <c r="H38" s="356">
        <f t="shared" si="3"/>
        <v>5937755</v>
      </c>
      <c r="I38" s="356">
        <f t="shared" si="3"/>
        <v>6397071</v>
      </c>
      <c r="J38" s="356">
        <f t="shared" si="3"/>
        <v>4881721</v>
      </c>
      <c r="K38" s="356">
        <f t="shared" si="3"/>
        <v>6696012</v>
      </c>
      <c r="L38" s="356">
        <f t="shared" si="3"/>
        <v>6337284</v>
      </c>
      <c r="M38" s="356">
        <f t="shared" si="3"/>
        <v>6105024</v>
      </c>
      <c r="N38" s="356">
        <f t="shared" si="3"/>
        <v>5334209</v>
      </c>
      <c r="O38" s="356">
        <f t="shared" si="3"/>
        <v>6030940</v>
      </c>
      <c r="P38" s="356">
        <f t="shared" si="3"/>
        <v>5754537</v>
      </c>
      <c r="Q38" s="356">
        <f t="shared" si="3"/>
        <v>4644167</v>
      </c>
    </row>
    <row r="39" spans="1:17" ht="15.75" thickBot="1" x14ac:dyDescent="0.3">
      <c r="B39" s="357" t="s">
        <v>208</v>
      </c>
      <c r="C39" s="358">
        <f t="shared" si="0"/>
        <v>-102872973</v>
      </c>
      <c r="D39" s="358">
        <f t="shared" si="1"/>
        <v>-7913305.615384615</v>
      </c>
      <c r="E39" s="358">
        <f t="shared" ref="E39:Q39" si="4">E18-E38</f>
        <v>-1084003</v>
      </c>
      <c r="F39" s="358">
        <f t="shared" si="4"/>
        <v>5286</v>
      </c>
      <c r="G39" s="358">
        <f t="shared" si="4"/>
        <v>-124371456</v>
      </c>
      <c r="H39" s="358">
        <f t="shared" si="4"/>
        <v>4646886</v>
      </c>
      <c r="I39" s="358">
        <f t="shared" si="4"/>
        <v>-499713</v>
      </c>
      <c r="J39" s="358">
        <f t="shared" si="4"/>
        <v>4747992</v>
      </c>
      <c r="K39" s="358">
        <f t="shared" si="4"/>
        <v>-826632</v>
      </c>
      <c r="L39" s="358">
        <f t="shared" si="4"/>
        <v>6314991</v>
      </c>
      <c r="M39" s="358">
        <f t="shared" si="4"/>
        <v>-49320</v>
      </c>
      <c r="N39" s="358">
        <f t="shared" si="4"/>
        <v>1862773</v>
      </c>
      <c r="O39" s="358">
        <f t="shared" si="4"/>
        <v>21329</v>
      </c>
      <c r="P39" s="358">
        <f t="shared" si="4"/>
        <v>2657328</v>
      </c>
      <c r="Q39" s="358">
        <f t="shared" si="4"/>
        <v>3701566</v>
      </c>
    </row>
    <row r="42" spans="1:17" ht="18" x14ac:dyDescent="0.2">
      <c r="B42" s="342" t="s">
        <v>209</v>
      </c>
    </row>
    <row r="43" spans="1:17" ht="15" thickBot="1" x14ac:dyDescent="0.25">
      <c r="B43" s="343" t="s">
        <v>210</v>
      </c>
    </row>
    <row r="44" spans="1:17" ht="15" x14ac:dyDescent="0.2">
      <c r="B44" s="359" t="s">
        <v>211</v>
      </c>
      <c r="C44" s="359"/>
      <c r="D44" s="359"/>
      <c r="E44" s="359"/>
      <c r="F44" s="360" t="s">
        <v>212</v>
      </c>
      <c r="G44" s="360"/>
      <c r="H44" s="360"/>
      <c r="I44" s="360"/>
    </row>
    <row r="45" spans="1:17" ht="15" x14ac:dyDescent="0.2">
      <c r="B45" s="361" t="s">
        <v>164</v>
      </c>
      <c r="C45" s="362" t="s">
        <v>213</v>
      </c>
      <c r="D45" s="362"/>
      <c r="E45" s="363" t="s">
        <v>214</v>
      </c>
      <c r="F45" s="363" t="s">
        <v>164</v>
      </c>
      <c r="G45" s="362" t="s">
        <v>213</v>
      </c>
      <c r="H45" s="362"/>
      <c r="I45" s="363" t="s">
        <v>214</v>
      </c>
    </row>
    <row r="46" spans="1:17" x14ac:dyDescent="0.2">
      <c r="B46" s="364" t="s">
        <v>215</v>
      </c>
      <c r="C46" s="365" t="s">
        <v>216</v>
      </c>
      <c r="D46" s="365"/>
      <c r="E46" s="366">
        <v>0</v>
      </c>
      <c r="F46" s="367" t="s">
        <v>217</v>
      </c>
      <c r="G46" s="365" t="s">
        <v>218</v>
      </c>
      <c r="H46" s="365"/>
      <c r="I46" s="368">
        <v>121685737</v>
      </c>
    </row>
    <row r="47" spans="1:17" x14ac:dyDescent="0.2">
      <c r="B47" s="364"/>
      <c r="C47" s="365" t="s">
        <v>219</v>
      </c>
      <c r="D47" s="365"/>
      <c r="E47" s="366">
        <v>0</v>
      </c>
      <c r="F47" s="367"/>
      <c r="G47" s="365" t="s">
        <v>220</v>
      </c>
      <c r="H47" s="365"/>
      <c r="I47" s="368">
        <v>207103001</v>
      </c>
    </row>
    <row r="48" spans="1:17" x14ac:dyDescent="0.2">
      <c r="B48" s="364"/>
      <c r="C48" s="365" t="s">
        <v>221</v>
      </c>
      <c r="D48" s="365"/>
      <c r="E48" s="366">
        <v>1</v>
      </c>
      <c r="F48" s="367"/>
      <c r="G48" s="365" t="s">
        <v>218</v>
      </c>
      <c r="H48" s="365"/>
      <c r="I48" s="368">
        <v>1726305</v>
      </c>
    </row>
    <row r="49" spans="2:9" x14ac:dyDescent="0.2">
      <c r="B49" s="364"/>
      <c r="C49" s="365" t="s">
        <v>222</v>
      </c>
      <c r="D49" s="365"/>
      <c r="E49" s="366">
        <v>0</v>
      </c>
      <c r="F49" s="367"/>
      <c r="G49" s="365" t="s">
        <v>223</v>
      </c>
      <c r="H49" s="365"/>
      <c r="I49" s="368">
        <v>5448520</v>
      </c>
    </row>
    <row r="50" spans="2:9" x14ac:dyDescent="0.2">
      <c r="B50" s="364"/>
      <c r="C50" s="365" t="s">
        <v>224</v>
      </c>
      <c r="D50" s="365"/>
      <c r="E50" s="366">
        <v>-121685737</v>
      </c>
      <c r="F50" s="367"/>
      <c r="G50" s="365" t="s">
        <v>225</v>
      </c>
      <c r="H50" s="365"/>
      <c r="I50" s="368">
        <v>5441312</v>
      </c>
    </row>
    <row r="51" spans="2:9" x14ac:dyDescent="0.2">
      <c r="B51" s="364"/>
      <c r="C51" s="365" t="s">
        <v>226</v>
      </c>
      <c r="D51" s="365"/>
      <c r="E51" s="366">
        <v>-1726305</v>
      </c>
      <c r="F51" s="367"/>
      <c r="G51" s="365" t="s">
        <v>227</v>
      </c>
      <c r="H51" s="365"/>
      <c r="I51" s="368">
        <v>5198750</v>
      </c>
    </row>
    <row r="52" spans="2:9" x14ac:dyDescent="0.2">
      <c r="B52" s="364"/>
      <c r="C52" s="365" t="s">
        <v>228</v>
      </c>
      <c r="D52" s="365"/>
      <c r="E52" s="366">
        <v>86</v>
      </c>
      <c r="F52" s="367"/>
      <c r="G52" s="365" t="s">
        <v>229</v>
      </c>
      <c r="H52" s="365"/>
      <c r="I52" s="368">
        <v>5129730</v>
      </c>
    </row>
    <row r="53" spans="2:9" x14ac:dyDescent="0.2">
      <c r="B53" s="364"/>
      <c r="C53" s="365" t="s">
        <v>230</v>
      </c>
      <c r="D53" s="365"/>
      <c r="E53" s="366">
        <v>0</v>
      </c>
      <c r="F53" s="369"/>
      <c r="G53" s="365"/>
      <c r="H53" s="365"/>
      <c r="I53" s="370"/>
    </row>
    <row r="54" spans="2:9" x14ac:dyDescent="0.2">
      <c r="B54" s="364"/>
      <c r="C54" s="365" t="s">
        <v>231</v>
      </c>
      <c r="D54" s="365"/>
      <c r="E54" s="366">
        <v>558</v>
      </c>
      <c r="F54" s="369"/>
      <c r="G54" s="365"/>
      <c r="H54" s="365"/>
      <c r="I54" s="370"/>
    </row>
    <row r="55" spans="2:9" x14ac:dyDescent="0.2">
      <c r="B55" s="364"/>
      <c r="C55" s="365" t="s">
        <v>231</v>
      </c>
      <c r="D55" s="365"/>
      <c r="E55" s="366">
        <v>270000</v>
      </c>
      <c r="F55" s="369"/>
      <c r="G55" s="365"/>
      <c r="H55" s="365"/>
      <c r="I55" s="370"/>
    </row>
    <row r="56" spans="2:9" x14ac:dyDescent="0.2">
      <c r="B56" s="364"/>
      <c r="C56" s="365" t="s">
        <v>232</v>
      </c>
      <c r="D56" s="365"/>
      <c r="E56" s="366">
        <v>0</v>
      </c>
      <c r="F56" s="369"/>
      <c r="G56" s="365"/>
      <c r="H56" s="365"/>
      <c r="I56" s="370"/>
    </row>
    <row r="57" spans="2:9" ht="15" x14ac:dyDescent="0.2">
      <c r="B57" s="371" t="s">
        <v>233</v>
      </c>
      <c r="C57" s="365"/>
      <c r="D57" s="365"/>
      <c r="E57" s="366"/>
      <c r="F57" s="369"/>
      <c r="G57" s="365"/>
      <c r="H57" s="365"/>
      <c r="I57" s="370"/>
    </row>
    <row r="58" spans="2:9" ht="15" x14ac:dyDescent="0.2">
      <c r="B58" s="371" t="s">
        <v>234</v>
      </c>
      <c r="C58" s="365" t="s">
        <v>235</v>
      </c>
      <c r="D58" s="365"/>
      <c r="E58" s="366">
        <v>0</v>
      </c>
      <c r="F58" s="369"/>
      <c r="G58" s="365"/>
      <c r="H58" s="365"/>
      <c r="I58" s="370"/>
    </row>
    <row r="59" spans="2:9" ht="15" x14ac:dyDescent="0.2">
      <c r="B59" s="371" t="s">
        <v>236</v>
      </c>
      <c r="C59" s="365"/>
      <c r="D59" s="365"/>
      <c r="E59" s="366"/>
      <c r="F59" s="369"/>
      <c r="G59" s="365"/>
      <c r="H59" s="365"/>
      <c r="I59" s="370"/>
    </row>
    <row r="60" spans="2:9" x14ac:dyDescent="0.2">
      <c r="B60" s="364" t="s">
        <v>237</v>
      </c>
      <c r="C60" s="365" t="s">
        <v>238</v>
      </c>
      <c r="D60" s="365"/>
      <c r="E60" s="366">
        <v>8920</v>
      </c>
      <c r="F60" s="369"/>
      <c r="G60" s="365"/>
      <c r="H60" s="365"/>
      <c r="I60" s="370"/>
    </row>
    <row r="61" spans="2:9" x14ac:dyDescent="0.2">
      <c r="B61" s="364"/>
      <c r="C61" s="365" t="s">
        <v>239</v>
      </c>
      <c r="D61" s="365"/>
      <c r="E61" s="366">
        <v>0</v>
      </c>
      <c r="F61" s="369"/>
      <c r="G61" s="365"/>
      <c r="H61" s="365"/>
      <c r="I61" s="370"/>
    </row>
    <row r="62" spans="2:9" x14ac:dyDescent="0.2">
      <c r="B62" s="364"/>
      <c r="C62" s="365" t="s">
        <v>240</v>
      </c>
      <c r="D62" s="365"/>
      <c r="E62" s="366">
        <v>135</v>
      </c>
      <c r="F62" s="369"/>
      <c r="G62" s="365"/>
      <c r="H62" s="365"/>
      <c r="I62" s="370"/>
    </row>
    <row r="63" spans="2:9" x14ac:dyDescent="0.2">
      <c r="B63" s="364" t="s">
        <v>241</v>
      </c>
      <c r="C63" s="365" t="s">
        <v>242</v>
      </c>
      <c r="D63" s="365"/>
      <c r="E63" s="366">
        <v>1277</v>
      </c>
      <c r="F63" s="369"/>
      <c r="G63" s="365"/>
      <c r="H63" s="365"/>
      <c r="I63" s="370"/>
    </row>
    <row r="64" spans="2:9" x14ac:dyDescent="0.2">
      <c r="B64" s="364"/>
      <c r="C64" s="365" t="s">
        <v>243</v>
      </c>
      <c r="D64" s="365"/>
      <c r="E64" s="366">
        <v>237088.128</v>
      </c>
      <c r="F64" s="369"/>
      <c r="G64" s="365"/>
      <c r="H64" s="365"/>
      <c r="I64" s="370"/>
    </row>
    <row r="65" spans="2:9" x14ac:dyDescent="0.2">
      <c r="B65" s="364"/>
      <c r="C65" s="365" t="s">
        <v>244</v>
      </c>
      <c r="D65" s="365"/>
      <c r="E65" s="366">
        <v>5600</v>
      </c>
      <c r="F65" s="369"/>
      <c r="G65" s="365"/>
      <c r="H65" s="365"/>
      <c r="I65" s="370"/>
    </row>
    <row r="66" spans="2:9" x14ac:dyDescent="0.2">
      <c r="B66" s="364"/>
      <c r="C66" s="365" t="s">
        <v>245</v>
      </c>
      <c r="D66" s="365"/>
      <c r="E66" s="366">
        <v>656005</v>
      </c>
      <c r="F66" s="369"/>
      <c r="G66" s="365"/>
      <c r="H66" s="365"/>
      <c r="I66" s="370"/>
    </row>
    <row r="67" spans="2:9" x14ac:dyDescent="0.2">
      <c r="B67" s="364"/>
      <c r="C67" s="365" t="s">
        <v>246</v>
      </c>
      <c r="D67" s="365"/>
      <c r="E67" s="366">
        <v>463900</v>
      </c>
      <c r="F67" s="369"/>
      <c r="G67" s="365"/>
      <c r="H67" s="365"/>
      <c r="I67" s="370"/>
    </row>
    <row r="68" spans="2:9" x14ac:dyDescent="0.2">
      <c r="B68" s="364"/>
      <c r="C68" s="365" t="s">
        <v>247</v>
      </c>
      <c r="D68" s="365"/>
      <c r="E68" s="366">
        <v>82650</v>
      </c>
      <c r="F68" s="369"/>
      <c r="G68" s="365"/>
      <c r="H68" s="365"/>
      <c r="I68" s="370"/>
    </row>
    <row r="69" spans="2:9" x14ac:dyDescent="0.2">
      <c r="B69" s="364"/>
      <c r="C69" s="365" t="s">
        <v>248</v>
      </c>
      <c r="D69" s="365"/>
      <c r="E69" s="366">
        <v>17211902.316</v>
      </c>
      <c r="F69" s="369"/>
      <c r="G69" s="365"/>
      <c r="H69" s="365"/>
      <c r="I69" s="370"/>
    </row>
    <row r="70" spans="2:9" x14ac:dyDescent="0.2">
      <c r="B70" s="364"/>
      <c r="C70" s="365" t="s">
        <v>248</v>
      </c>
      <c r="D70" s="365"/>
      <c r="E70" s="366">
        <v>10690304.856000001</v>
      </c>
      <c r="F70" s="369"/>
      <c r="G70" s="365"/>
      <c r="H70" s="365"/>
      <c r="I70" s="370"/>
    </row>
    <row r="71" spans="2:9" x14ac:dyDescent="0.2">
      <c r="B71" s="364"/>
      <c r="C71" s="365" t="s">
        <v>249</v>
      </c>
      <c r="D71" s="365"/>
      <c r="E71" s="366">
        <v>8398229.7599999998</v>
      </c>
      <c r="F71" s="369"/>
      <c r="G71" s="365"/>
      <c r="H71" s="365"/>
      <c r="I71" s="370"/>
    </row>
    <row r="72" spans="2:9" x14ac:dyDescent="0.2">
      <c r="B72" s="364"/>
      <c r="C72" s="365" t="s">
        <v>250</v>
      </c>
      <c r="D72" s="365"/>
      <c r="E72" s="366">
        <v>6118643</v>
      </c>
      <c r="F72" s="369"/>
      <c r="G72" s="365"/>
      <c r="H72" s="365"/>
      <c r="I72" s="370"/>
    </row>
    <row r="73" spans="2:9" x14ac:dyDescent="0.2">
      <c r="B73" s="364"/>
      <c r="C73" s="365" t="s">
        <v>251</v>
      </c>
      <c r="D73" s="365"/>
      <c r="E73" s="366">
        <v>3455070.3840000001</v>
      </c>
      <c r="F73" s="369"/>
      <c r="G73" s="365"/>
      <c r="H73" s="365"/>
      <c r="I73" s="370"/>
    </row>
    <row r="74" spans="2:9" x14ac:dyDescent="0.2">
      <c r="B74" s="364"/>
      <c r="C74" s="365" t="s">
        <v>252</v>
      </c>
      <c r="D74" s="365"/>
      <c r="E74" s="366">
        <v>2954000</v>
      </c>
      <c r="F74" s="369"/>
      <c r="G74" s="365"/>
      <c r="H74" s="365"/>
      <c r="I74" s="370"/>
    </row>
    <row r="75" spans="2:9" x14ac:dyDescent="0.2">
      <c r="B75" s="364"/>
      <c r="C75" s="365" t="s">
        <v>253</v>
      </c>
      <c r="D75" s="365"/>
      <c r="E75" s="366">
        <v>1326000</v>
      </c>
      <c r="F75" s="369"/>
      <c r="G75" s="365"/>
      <c r="H75" s="365"/>
      <c r="I75" s="370"/>
    </row>
    <row r="76" spans="2:9" x14ac:dyDescent="0.2">
      <c r="B76" s="364"/>
      <c r="C76" s="365" t="s">
        <v>250</v>
      </c>
      <c r="D76" s="365"/>
      <c r="E76" s="366">
        <v>478019</v>
      </c>
      <c r="F76" s="369"/>
      <c r="G76" s="365"/>
      <c r="H76" s="365"/>
      <c r="I76" s="370"/>
    </row>
    <row r="77" spans="2:9" x14ac:dyDescent="0.2">
      <c r="B77" s="364"/>
      <c r="C77" s="365" t="s">
        <v>254</v>
      </c>
      <c r="D77" s="365"/>
      <c r="E77" s="366">
        <v>431.5446432</v>
      </c>
      <c r="F77" s="369"/>
      <c r="G77" s="365"/>
      <c r="H77" s="365"/>
      <c r="I77" s="370"/>
    </row>
    <row r="78" spans="2:9" x14ac:dyDescent="0.2">
      <c r="B78" s="364"/>
      <c r="C78" s="365" t="s">
        <v>255</v>
      </c>
      <c r="D78" s="365"/>
      <c r="E78" s="366">
        <v>0</v>
      </c>
      <c r="F78" s="369"/>
      <c r="G78" s="365"/>
      <c r="H78" s="365"/>
      <c r="I78" s="370"/>
    </row>
    <row r="79" spans="2:9" x14ac:dyDescent="0.2">
      <c r="B79" s="364"/>
      <c r="C79" s="365" t="s">
        <v>256</v>
      </c>
      <c r="D79" s="365"/>
      <c r="E79" s="366">
        <v>0</v>
      </c>
      <c r="F79" s="369"/>
      <c r="G79" s="365"/>
      <c r="H79" s="365"/>
      <c r="I79" s="370"/>
    </row>
    <row r="80" spans="2:9" x14ac:dyDescent="0.2">
      <c r="B80" s="364"/>
      <c r="C80" s="365" t="s">
        <v>256</v>
      </c>
      <c r="D80" s="365"/>
      <c r="E80" s="366">
        <v>950</v>
      </c>
      <c r="F80" s="369"/>
      <c r="G80" s="365"/>
      <c r="H80" s="365"/>
      <c r="I80" s="370"/>
    </row>
    <row r="81" spans="2:9" x14ac:dyDescent="0.2">
      <c r="B81" s="364"/>
      <c r="C81" s="365" t="s">
        <v>256</v>
      </c>
      <c r="D81" s="365"/>
      <c r="E81" s="366">
        <v>1</v>
      </c>
      <c r="F81" s="369"/>
      <c r="G81" s="365"/>
      <c r="H81" s="365"/>
      <c r="I81" s="370"/>
    </row>
    <row r="82" spans="2:9" x14ac:dyDescent="0.2">
      <c r="B82" s="364"/>
      <c r="C82" s="365" t="s">
        <v>257</v>
      </c>
      <c r="D82" s="365"/>
      <c r="E82" s="366">
        <v>0</v>
      </c>
      <c r="F82" s="369"/>
      <c r="G82" s="365"/>
      <c r="H82" s="365"/>
      <c r="I82" s="370"/>
    </row>
    <row r="83" spans="2:9" x14ac:dyDescent="0.2">
      <c r="B83" s="364"/>
      <c r="C83" s="365" t="s">
        <v>258</v>
      </c>
      <c r="D83" s="365"/>
      <c r="E83" s="366">
        <v>1</v>
      </c>
      <c r="F83" s="369"/>
      <c r="G83" s="365"/>
      <c r="H83" s="365"/>
      <c r="I83" s="370"/>
    </row>
    <row r="84" spans="2:9" x14ac:dyDescent="0.2">
      <c r="B84" s="364"/>
      <c r="C84" s="365" t="s">
        <v>259</v>
      </c>
      <c r="D84" s="365"/>
      <c r="E84" s="366">
        <v>7657.4560000000001</v>
      </c>
      <c r="F84" s="369"/>
      <c r="G84" s="365"/>
      <c r="H84" s="365"/>
      <c r="I84" s="370"/>
    </row>
    <row r="85" spans="2:9" x14ac:dyDescent="0.2">
      <c r="B85" s="364"/>
      <c r="C85" s="365" t="s">
        <v>260</v>
      </c>
      <c r="D85" s="365"/>
      <c r="E85" s="366">
        <v>0</v>
      </c>
      <c r="F85" s="369"/>
      <c r="G85" s="365"/>
      <c r="H85" s="365"/>
      <c r="I85" s="370"/>
    </row>
    <row r="86" spans="2:9" x14ac:dyDescent="0.2">
      <c r="B86" s="364"/>
      <c r="C86" s="365" t="s">
        <v>261</v>
      </c>
      <c r="D86" s="365"/>
      <c r="E86" s="366">
        <v>1</v>
      </c>
      <c r="F86" s="369"/>
      <c r="G86" s="365"/>
      <c r="H86" s="365"/>
      <c r="I86" s="370"/>
    </row>
    <row r="87" spans="2:9" x14ac:dyDescent="0.2">
      <c r="B87" s="364"/>
      <c r="C87" s="365" t="s">
        <v>262</v>
      </c>
      <c r="D87" s="365"/>
      <c r="E87" s="366">
        <v>1</v>
      </c>
      <c r="F87" s="369"/>
      <c r="G87" s="365"/>
      <c r="H87" s="365"/>
      <c r="I87" s="370"/>
    </row>
    <row r="88" spans="2:9" x14ac:dyDescent="0.2">
      <c r="B88" s="364"/>
      <c r="C88" s="365" t="s">
        <v>263</v>
      </c>
      <c r="D88" s="365"/>
      <c r="E88" s="366">
        <v>0</v>
      </c>
      <c r="F88" s="369"/>
      <c r="G88" s="365"/>
      <c r="H88" s="365"/>
      <c r="I88" s="370"/>
    </row>
    <row r="89" spans="2:9" x14ac:dyDescent="0.2">
      <c r="B89" s="364"/>
      <c r="C89" s="365" t="s">
        <v>258</v>
      </c>
      <c r="D89" s="365"/>
      <c r="E89" s="366">
        <v>1</v>
      </c>
      <c r="F89" s="369"/>
      <c r="G89" s="365"/>
      <c r="H89" s="365"/>
      <c r="I89" s="370"/>
    </row>
    <row r="90" spans="2:9" x14ac:dyDescent="0.2">
      <c r="B90" s="364"/>
      <c r="C90" s="365" t="s">
        <v>264</v>
      </c>
      <c r="D90" s="365"/>
      <c r="E90" s="366">
        <v>21215</v>
      </c>
      <c r="F90" s="369"/>
      <c r="G90" s="365"/>
      <c r="H90" s="365"/>
      <c r="I90" s="370"/>
    </row>
    <row r="91" spans="2:9" x14ac:dyDescent="0.2">
      <c r="B91" s="364"/>
      <c r="C91" s="365" t="s">
        <v>265</v>
      </c>
      <c r="D91" s="365"/>
      <c r="E91" s="366">
        <v>1</v>
      </c>
      <c r="F91" s="369"/>
      <c r="G91" s="365"/>
      <c r="H91" s="365"/>
      <c r="I91" s="370"/>
    </row>
    <row r="92" spans="2:9" x14ac:dyDescent="0.2">
      <c r="B92" s="364"/>
      <c r="C92" s="365" t="s">
        <v>266</v>
      </c>
      <c r="D92" s="365"/>
      <c r="E92" s="366">
        <v>45498</v>
      </c>
      <c r="F92" s="369"/>
      <c r="G92" s="365"/>
      <c r="H92" s="365"/>
      <c r="I92" s="370"/>
    </row>
    <row r="93" spans="2:9" x14ac:dyDescent="0.2">
      <c r="B93" s="364"/>
      <c r="C93" s="365" t="s">
        <v>267</v>
      </c>
      <c r="D93" s="365"/>
      <c r="E93" s="366">
        <v>0</v>
      </c>
      <c r="F93" s="369"/>
      <c r="G93" s="365"/>
      <c r="H93" s="365"/>
      <c r="I93" s="370"/>
    </row>
    <row r="94" spans="2:9" x14ac:dyDescent="0.2">
      <c r="B94" s="364"/>
      <c r="C94" s="365" t="s">
        <v>268</v>
      </c>
      <c r="D94" s="365"/>
      <c r="E94" s="366">
        <v>3000</v>
      </c>
      <c r="F94" s="369"/>
      <c r="G94" s="365"/>
      <c r="H94" s="365"/>
      <c r="I94" s="370"/>
    </row>
    <row r="95" spans="2:9" x14ac:dyDescent="0.2">
      <c r="B95" s="364"/>
      <c r="C95" s="365" t="s">
        <v>269</v>
      </c>
      <c r="D95" s="365"/>
      <c r="E95" s="366">
        <v>539046.92000000004</v>
      </c>
      <c r="F95" s="369"/>
      <c r="G95" s="365"/>
      <c r="H95" s="365"/>
      <c r="I95" s="370"/>
    </row>
    <row r="96" spans="2:9" x14ac:dyDescent="0.2">
      <c r="B96" s="364"/>
      <c r="C96" s="365" t="s">
        <v>269</v>
      </c>
      <c r="D96" s="365"/>
      <c r="E96" s="366">
        <v>21702.995999999999</v>
      </c>
      <c r="F96" s="369"/>
      <c r="G96" s="365"/>
      <c r="H96" s="365"/>
      <c r="I96" s="370"/>
    </row>
    <row r="97" spans="2:9" x14ac:dyDescent="0.2">
      <c r="B97" s="364"/>
      <c r="C97" s="365" t="s">
        <v>259</v>
      </c>
      <c r="D97" s="365"/>
      <c r="E97" s="366">
        <v>12</v>
      </c>
      <c r="F97" s="369"/>
      <c r="G97" s="365"/>
      <c r="H97" s="365"/>
      <c r="I97" s="370"/>
    </row>
    <row r="98" spans="2:9" ht="15" x14ac:dyDescent="0.2">
      <c r="B98" s="371" t="s">
        <v>270</v>
      </c>
      <c r="C98" s="365" t="s">
        <v>271</v>
      </c>
      <c r="D98" s="365"/>
      <c r="E98" s="366">
        <v>770000000</v>
      </c>
      <c r="F98" s="369"/>
      <c r="G98" s="365"/>
      <c r="H98" s="365"/>
      <c r="I98" s="370"/>
    </row>
    <row r="99" spans="2:9" ht="15" x14ac:dyDescent="0.2">
      <c r="B99" s="371" t="s">
        <v>272</v>
      </c>
      <c r="C99" s="365" t="s">
        <v>273</v>
      </c>
      <c r="D99" s="365"/>
      <c r="E99" s="366">
        <v>10350000</v>
      </c>
      <c r="F99" s="369"/>
      <c r="G99" s="365"/>
      <c r="H99" s="365"/>
      <c r="I99" s="370"/>
    </row>
    <row r="100" spans="2:9" ht="15" x14ac:dyDescent="0.2">
      <c r="B100" s="371" t="s">
        <v>274</v>
      </c>
      <c r="C100" s="365"/>
      <c r="D100" s="365"/>
      <c r="E100" s="366"/>
      <c r="F100" s="369"/>
      <c r="G100" s="365"/>
      <c r="H100" s="365"/>
      <c r="I100" s="370"/>
    </row>
    <row r="101" spans="2:9" x14ac:dyDescent="0.2">
      <c r="B101" s="364" t="s">
        <v>275</v>
      </c>
      <c r="C101" s="365" t="s">
        <v>276</v>
      </c>
      <c r="D101" s="365"/>
      <c r="E101" s="366">
        <v>0</v>
      </c>
      <c r="F101" s="369"/>
      <c r="G101" s="365"/>
      <c r="H101" s="365"/>
      <c r="I101" s="370"/>
    </row>
    <row r="102" spans="2:9" x14ac:dyDescent="0.2">
      <c r="B102" s="364"/>
      <c r="C102" s="365" t="s">
        <v>277</v>
      </c>
      <c r="D102" s="365"/>
      <c r="E102" s="366">
        <v>0</v>
      </c>
      <c r="F102" s="369"/>
      <c r="G102" s="365"/>
      <c r="H102" s="365"/>
      <c r="I102" s="370"/>
    </row>
    <row r="103" spans="2:9" ht="15" x14ac:dyDescent="0.2">
      <c r="B103" s="371" t="s">
        <v>278</v>
      </c>
      <c r="C103" s="365" t="s">
        <v>279</v>
      </c>
      <c r="D103" s="365"/>
      <c r="E103" s="366">
        <v>33759638</v>
      </c>
      <c r="F103" s="369"/>
      <c r="G103" s="365"/>
      <c r="H103" s="365"/>
      <c r="I103" s="370"/>
    </row>
    <row r="104" spans="2:9" ht="15" x14ac:dyDescent="0.25">
      <c r="B104" s="372" t="s">
        <v>280</v>
      </c>
      <c r="C104" s="372"/>
      <c r="D104" s="372"/>
      <c r="E104" s="373">
        <f>SUM(E46:E103)</f>
        <v>743695505.36064327</v>
      </c>
      <c r="F104" s="374" t="s">
        <v>281</v>
      </c>
      <c r="G104" s="374"/>
      <c r="H104" s="374"/>
      <c r="I104" s="375">
        <f>SUM(I46:I103)</f>
        <v>351733355</v>
      </c>
    </row>
    <row r="105" spans="2:9" ht="15" x14ac:dyDescent="0.2">
      <c r="B105" s="376" t="s">
        <v>282</v>
      </c>
      <c r="C105" s="376"/>
      <c r="D105" s="376"/>
      <c r="E105" s="376"/>
      <c r="F105" s="376"/>
      <c r="G105" s="376"/>
      <c r="H105" s="376"/>
      <c r="I105" s="376"/>
    </row>
    <row r="106" spans="2:9" ht="15.75" thickBot="1" x14ac:dyDescent="0.25">
      <c r="B106" s="377">
        <f>E104-I104</f>
        <v>391962150.36064327</v>
      </c>
      <c r="C106" s="377"/>
      <c r="D106" s="377"/>
      <c r="E106" s="377"/>
      <c r="F106" s="377"/>
      <c r="G106" s="377"/>
      <c r="H106" s="377"/>
      <c r="I106" s="377"/>
    </row>
    <row r="109" spans="2:9" ht="18" x14ac:dyDescent="0.2">
      <c r="B109" s="342" t="s">
        <v>283</v>
      </c>
    </row>
    <row r="110" spans="2:9" ht="15" thickBot="1" x14ac:dyDescent="0.25">
      <c r="B110" s="343" t="s">
        <v>284</v>
      </c>
    </row>
    <row r="111" spans="2:9" ht="15" x14ac:dyDescent="0.2">
      <c r="B111" s="378" t="s">
        <v>285</v>
      </c>
      <c r="C111" s="379" t="s">
        <v>286</v>
      </c>
      <c r="D111" s="379"/>
      <c r="E111" s="380" t="s">
        <v>287</v>
      </c>
      <c r="F111" s="380" t="s">
        <v>288</v>
      </c>
      <c r="G111" s="380" t="s">
        <v>289</v>
      </c>
      <c r="H111" s="380" t="s">
        <v>290</v>
      </c>
    </row>
    <row r="112" spans="2:9" x14ac:dyDescent="0.2">
      <c r="B112" s="381" t="s">
        <v>291</v>
      </c>
      <c r="C112" s="382" t="s">
        <v>276</v>
      </c>
      <c r="D112" s="382"/>
      <c r="E112" s="383" t="s">
        <v>292</v>
      </c>
      <c r="F112" s="384">
        <v>476490000</v>
      </c>
      <c r="G112" s="385">
        <v>41284</v>
      </c>
      <c r="H112" s="385">
        <v>65755</v>
      </c>
    </row>
    <row r="113" spans="2:10" x14ac:dyDescent="0.2">
      <c r="B113" s="381" t="s">
        <v>293</v>
      </c>
      <c r="C113" s="382" t="s">
        <v>277</v>
      </c>
      <c r="D113" s="382"/>
      <c r="E113" s="383" t="s">
        <v>292</v>
      </c>
      <c r="F113" s="384">
        <v>851390</v>
      </c>
      <c r="G113" s="385">
        <v>45985</v>
      </c>
      <c r="H113" s="385">
        <v>46350</v>
      </c>
    </row>
    <row r="114" spans="2:10" ht="15.75" thickBot="1" x14ac:dyDescent="0.25">
      <c r="B114" s="386" t="s">
        <v>165</v>
      </c>
      <c r="C114" s="387" t="s">
        <v>294</v>
      </c>
      <c r="D114" s="387"/>
      <c r="E114" s="388" t="s">
        <v>295</v>
      </c>
      <c r="F114" s="388" t="s">
        <v>296</v>
      </c>
      <c r="G114" s="388"/>
      <c r="H114" s="389"/>
    </row>
    <row r="115" spans="2:10" ht="15.75" thickBot="1" x14ac:dyDescent="0.25">
      <c r="B115" s="386"/>
      <c r="C115" s="390" t="s">
        <v>297</v>
      </c>
      <c r="D115" s="390"/>
      <c r="E115" s="391" t="s">
        <v>298</v>
      </c>
      <c r="F115" s="392">
        <f>SUM(F112:F113)</f>
        <v>477341390</v>
      </c>
      <c r="G115" s="391"/>
      <c r="H115" s="393"/>
    </row>
    <row r="117" spans="2:10" ht="18" x14ac:dyDescent="0.2">
      <c r="B117" s="342" t="s">
        <v>299</v>
      </c>
    </row>
    <row r="118" spans="2:10" ht="15" thickBot="1" x14ac:dyDescent="0.25">
      <c r="B118" s="343" t="s">
        <v>300</v>
      </c>
    </row>
    <row r="119" spans="2:10" ht="15" x14ac:dyDescent="0.2">
      <c r="B119" s="378" t="s">
        <v>301</v>
      </c>
      <c r="C119" s="380" t="s">
        <v>285</v>
      </c>
      <c r="D119" s="379" t="s">
        <v>213</v>
      </c>
      <c r="E119" s="379"/>
      <c r="F119" s="380" t="s">
        <v>302</v>
      </c>
      <c r="G119" s="380" t="s">
        <v>5</v>
      </c>
      <c r="H119" s="380" t="s">
        <v>303</v>
      </c>
      <c r="I119" s="380" t="s">
        <v>304</v>
      </c>
      <c r="J119" s="380" t="s">
        <v>290</v>
      </c>
    </row>
    <row r="120" spans="2:10" x14ac:dyDescent="0.2">
      <c r="B120" s="381" t="s">
        <v>305</v>
      </c>
      <c r="C120" s="394" t="s">
        <v>306</v>
      </c>
      <c r="D120" s="382" t="s">
        <v>242</v>
      </c>
      <c r="E120" s="382"/>
      <c r="F120" s="384">
        <v>1058</v>
      </c>
      <c r="G120" s="384">
        <v>1277</v>
      </c>
      <c r="H120" s="395">
        <v>20.699432892249529</v>
      </c>
      <c r="I120" s="385"/>
      <c r="J120" s="385"/>
    </row>
    <row r="121" spans="2:10" x14ac:dyDescent="0.2">
      <c r="B121" s="381" t="s">
        <v>307</v>
      </c>
      <c r="C121" s="394" t="s">
        <v>308</v>
      </c>
      <c r="D121" s="382" t="s">
        <v>243</v>
      </c>
      <c r="E121" s="382"/>
      <c r="F121" s="384">
        <v>294708</v>
      </c>
      <c r="G121" s="384">
        <v>237088.128</v>
      </c>
      <c r="H121" s="395">
        <v>-19.551512683741191</v>
      </c>
      <c r="I121" s="385"/>
      <c r="J121" s="385"/>
    </row>
    <row r="122" spans="2:10" x14ac:dyDescent="0.2">
      <c r="B122" s="381" t="s">
        <v>307</v>
      </c>
      <c r="C122" s="394" t="s">
        <v>308</v>
      </c>
      <c r="D122" s="382" t="s">
        <v>244</v>
      </c>
      <c r="E122" s="382"/>
      <c r="F122" s="384">
        <v>5000</v>
      </c>
      <c r="G122" s="384">
        <v>5600</v>
      </c>
      <c r="H122" s="395">
        <v>12</v>
      </c>
      <c r="I122" s="385"/>
      <c r="J122" s="385"/>
    </row>
    <row r="123" spans="2:10" x14ac:dyDescent="0.2">
      <c r="B123" s="381" t="s">
        <v>307</v>
      </c>
      <c r="C123" s="394" t="s">
        <v>308</v>
      </c>
      <c r="D123" s="382" t="s">
        <v>245</v>
      </c>
      <c r="E123" s="382"/>
      <c r="F123" s="384">
        <v>957499</v>
      </c>
      <c r="G123" s="384">
        <v>656005</v>
      </c>
      <c r="H123" s="395">
        <v>-31.487656906169089</v>
      </c>
      <c r="I123" s="385"/>
      <c r="J123" s="385"/>
    </row>
    <row r="124" spans="2:10" x14ac:dyDescent="0.2">
      <c r="B124" s="381" t="s">
        <v>307</v>
      </c>
      <c r="C124" s="394" t="s">
        <v>308</v>
      </c>
      <c r="D124" s="382" t="s">
        <v>246</v>
      </c>
      <c r="E124" s="382"/>
      <c r="F124" s="384">
        <v>489315</v>
      </c>
      <c r="G124" s="384">
        <v>463900</v>
      </c>
      <c r="H124" s="395">
        <v>-5.1939956878493403</v>
      </c>
      <c r="I124" s="385"/>
      <c r="J124" s="385"/>
    </row>
    <row r="125" spans="2:10" x14ac:dyDescent="0.2">
      <c r="B125" s="381" t="s">
        <v>307</v>
      </c>
      <c r="C125" s="394" t="s">
        <v>308</v>
      </c>
      <c r="D125" s="382" t="s">
        <v>247</v>
      </c>
      <c r="E125" s="382"/>
      <c r="F125" s="384">
        <v>104335</v>
      </c>
      <c r="G125" s="384">
        <v>82650</v>
      </c>
      <c r="H125" s="395">
        <v>-20.784013034935541</v>
      </c>
      <c r="I125" s="385"/>
      <c r="J125" s="385"/>
    </row>
    <row r="126" spans="2:10" x14ac:dyDescent="0.2">
      <c r="B126" s="381" t="s">
        <v>307</v>
      </c>
      <c r="C126" s="394" t="s">
        <v>309</v>
      </c>
      <c r="D126" s="382" t="s">
        <v>248</v>
      </c>
      <c r="E126" s="382"/>
      <c r="F126" s="384">
        <v>48476436</v>
      </c>
      <c r="G126" s="384">
        <v>17211902.316</v>
      </c>
      <c r="H126" s="395">
        <v>-64.494290966439863</v>
      </c>
      <c r="I126" s="385"/>
      <c r="J126" s="385"/>
    </row>
    <row r="127" spans="2:10" x14ac:dyDescent="0.2">
      <c r="B127" s="381" t="s">
        <v>307</v>
      </c>
      <c r="C127" s="394" t="s">
        <v>309</v>
      </c>
      <c r="D127" s="382" t="s">
        <v>248</v>
      </c>
      <c r="E127" s="382"/>
      <c r="F127" s="384">
        <v>30287574</v>
      </c>
      <c r="G127" s="384">
        <v>10690304.856000001</v>
      </c>
      <c r="H127" s="395">
        <v>-64.703990963422825</v>
      </c>
      <c r="I127" s="385"/>
      <c r="J127" s="385"/>
    </row>
    <row r="128" spans="2:10" x14ac:dyDescent="0.2">
      <c r="B128" s="381" t="s">
        <v>307</v>
      </c>
      <c r="C128" s="394" t="s">
        <v>309</v>
      </c>
      <c r="D128" s="382" t="s">
        <v>249</v>
      </c>
      <c r="E128" s="382"/>
      <c r="F128" s="384">
        <v>29400354</v>
      </c>
      <c r="G128" s="384">
        <v>8398229.7599999998</v>
      </c>
      <c r="H128" s="395">
        <v>-71.434936599742997</v>
      </c>
      <c r="I128" s="385"/>
      <c r="J128" s="385"/>
    </row>
    <row r="129" spans="2:10" x14ac:dyDescent="0.2">
      <c r="B129" s="381" t="s">
        <v>307</v>
      </c>
      <c r="C129" s="394" t="s">
        <v>309</v>
      </c>
      <c r="D129" s="382" t="s">
        <v>250</v>
      </c>
      <c r="E129" s="382"/>
      <c r="F129" s="384">
        <v>55466138</v>
      </c>
      <c r="G129" s="384">
        <v>6118643</v>
      </c>
      <c r="H129" s="395">
        <v>-88.968687526072216</v>
      </c>
      <c r="I129" s="385"/>
      <c r="J129" s="385"/>
    </row>
    <row r="130" spans="2:10" x14ac:dyDescent="0.2">
      <c r="B130" s="381" t="s">
        <v>307</v>
      </c>
      <c r="C130" s="394" t="s">
        <v>309</v>
      </c>
      <c r="D130" s="382" t="s">
        <v>251</v>
      </c>
      <c r="E130" s="382"/>
      <c r="F130" s="384">
        <v>3966900</v>
      </c>
      <c r="G130" s="384">
        <v>3455070.3840000001</v>
      </c>
      <c r="H130" s="395">
        <v>-12.902508659154501</v>
      </c>
      <c r="I130" s="385"/>
      <c r="J130" s="385"/>
    </row>
    <row r="131" spans="2:10" x14ac:dyDescent="0.2">
      <c r="B131" s="381" t="s">
        <v>307</v>
      </c>
      <c r="C131" s="394" t="s">
        <v>309</v>
      </c>
      <c r="D131" s="382" t="s">
        <v>252</v>
      </c>
      <c r="E131" s="382"/>
      <c r="F131" s="384">
        <v>3458000</v>
      </c>
      <c r="G131" s="384">
        <v>2954000</v>
      </c>
      <c r="H131" s="395">
        <v>-14.5748987854251</v>
      </c>
      <c r="I131" s="385"/>
      <c r="J131" s="385"/>
    </row>
    <row r="132" spans="2:10" x14ac:dyDescent="0.2">
      <c r="B132" s="381" t="s">
        <v>307</v>
      </c>
      <c r="C132" s="394" t="s">
        <v>309</v>
      </c>
      <c r="D132" s="382" t="s">
        <v>253</v>
      </c>
      <c r="E132" s="382"/>
      <c r="F132" s="384">
        <v>1370499</v>
      </c>
      <c r="G132" s="384">
        <v>1326000</v>
      </c>
      <c r="H132" s="395">
        <v>-3.2469195526592869</v>
      </c>
      <c r="I132" s="385"/>
      <c r="J132" s="385"/>
    </row>
    <row r="133" spans="2:10" x14ac:dyDescent="0.2">
      <c r="B133" s="381" t="s">
        <v>307</v>
      </c>
      <c r="C133" s="394" t="s">
        <v>309</v>
      </c>
      <c r="D133" s="382" t="s">
        <v>250</v>
      </c>
      <c r="E133" s="382"/>
      <c r="F133" s="384">
        <v>3787471</v>
      </c>
      <c r="G133" s="384">
        <v>478019</v>
      </c>
      <c r="H133" s="395">
        <v>-87.378939667128805</v>
      </c>
      <c r="I133" s="385"/>
      <c r="J133" s="385"/>
    </row>
    <row r="134" spans="2:10" x14ac:dyDescent="0.2">
      <c r="B134" s="381" t="s">
        <v>307</v>
      </c>
      <c r="C134" s="394" t="s">
        <v>309</v>
      </c>
      <c r="D134" s="382" t="s">
        <v>254</v>
      </c>
      <c r="E134" s="382"/>
      <c r="F134" s="384">
        <v>579</v>
      </c>
      <c r="G134" s="384">
        <v>431.5446432</v>
      </c>
      <c r="H134" s="395">
        <v>-25.467246424870471</v>
      </c>
      <c r="I134" s="385"/>
      <c r="J134" s="385"/>
    </row>
    <row r="135" spans="2:10" ht="15.75" thickBot="1" x14ac:dyDescent="0.25">
      <c r="B135" s="396" t="s">
        <v>165</v>
      </c>
      <c r="C135" s="388"/>
      <c r="D135" s="387" t="s">
        <v>310</v>
      </c>
      <c r="E135" s="387"/>
      <c r="F135" s="388" t="s">
        <v>311</v>
      </c>
      <c r="G135" s="388" t="s">
        <v>312</v>
      </c>
      <c r="H135" s="388" t="s">
        <v>313</v>
      </c>
      <c r="I135" s="388"/>
      <c r="J135" s="389"/>
    </row>
    <row r="136" spans="2:10" ht="15.75" thickBot="1" x14ac:dyDescent="0.25">
      <c r="B136" s="396"/>
      <c r="C136" s="391"/>
      <c r="D136" s="390" t="s">
        <v>314</v>
      </c>
      <c r="E136" s="390"/>
      <c r="F136" s="392">
        <f>SUM(F120:F134)</f>
        <v>178065866</v>
      </c>
      <c r="G136" s="392">
        <f>SUM(G120:G134)</f>
        <v>52079120.988643199</v>
      </c>
      <c r="H136" s="397">
        <f>(SUM(G120:G134) - SUM(F120:F134)) * 100 / IF(SUM(F120:F134), SUM(F120:F134), 1)</f>
        <v>-70.752889277137925</v>
      </c>
      <c r="I136" s="391"/>
      <c r="J136" s="393"/>
    </row>
    <row r="138" spans="2:10" ht="18" x14ac:dyDescent="0.2">
      <c r="B138" s="342" t="s">
        <v>315</v>
      </c>
    </row>
    <row r="139" spans="2:10" ht="15" thickBot="1" x14ac:dyDescent="0.25">
      <c r="B139" s="343" t="s">
        <v>316</v>
      </c>
    </row>
    <row r="140" spans="2:10" ht="15" x14ac:dyDescent="0.2">
      <c r="B140" s="398" t="s">
        <v>317</v>
      </c>
      <c r="C140" s="399" t="s">
        <v>285</v>
      </c>
      <c r="D140" s="400" t="s">
        <v>213</v>
      </c>
      <c r="E140" s="400"/>
      <c r="F140" s="399" t="s">
        <v>318</v>
      </c>
      <c r="G140" s="399" t="s">
        <v>319</v>
      </c>
      <c r="H140" s="399" t="s">
        <v>320</v>
      </c>
      <c r="I140" s="399" t="s">
        <v>321</v>
      </c>
      <c r="J140" s="399" t="s">
        <v>322</v>
      </c>
    </row>
    <row r="141" spans="2:10" x14ac:dyDescent="0.2">
      <c r="B141" s="381" t="s">
        <v>323</v>
      </c>
      <c r="C141" s="394" t="s">
        <v>324</v>
      </c>
      <c r="D141" s="382" t="s">
        <v>218</v>
      </c>
      <c r="E141" s="382"/>
      <c r="F141" s="384">
        <v>130000000</v>
      </c>
      <c r="G141" s="384">
        <v>121685737</v>
      </c>
      <c r="H141" s="394">
        <v>4.6399999999999997</v>
      </c>
      <c r="I141" s="385">
        <v>45817</v>
      </c>
      <c r="J141" s="385">
        <v>46547</v>
      </c>
    </row>
    <row r="142" spans="2:10" x14ac:dyDescent="0.2">
      <c r="B142" s="381" t="s">
        <v>323</v>
      </c>
      <c r="C142" s="394" t="s">
        <v>324</v>
      </c>
      <c r="D142" s="382" t="s">
        <v>220</v>
      </c>
      <c r="E142" s="382"/>
      <c r="F142" s="384">
        <v>210000000</v>
      </c>
      <c r="G142" s="384">
        <v>207103001</v>
      </c>
      <c r="H142" s="394">
        <v>4.32</v>
      </c>
      <c r="I142" s="385">
        <v>45910</v>
      </c>
      <c r="J142" s="385">
        <v>56867</v>
      </c>
    </row>
    <row r="143" spans="2:10" x14ac:dyDescent="0.2">
      <c r="B143" s="381" t="s">
        <v>323</v>
      </c>
      <c r="C143" s="394" t="s">
        <v>324</v>
      </c>
      <c r="D143" s="382" t="s">
        <v>218</v>
      </c>
      <c r="E143" s="382"/>
      <c r="F143" s="384">
        <v>3000000</v>
      </c>
      <c r="G143" s="384">
        <v>1726305</v>
      </c>
      <c r="H143" s="394">
        <v>4.54</v>
      </c>
      <c r="I143" s="385">
        <v>45964</v>
      </c>
      <c r="J143" s="385">
        <v>46329</v>
      </c>
    </row>
    <row r="144" spans="2:10" x14ac:dyDescent="0.2">
      <c r="B144" s="381" t="s">
        <v>323</v>
      </c>
      <c r="C144" s="394" t="s">
        <v>325</v>
      </c>
      <c r="D144" s="382" t="s">
        <v>223</v>
      </c>
      <c r="E144" s="382"/>
      <c r="F144" s="384">
        <v>6563000</v>
      </c>
      <c r="G144" s="384">
        <v>5448520</v>
      </c>
      <c r="H144" s="394">
        <v>1.85</v>
      </c>
      <c r="I144" s="385">
        <v>44088</v>
      </c>
      <c r="J144" s="385">
        <v>49201</v>
      </c>
    </row>
    <row r="145" spans="2:10" x14ac:dyDescent="0.2">
      <c r="B145" s="381" t="s">
        <v>323</v>
      </c>
      <c r="C145" s="394" t="s">
        <v>325</v>
      </c>
      <c r="D145" s="382" t="s">
        <v>225</v>
      </c>
      <c r="E145" s="382"/>
      <c r="F145" s="384">
        <v>6563000</v>
      </c>
      <c r="G145" s="384">
        <v>5441312</v>
      </c>
      <c r="H145" s="394">
        <v>1.7</v>
      </c>
      <c r="I145" s="385">
        <v>44454</v>
      </c>
      <c r="J145" s="385">
        <v>49202</v>
      </c>
    </row>
    <row r="146" spans="2:10" x14ac:dyDescent="0.2">
      <c r="B146" s="381" t="s">
        <v>323</v>
      </c>
      <c r="C146" s="394" t="s">
        <v>325</v>
      </c>
      <c r="D146" s="382" t="s">
        <v>227</v>
      </c>
      <c r="E146" s="382"/>
      <c r="F146" s="384">
        <v>6563000</v>
      </c>
      <c r="G146" s="384">
        <v>5198750</v>
      </c>
      <c r="H146" s="394">
        <v>2</v>
      </c>
      <c r="I146" s="385">
        <v>43920</v>
      </c>
      <c r="J146" s="385">
        <v>49033</v>
      </c>
    </row>
    <row r="147" spans="2:10" x14ac:dyDescent="0.2">
      <c r="B147" s="381" t="s">
        <v>323</v>
      </c>
      <c r="C147" s="394" t="s">
        <v>325</v>
      </c>
      <c r="D147" s="382" t="s">
        <v>229</v>
      </c>
      <c r="E147" s="382"/>
      <c r="F147" s="384">
        <v>6563000</v>
      </c>
      <c r="G147" s="384">
        <v>5129730</v>
      </c>
      <c r="H147" s="394">
        <v>1.7</v>
      </c>
      <c r="I147" s="385">
        <v>44270</v>
      </c>
      <c r="J147" s="385">
        <v>49018</v>
      </c>
    </row>
    <row r="148" spans="2:10" ht="15.75" thickBot="1" x14ac:dyDescent="0.25">
      <c r="B148" s="396" t="s">
        <v>165</v>
      </c>
      <c r="C148" s="388"/>
      <c r="D148" s="387" t="s">
        <v>326</v>
      </c>
      <c r="E148" s="387"/>
      <c r="F148" s="388" t="s">
        <v>327</v>
      </c>
      <c r="G148" s="388" t="s">
        <v>328</v>
      </c>
      <c r="H148" s="388"/>
      <c r="I148" s="388"/>
      <c r="J148" s="389"/>
    </row>
    <row r="149" spans="2:10" ht="15.75" thickBot="1" x14ac:dyDescent="0.25">
      <c r="B149" s="396"/>
      <c r="C149" s="391"/>
      <c r="D149" s="401">
        <f>SUM(7)</f>
        <v>7</v>
      </c>
      <c r="E149" s="401"/>
      <c r="F149" s="392">
        <f>SUM(F141:F147)</f>
        <v>369252000</v>
      </c>
      <c r="G149" s="392">
        <f>SUM(G141:G147)</f>
        <v>351733355</v>
      </c>
      <c r="H149" s="391"/>
      <c r="I149" s="391"/>
      <c r="J149" s="393"/>
    </row>
  </sheetData>
  <mergeCells count="167">
    <mergeCell ref="D147:E147"/>
    <mergeCell ref="B148:B149"/>
    <mergeCell ref="D148:E148"/>
    <mergeCell ref="D149:E149"/>
    <mergeCell ref="D141:E141"/>
    <mergeCell ref="D142:E142"/>
    <mergeCell ref="D143:E143"/>
    <mergeCell ref="D144:E144"/>
    <mergeCell ref="D145:E145"/>
    <mergeCell ref="D146:E146"/>
    <mergeCell ref="D133:E133"/>
    <mergeCell ref="D134:E134"/>
    <mergeCell ref="B135:B136"/>
    <mergeCell ref="D135:E135"/>
    <mergeCell ref="D136:E136"/>
    <mergeCell ref="D140:E140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C113:D113"/>
    <mergeCell ref="B114:B115"/>
    <mergeCell ref="C114:D114"/>
    <mergeCell ref="C115:D115"/>
    <mergeCell ref="D119:E119"/>
    <mergeCell ref="D120:E120"/>
    <mergeCell ref="B104:D104"/>
    <mergeCell ref="F104:H104"/>
    <mergeCell ref="B105:I105"/>
    <mergeCell ref="B106:I106"/>
    <mergeCell ref="C111:D111"/>
    <mergeCell ref="C112:D112"/>
    <mergeCell ref="B101:B102"/>
    <mergeCell ref="C101:D101"/>
    <mergeCell ref="G101:H101"/>
    <mergeCell ref="C102:D102"/>
    <mergeCell ref="G102:H102"/>
    <mergeCell ref="C103:D103"/>
    <mergeCell ref="G103:H103"/>
    <mergeCell ref="C98:D98"/>
    <mergeCell ref="G98:H98"/>
    <mergeCell ref="C99:D99"/>
    <mergeCell ref="G99:H99"/>
    <mergeCell ref="C100:D100"/>
    <mergeCell ref="G100:H100"/>
    <mergeCell ref="C95:D95"/>
    <mergeCell ref="G95:H95"/>
    <mergeCell ref="C96:D96"/>
    <mergeCell ref="G96:H96"/>
    <mergeCell ref="C97:D97"/>
    <mergeCell ref="G97:H97"/>
    <mergeCell ref="C92:D92"/>
    <mergeCell ref="G92:H92"/>
    <mergeCell ref="C93:D93"/>
    <mergeCell ref="G93:H93"/>
    <mergeCell ref="C94:D94"/>
    <mergeCell ref="G94:H94"/>
    <mergeCell ref="C89:D89"/>
    <mergeCell ref="G89:H89"/>
    <mergeCell ref="C90:D90"/>
    <mergeCell ref="G90:H90"/>
    <mergeCell ref="C91:D91"/>
    <mergeCell ref="G91:H91"/>
    <mergeCell ref="C86:D86"/>
    <mergeCell ref="G86:H86"/>
    <mergeCell ref="C87:D87"/>
    <mergeCell ref="G87:H87"/>
    <mergeCell ref="C88:D88"/>
    <mergeCell ref="G88:H88"/>
    <mergeCell ref="C83:D83"/>
    <mergeCell ref="G83:H83"/>
    <mergeCell ref="C84:D84"/>
    <mergeCell ref="G84:H84"/>
    <mergeCell ref="C85:D85"/>
    <mergeCell ref="G85:H85"/>
    <mergeCell ref="C80:D80"/>
    <mergeCell ref="G80:H80"/>
    <mergeCell ref="C81:D81"/>
    <mergeCell ref="G81:H81"/>
    <mergeCell ref="C82:D82"/>
    <mergeCell ref="G82:H82"/>
    <mergeCell ref="C77:D77"/>
    <mergeCell ref="G77:H77"/>
    <mergeCell ref="C78:D78"/>
    <mergeCell ref="G78:H78"/>
    <mergeCell ref="C79:D79"/>
    <mergeCell ref="G79:H79"/>
    <mergeCell ref="C74:D74"/>
    <mergeCell ref="G74:H74"/>
    <mergeCell ref="C75:D75"/>
    <mergeCell ref="G75:H75"/>
    <mergeCell ref="C76:D76"/>
    <mergeCell ref="G76:H76"/>
    <mergeCell ref="C71:D71"/>
    <mergeCell ref="G71:H71"/>
    <mergeCell ref="C72:D72"/>
    <mergeCell ref="G72:H72"/>
    <mergeCell ref="C73:D73"/>
    <mergeCell ref="G73:H73"/>
    <mergeCell ref="G67:H67"/>
    <mergeCell ref="C68:D68"/>
    <mergeCell ref="G68:H68"/>
    <mergeCell ref="C69:D69"/>
    <mergeCell ref="G69:H69"/>
    <mergeCell ref="C70:D70"/>
    <mergeCell ref="G70:H70"/>
    <mergeCell ref="B63:B97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C59:D59"/>
    <mergeCell ref="G59:H59"/>
    <mergeCell ref="B60:B62"/>
    <mergeCell ref="C60:D60"/>
    <mergeCell ref="G60:H60"/>
    <mergeCell ref="C61:D61"/>
    <mergeCell ref="G61:H61"/>
    <mergeCell ref="C62:D62"/>
    <mergeCell ref="G62:H62"/>
    <mergeCell ref="C56:D56"/>
    <mergeCell ref="G56:H56"/>
    <mergeCell ref="C57:D57"/>
    <mergeCell ref="G57:H57"/>
    <mergeCell ref="C58:D58"/>
    <mergeCell ref="G58:H58"/>
    <mergeCell ref="C53:D53"/>
    <mergeCell ref="G53:H53"/>
    <mergeCell ref="C54:D54"/>
    <mergeCell ref="G54:H54"/>
    <mergeCell ref="C55:D55"/>
    <mergeCell ref="G55:H55"/>
    <mergeCell ref="C50:D50"/>
    <mergeCell ref="G50:H50"/>
    <mergeCell ref="C51:D51"/>
    <mergeCell ref="G51:H51"/>
    <mergeCell ref="C52:D52"/>
    <mergeCell ref="G52:H52"/>
    <mergeCell ref="B46:B56"/>
    <mergeCell ref="C46:D46"/>
    <mergeCell ref="F46:F52"/>
    <mergeCell ref="G46:H46"/>
    <mergeCell ref="C47:D47"/>
    <mergeCell ref="G47:H47"/>
    <mergeCell ref="C48:D48"/>
    <mergeCell ref="G48:H48"/>
    <mergeCell ref="C49:D49"/>
    <mergeCell ref="G49:H49"/>
    <mergeCell ref="F5:G5"/>
    <mergeCell ref="F6:G6"/>
    <mergeCell ref="B44:E44"/>
    <mergeCell ref="F44:I44"/>
    <mergeCell ref="C45:D45"/>
    <mergeCell ref="G45:H45"/>
  </mergeCells>
  <phoneticPr fontId="6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6"/>
  <sheetViews>
    <sheetView workbookViewId="0">
      <selection activeCell="F11" sqref="F11"/>
    </sheetView>
  </sheetViews>
  <sheetFormatPr defaultColWidth="12.5703125" defaultRowHeight="15.75" customHeight="1" x14ac:dyDescent="0.2"/>
  <cols>
    <col min="1" max="1" width="4.42578125" customWidth="1"/>
    <col min="2" max="2" width="9.85546875" customWidth="1"/>
    <col min="3" max="3" width="14.85546875" customWidth="1"/>
    <col min="4" max="6" width="14.7109375" customWidth="1"/>
    <col min="7" max="19" width="9.85546875" customWidth="1"/>
  </cols>
  <sheetData>
    <row r="1" spans="1:19" ht="22.5" customHeight="1" x14ac:dyDescent="0.2">
      <c r="A1" s="53"/>
      <c r="B1" s="54" t="s">
        <v>29</v>
      </c>
      <c r="C1" s="55">
        <v>16666666</v>
      </c>
      <c r="D1" s="56"/>
      <c r="E1" s="57"/>
      <c r="F1" s="58"/>
      <c r="G1" s="59" t="s">
        <v>30</v>
      </c>
      <c r="H1" s="60">
        <f>C3/3</f>
        <v>2222222.1333333333</v>
      </c>
      <c r="I1" s="61"/>
      <c r="J1" s="62"/>
      <c r="K1" s="63"/>
      <c r="L1" s="64"/>
      <c r="M1" s="65"/>
      <c r="N1" s="63"/>
      <c r="O1" s="63"/>
      <c r="P1" s="66"/>
      <c r="Q1" s="66"/>
      <c r="R1" s="66"/>
      <c r="S1" s="67"/>
    </row>
    <row r="2" spans="1:19" ht="22.5" customHeight="1" x14ac:dyDescent="0.2">
      <c r="A2" s="53"/>
      <c r="B2" s="68" t="s">
        <v>34</v>
      </c>
      <c r="C2" s="70">
        <f>C1*60%</f>
        <v>9999999.5999999996</v>
      </c>
      <c r="D2" s="71"/>
      <c r="E2" s="57"/>
      <c r="F2" s="58"/>
      <c r="G2" s="59" t="s">
        <v>37</v>
      </c>
      <c r="H2" s="60">
        <f>C3/3</f>
        <v>2222222.1333333333</v>
      </c>
      <c r="I2" s="73"/>
      <c r="J2" s="73"/>
      <c r="K2" s="63"/>
      <c r="L2" s="74"/>
      <c r="M2" s="75"/>
      <c r="N2" s="73"/>
      <c r="O2" s="73"/>
      <c r="P2" s="67"/>
      <c r="Q2" s="67"/>
      <c r="R2" s="67"/>
      <c r="S2" s="76"/>
    </row>
    <row r="3" spans="1:19" ht="22.5" customHeight="1" x14ac:dyDescent="0.2">
      <c r="A3" s="53"/>
      <c r="B3" s="59" t="s">
        <v>39</v>
      </c>
      <c r="C3" s="70">
        <f>C1*40%</f>
        <v>6666666.4000000004</v>
      </c>
      <c r="D3" s="79"/>
      <c r="E3" s="57"/>
      <c r="F3" s="58"/>
      <c r="G3" s="59" t="s">
        <v>42</v>
      </c>
      <c r="H3" s="60">
        <f>C3/3</f>
        <v>2222222.1333333333</v>
      </c>
      <c r="I3" s="73"/>
      <c r="J3" s="73"/>
      <c r="K3" s="73"/>
      <c r="L3" s="83"/>
      <c r="M3" s="84"/>
      <c r="N3" s="73"/>
      <c r="O3" s="73"/>
      <c r="P3" s="67"/>
      <c r="Q3" s="67"/>
      <c r="R3" s="67"/>
      <c r="S3" s="76"/>
    </row>
    <row r="4" spans="1:19" ht="12.75" x14ac:dyDescent="0.2">
      <c r="A4" s="86"/>
      <c r="B4" s="67"/>
      <c r="C4" s="67"/>
      <c r="D4" s="87"/>
      <c r="E4" s="88"/>
      <c r="F4" s="58"/>
      <c r="G4" s="73"/>
      <c r="H4" s="73"/>
      <c r="I4" s="73"/>
      <c r="J4" s="73"/>
      <c r="K4" s="73"/>
      <c r="L4" s="73"/>
      <c r="M4" s="73"/>
      <c r="N4" s="73"/>
      <c r="O4" s="73"/>
      <c r="P4" s="67"/>
      <c r="Q4" s="67"/>
      <c r="R4" s="67"/>
      <c r="S4" s="76"/>
    </row>
    <row r="5" spans="1:19" ht="12.75" x14ac:dyDescent="0.2">
      <c r="A5" s="86"/>
      <c r="B5" s="91" t="s">
        <v>48</v>
      </c>
      <c r="C5" s="88"/>
      <c r="D5" s="93"/>
      <c r="E5" s="95"/>
      <c r="F5" s="58"/>
      <c r="G5" s="61"/>
      <c r="H5" s="97" t="s">
        <v>49</v>
      </c>
      <c r="I5" s="73"/>
      <c r="J5" s="73"/>
      <c r="L5" s="67"/>
      <c r="M5" s="73"/>
      <c r="N5" s="91"/>
      <c r="O5" s="91" t="s">
        <v>50</v>
      </c>
      <c r="P5" s="67"/>
      <c r="Q5" s="67"/>
      <c r="R5" s="67"/>
      <c r="S5" s="73"/>
    </row>
    <row r="6" spans="1:19" ht="16.5" customHeight="1" x14ac:dyDescent="0.25">
      <c r="A6" s="86"/>
      <c r="B6" s="316" t="s">
        <v>51</v>
      </c>
      <c r="C6" s="307"/>
      <c r="D6" s="307"/>
      <c r="E6" s="307"/>
      <c r="F6" s="307"/>
      <c r="G6" s="75"/>
      <c r="H6" s="317" t="s">
        <v>53</v>
      </c>
      <c r="I6" s="307"/>
      <c r="J6" s="307"/>
      <c r="K6" s="308"/>
      <c r="L6" s="67"/>
      <c r="M6" s="107"/>
      <c r="N6" s="107"/>
      <c r="O6" s="107"/>
      <c r="P6" s="67"/>
      <c r="Q6" s="67"/>
      <c r="R6" s="67"/>
      <c r="S6" s="75"/>
    </row>
    <row r="7" spans="1:19" ht="16.5" customHeight="1" x14ac:dyDescent="0.2">
      <c r="A7" s="86"/>
      <c r="B7" s="108" t="s">
        <v>55</v>
      </c>
      <c r="C7" s="109"/>
      <c r="D7" s="111"/>
      <c r="E7" s="67"/>
      <c r="F7" s="67"/>
      <c r="G7" s="75"/>
      <c r="H7" s="318"/>
      <c r="I7" s="319"/>
      <c r="J7" s="319"/>
      <c r="K7" s="320"/>
      <c r="L7" s="67"/>
      <c r="M7" s="67"/>
      <c r="N7" s="67"/>
      <c r="O7" s="67"/>
      <c r="P7" s="67"/>
      <c r="Q7" s="67"/>
      <c r="R7" s="67"/>
      <c r="S7" s="75"/>
    </row>
    <row r="8" spans="1:19" ht="16.5" customHeight="1" x14ac:dyDescent="0.2">
      <c r="A8" s="86"/>
      <c r="B8" s="116"/>
      <c r="C8" s="118" t="str">
        <f>BD!Z28</f>
        <v>모멘텀 스코어</v>
      </c>
      <c r="D8" s="109"/>
      <c r="E8" s="67"/>
      <c r="F8" s="67"/>
      <c r="G8" s="75"/>
      <c r="H8" s="97" t="s">
        <v>80</v>
      </c>
      <c r="I8" s="73"/>
      <c r="J8" s="73"/>
      <c r="K8" s="122"/>
      <c r="L8" s="67"/>
      <c r="M8" s="67"/>
      <c r="N8" s="67"/>
      <c r="O8" s="67"/>
      <c r="P8" s="67"/>
      <c r="Q8" s="67"/>
      <c r="R8" s="67"/>
      <c r="S8" s="75"/>
    </row>
    <row r="9" spans="1:19" ht="16.5" customHeight="1" x14ac:dyDescent="0.2">
      <c r="A9" s="86"/>
      <c r="B9" s="125" t="s">
        <v>25</v>
      </c>
      <c r="C9" s="126">
        <f ca="1">BD!Z29</f>
        <v>0.57855268564137918</v>
      </c>
      <c r="D9" s="122"/>
      <c r="E9" s="67"/>
      <c r="F9" s="67"/>
      <c r="G9" s="75"/>
      <c r="H9" s="128">
        <f>BD!A36</f>
        <v>0</v>
      </c>
      <c r="I9" s="130" t="str">
        <f>BD!B36</f>
        <v>최근 1년 수익률</v>
      </c>
      <c r="J9" s="73"/>
      <c r="K9" s="131"/>
      <c r="L9" s="67"/>
      <c r="M9" s="67"/>
      <c r="N9" s="67"/>
      <c r="O9" s="67"/>
      <c r="P9" s="67"/>
      <c r="Q9" s="67"/>
      <c r="R9" s="67"/>
      <c r="S9" s="75"/>
    </row>
    <row r="10" spans="1:19" ht="16.5" customHeight="1" x14ac:dyDescent="0.25">
      <c r="A10" s="86"/>
      <c r="B10" s="125" t="s">
        <v>75</v>
      </c>
      <c r="C10" s="126">
        <f ca="1">BD!Z30</f>
        <v>0.61452449325150793</v>
      </c>
      <c r="D10" s="131"/>
      <c r="E10" s="67"/>
      <c r="F10" s="67"/>
      <c r="G10" s="75"/>
      <c r="H10" s="132" t="str">
        <f>BD!A37</f>
        <v>SPY</v>
      </c>
      <c r="I10" s="134">
        <f ca="1">BD!B37</f>
        <v>0.17329344399408098</v>
      </c>
      <c r="J10" s="135"/>
      <c r="K10" s="131"/>
      <c r="L10" s="67"/>
      <c r="M10" s="67"/>
      <c r="N10" s="67"/>
      <c r="O10" s="67"/>
      <c r="P10" s="67"/>
      <c r="Q10" s="67"/>
      <c r="R10" s="67"/>
      <c r="S10" s="75"/>
    </row>
    <row r="11" spans="1:19" ht="16.5" customHeight="1" x14ac:dyDescent="0.25">
      <c r="A11" s="86"/>
      <c r="B11" s="125" t="s">
        <v>89</v>
      </c>
      <c r="C11" s="126">
        <f ca="1">BD!Z31</f>
        <v>-1.181244711872282</v>
      </c>
      <c r="D11" s="131"/>
      <c r="E11" s="67"/>
      <c r="F11" s="67"/>
      <c r="G11" s="75"/>
      <c r="H11" s="138" t="str">
        <f>BD!A38</f>
        <v>EFA</v>
      </c>
      <c r="I11" s="140">
        <f ca="1">BD!B38</f>
        <v>0.18421354106999654</v>
      </c>
      <c r="J11" s="135"/>
      <c r="K11" s="131"/>
      <c r="L11" s="67"/>
      <c r="M11" s="67"/>
      <c r="N11" s="67"/>
      <c r="O11" s="67"/>
      <c r="P11" s="67"/>
      <c r="Q11" s="67"/>
      <c r="R11" s="67"/>
      <c r="S11" s="75"/>
    </row>
    <row r="12" spans="1:19" ht="16.5" customHeight="1" x14ac:dyDescent="0.2">
      <c r="A12" s="86"/>
      <c r="B12" s="142" t="s">
        <v>91</v>
      </c>
      <c r="C12" s="144">
        <f ca="1">BD!Z32</f>
        <v>-0.50752718208365755</v>
      </c>
      <c r="D12" s="131"/>
      <c r="E12" s="67"/>
      <c r="F12" s="67"/>
      <c r="G12" s="75"/>
      <c r="H12" s="146"/>
      <c r="I12" s="66"/>
      <c r="J12" s="73"/>
      <c r="K12" s="131"/>
      <c r="L12" s="67"/>
      <c r="M12" s="67"/>
      <c r="N12" s="67"/>
      <c r="O12" s="67"/>
      <c r="P12" s="67"/>
      <c r="Q12" s="67"/>
      <c r="R12" s="67"/>
      <c r="S12" s="75"/>
    </row>
    <row r="13" spans="1:19" ht="16.5" customHeight="1" x14ac:dyDescent="0.2">
      <c r="A13" s="91"/>
      <c r="D13" s="131"/>
      <c r="E13" s="67"/>
      <c r="F13" s="67"/>
      <c r="G13" s="75"/>
      <c r="H13" s="317" t="s">
        <v>93</v>
      </c>
      <c r="I13" s="307"/>
      <c r="J13" s="307"/>
      <c r="K13" s="307"/>
      <c r="L13" s="67"/>
      <c r="M13" s="67"/>
      <c r="N13" s="67"/>
      <c r="O13" s="67"/>
      <c r="P13" s="67"/>
      <c r="Q13" s="67"/>
      <c r="R13" s="67"/>
      <c r="S13" s="75"/>
    </row>
    <row r="14" spans="1:19" ht="16.5" customHeight="1" x14ac:dyDescent="0.2">
      <c r="A14" s="91"/>
      <c r="B14" s="323" t="s">
        <v>94</v>
      </c>
      <c r="C14" s="307"/>
      <c r="D14" s="308"/>
      <c r="E14" s="83"/>
      <c r="F14" s="149"/>
      <c r="G14" s="84"/>
      <c r="H14" s="321"/>
      <c r="I14" s="322"/>
      <c r="J14" s="322"/>
      <c r="K14" s="322"/>
      <c r="L14" s="67"/>
      <c r="M14" s="150"/>
      <c r="N14" s="67"/>
      <c r="O14" s="67"/>
      <c r="P14" s="67"/>
      <c r="Q14" s="67"/>
      <c r="R14" s="67"/>
      <c r="S14" s="75"/>
    </row>
    <row r="15" spans="1:19" ht="16.5" customHeight="1" x14ac:dyDescent="0.2">
      <c r="A15" s="151"/>
      <c r="B15" s="324" t="s">
        <v>96</v>
      </c>
      <c r="C15" s="310"/>
      <c r="D15" s="310"/>
      <c r="E15" s="310"/>
      <c r="F15" s="310"/>
      <c r="G15" s="311"/>
      <c r="H15" s="318"/>
      <c r="I15" s="319"/>
      <c r="J15" s="319"/>
      <c r="K15" s="319"/>
      <c r="L15" s="67"/>
      <c r="M15" s="150"/>
      <c r="N15" s="74"/>
      <c r="O15" s="67"/>
      <c r="P15" s="67"/>
      <c r="Q15" s="67"/>
      <c r="R15" s="67"/>
      <c r="S15" s="75"/>
    </row>
    <row r="16" spans="1:19" ht="16.5" customHeight="1" x14ac:dyDescent="0.2">
      <c r="A16" s="151"/>
      <c r="B16" s="312"/>
      <c r="C16" s="313"/>
      <c r="D16" s="313"/>
      <c r="E16" s="313"/>
      <c r="F16" s="313"/>
      <c r="G16" s="314"/>
      <c r="H16" s="152" t="s">
        <v>98</v>
      </c>
      <c r="I16" s="154">
        <f>H2/3</f>
        <v>740740.7111111111</v>
      </c>
      <c r="J16" s="155"/>
      <c r="K16" s="66"/>
      <c r="L16" s="156"/>
      <c r="M16" s="150"/>
      <c r="N16" s="74"/>
      <c r="O16" s="67"/>
      <c r="P16" s="67"/>
      <c r="Q16" s="67"/>
      <c r="R16" s="67"/>
      <c r="S16" s="75"/>
    </row>
    <row r="17" spans="1:19" ht="16.5" customHeight="1" x14ac:dyDescent="0.25">
      <c r="A17" s="151"/>
      <c r="B17" s="157" t="s">
        <v>99</v>
      </c>
      <c r="C17" s="325">
        <f>H3/3</f>
        <v>740740.7111111111</v>
      </c>
      <c r="D17" s="326"/>
      <c r="E17" s="326"/>
      <c r="F17" s="326"/>
      <c r="G17" s="327"/>
      <c r="H17" s="161" t="s">
        <v>103</v>
      </c>
      <c r="I17" s="162"/>
      <c r="J17" s="107"/>
      <c r="K17" s="67"/>
      <c r="L17" s="156"/>
      <c r="M17" s="73"/>
      <c r="N17" s="164"/>
      <c r="O17" s="67"/>
      <c r="P17" s="67"/>
      <c r="Q17" s="67"/>
      <c r="R17" s="67"/>
      <c r="S17" s="75"/>
    </row>
    <row r="18" spans="1:19" ht="16.5" customHeight="1" x14ac:dyDescent="0.25">
      <c r="A18" s="91"/>
      <c r="B18" s="166" t="s">
        <v>104</v>
      </c>
      <c r="C18" s="162"/>
      <c r="D18" s="162"/>
      <c r="E18" s="167"/>
      <c r="F18" s="64"/>
      <c r="G18" s="65"/>
      <c r="H18" s="170">
        <f>BD!A41</f>
        <v>0</v>
      </c>
      <c r="I18" s="171" t="str">
        <f>BD!T41</f>
        <v>6개월 수익률</v>
      </c>
      <c r="J18" s="107"/>
      <c r="K18" s="67"/>
      <c r="L18" s="156"/>
      <c r="M18" s="107"/>
      <c r="N18" s="164" t="s">
        <v>107</v>
      </c>
      <c r="O18" s="67"/>
      <c r="P18" s="67"/>
      <c r="Q18" s="67"/>
      <c r="R18" s="67"/>
      <c r="S18" s="75"/>
    </row>
    <row r="19" spans="1:19" ht="16.5" customHeight="1" x14ac:dyDescent="0.25">
      <c r="A19" s="91"/>
      <c r="B19" s="172"/>
      <c r="C19" s="173" t="s">
        <v>108</v>
      </c>
      <c r="D19" s="175" t="str">
        <f>BD!B18</f>
        <v>현재</v>
      </c>
      <c r="E19" s="176" t="str">
        <f>BD!P18</f>
        <v>12개월 이동평균</v>
      </c>
      <c r="F19" s="74"/>
      <c r="G19" s="75"/>
      <c r="H19" s="177" t="str">
        <f>BD!A42</f>
        <v>SHY</v>
      </c>
      <c r="I19" s="178">
        <f ca="1">BD!T42</f>
        <v>-1.0857763300760159E-2</v>
      </c>
      <c r="J19" s="179"/>
      <c r="K19" s="67"/>
      <c r="L19" s="156"/>
      <c r="M19" s="107"/>
      <c r="N19" s="74"/>
      <c r="O19" s="67"/>
      <c r="P19" s="67"/>
      <c r="Q19" s="67"/>
      <c r="R19" s="67"/>
      <c r="S19" s="75"/>
    </row>
    <row r="20" spans="1:19" ht="16.5" customHeight="1" x14ac:dyDescent="0.2">
      <c r="A20" s="91"/>
      <c r="B20" s="181" t="str">
        <f>BD!A19</f>
        <v>LQD</v>
      </c>
      <c r="C20" s="182">
        <f ca="1">BD!Q19</f>
        <v>0.96234834014088211</v>
      </c>
      <c r="D20" s="183">
        <f ca="1">BD!B19</f>
        <v>106.22</v>
      </c>
      <c r="E20" s="184">
        <f ca="1">BD!P19</f>
        <v>110.37583333333335</v>
      </c>
      <c r="F20" s="74"/>
      <c r="G20" s="75"/>
      <c r="H20" s="177" t="str">
        <f>BD!A43</f>
        <v>IEF</v>
      </c>
      <c r="I20" s="178">
        <f ca="1">BD!T43</f>
        <v>-2.8467153284671531E-2</v>
      </c>
      <c r="J20" s="185"/>
      <c r="K20" s="67"/>
      <c r="L20" s="156"/>
      <c r="M20" s="179"/>
      <c r="N20" s="74"/>
      <c r="O20" s="67"/>
      <c r="P20" s="67"/>
      <c r="Q20" s="67"/>
      <c r="R20" s="67"/>
      <c r="S20" s="75"/>
    </row>
    <row r="21" spans="1:19" ht="16.5" customHeight="1" x14ac:dyDescent="0.2">
      <c r="A21" s="151"/>
      <c r="B21" s="181" t="str">
        <f>BD!A20</f>
        <v>IEF</v>
      </c>
      <c r="C21" s="182">
        <f ca="1">BD!Q20</f>
        <v>0.97363365246260092</v>
      </c>
      <c r="D21" s="183">
        <f ca="1">BD!B20</f>
        <v>93.17</v>
      </c>
      <c r="E21" s="184">
        <f ca="1">BD!P20</f>
        <v>95.693076923076916</v>
      </c>
      <c r="F21" s="74"/>
      <c r="G21" s="75"/>
      <c r="H21" s="177" t="str">
        <f>BD!A44</f>
        <v>TLT</v>
      </c>
      <c r="I21" s="178">
        <f ca="1">BD!T44</f>
        <v>-5.4223744292237419E-2</v>
      </c>
      <c r="J21" s="185"/>
      <c r="K21" s="67"/>
      <c r="L21" s="156"/>
      <c r="M21" s="185"/>
      <c r="N21" s="74"/>
      <c r="O21" s="67"/>
      <c r="P21" s="67"/>
      <c r="Q21" s="67"/>
      <c r="R21" s="67"/>
      <c r="S21" s="75"/>
    </row>
    <row r="22" spans="1:19" ht="16.5" customHeight="1" x14ac:dyDescent="0.2">
      <c r="A22" s="151"/>
      <c r="B22" s="181" t="str">
        <f>BD!A21</f>
        <v>BIL</v>
      </c>
      <c r="C22" s="182">
        <f ca="1">BD!Q21</f>
        <v>1.0000335773285878</v>
      </c>
      <c r="D22" s="183">
        <f ca="1">BD!B21</f>
        <v>91.64</v>
      </c>
      <c r="E22" s="184">
        <f ca="1">BD!P21</f>
        <v>91.636923076923068</v>
      </c>
      <c r="F22" s="74"/>
      <c r="G22" s="75"/>
      <c r="H22" s="177" t="str">
        <f>BD!A45</f>
        <v>TIP</v>
      </c>
      <c r="I22" s="178">
        <f ca="1">BD!T45</f>
        <v>-2.4176023180007222E-2</v>
      </c>
      <c r="J22" s="185"/>
      <c r="K22" s="67"/>
      <c r="L22" s="156"/>
      <c r="M22" s="185"/>
      <c r="N22" s="74"/>
      <c r="O22" s="67"/>
      <c r="P22" s="67"/>
      <c r="Q22" s="67"/>
      <c r="R22" s="67"/>
      <c r="S22" s="75"/>
    </row>
    <row r="23" spans="1:19" ht="16.5" customHeight="1" x14ac:dyDescent="0.2">
      <c r="A23" s="151"/>
      <c r="B23" s="181" t="str">
        <f>BD!A22</f>
        <v>TLT</v>
      </c>
      <c r="C23" s="182">
        <f ca="1">BD!Q22</f>
        <v>0.94751519736784218</v>
      </c>
      <c r="D23" s="183">
        <f ca="1">BD!B22</f>
        <v>82.85</v>
      </c>
      <c r="E23" s="184">
        <f ca="1">BD!P22</f>
        <v>87.439230769230775</v>
      </c>
      <c r="F23" s="74"/>
      <c r="G23" s="75"/>
      <c r="H23" s="177" t="str">
        <f>BD!A46</f>
        <v>LQD</v>
      </c>
      <c r="I23" s="178">
        <f ca="1">BD!T46</f>
        <v>-4.0036150022593864E-2</v>
      </c>
      <c r="J23" s="186"/>
      <c r="K23" s="67"/>
      <c r="L23" s="156"/>
      <c r="M23" s="185"/>
      <c r="N23" s="74"/>
      <c r="O23" s="67"/>
      <c r="P23" s="67"/>
      <c r="Q23" s="67"/>
      <c r="R23" s="67"/>
      <c r="S23" s="75"/>
    </row>
    <row r="24" spans="1:19" ht="16.5" customHeight="1" x14ac:dyDescent="0.2">
      <c r="A24" s="91"/>
      <c r="B24" s="181" t="str">
        <f>BD!A23</f>
        <v>TIP</v>
      </c>
      <c r="C24" s="182">
        <f ca="1">BD!Q23</f>
        <v>0.97578999421912993</v>
      </c>
      <c r="D24" s="183">
        <f ca="1">BD!B23</f>
        <v>107.77</v>
      </c>
      <c r="E24" s="184">
        <f ca="1">BD!P23</f>
        <v>110.44384615384614</v>
      </c>
      <c r="F24" s="74"/>
      <c r="G24" s="75"/>
      <c r="H24" s="177" t="str">
        <f>BD!A47</f>
        <v>HYG</v>
      </c>
      <c r="I24" s="178">
        <f ca="1">BD!T47</f>
        <v>-2.2211253701875711E-2</v>
      </c>
      <c r="J24" s="186"/>
      <c r="K24" s="67"/>
      <c r="L24" s="156"/>
      <c r="M24" s="73"/>
      <c r="N24" s="74"/>
      <c r="O24" s="67"/>
      <c r="P24" s="67"/>
      <c r="Q24" s="67"/>
      <c r="R24" s="67"/>
      <c r="S24" s="75"/>
    </row>
    <row r="25" spans="1:19" ht="16.5" customHeight="1" x14ac:dyDescent="0.2">
      <c r="A25" s="91"/>
      <c r="B25" s="181" t="str">
        <f>BD!A24</f>
        <v>BND</v>
      </c>
      <c r="C25" s="182">
        <f ca="1">BD!Q24</f>
        <v>0.97960500973420928</v>
      </c>
      <c r="D25" s="190">
        <f ca="1">BD!B24</f>
        <v>72.38</v>
      </c>
      <c r="E25" s="184">
        <f ca="1">BD!P24</f>
        <v>73.886923076923068</v>
      </c>
      <c r="F25" s="74"/>
      <c r="G25" s="75"/>
      <c r="H25" s="177" t="str">
        <f>BD!A48</f>
        <v>BWX</v>
      </c>
      <c r="I25" s="178">
        <f ca="1">BD!T48</f>
        <v>-6.4810787298825501E-2</v>
      </c>
      <c r="J25" s="186"/>
      <c r="K25" s="67"/>
      <c r="L25" s="156"/>
      <c r="M25" s="73"/>
      <c r="N25" s="74"/>
      <c r="O25" s="67"/>
      <c r="P25" s="67"/>
      <c r="Q25" s="67"/>
      <c r="R25" s="67"/>
      <c r="S25" s="75"/>
    </row>
    <row r="26" spans="1:19" ht="16.5" customHeight="1" x14ac:dyDescent="0.2">
      <c r="A26" s="91"/>
      <c r="B26" s="191" t="str">
        <f>BD!A25</f>
        <v>DBC</v>
      </c>
      <c r="C26" s="192">
        <f ca="1">BD!Q25</f>
        <v>1.1344585174858366</v>
      </c>
      <c r="D26" s="193">
        <f ca="1">BD!B25</f>
        <v>29.42</v>
      </c>
      <c r="E26" s="195">
        <f ca="1">BD!P25</f>
        <v>25.933076923076918</v>
      </c>
      <c r="F26" s="74"/>
      <c r="G26" s="75"/>
      <c r="H26" s="196" t="str">
        <f>BD!A49</f>
        <v>EMB</v>
      </c>
      <c r="I26" s="197">
        <f ca="1">BD!T49</f>
        <v>-2.1725636250775837E-2</v>
      </c>
      <c r="J26" s="67"/>
      <c r="K26" s="67"/>
      <c r="L26" s="156"/>
      <c r="M26" s="73"/>
      <c r="N26" s="74"/>
      <c r="O26" s="67"/>
      <c r="P26" s="67"/>
      <c r="Q26" s="67"/>
      <c r="R26" s="67"/>
      <c r="S26" s="75"/>
    </row>
    <row r="27" spans="1:19" ht="16.5" customHeight="1" x14ac:dyDescent="0.2">
      <c r="A27" s="91"/>
      <c r="B27" s="199"/>
      <c r="C27" s="201"/>
      <c r="D27" s="201"/>
      <c r="E27" s="201"/>
      <c r="F27" s="149"/>
      <c r="G27" s="84"/>
      <c r="H27" s="202"/>
      <c r="I27" s="67"/>
      <c r="J27" s="67"/>
      <c r="K27" s="73"/>
      <c r="L27" s="67"/>
      <c r="M27" s="73"/>
      <c r="N27" s="67"/>
      <c r="O27" s="67"/>
      <c r="P27" s="67"/>
      <c r="Q27" s="67"/>
      <c r="R27" s="67"/>
      <c r="S27" s="75"/>
    </row>
    <row r="28" spans="1:19" ht="16.5" customHeight="1" x14ac:dyDescent="0.2">
      <c r="A28" s="91"/>
      <c r="B28" s="306" t="s">
        <v>119</v>
      </c>
      <c r="C28" s="307"/>
      <c r="D28" s="308"/>
      <c r="E28" s="328" t="s">
        <v>120</v>
      </c>
      <c r="F28" s="307"/>
      <c r="G28" s="308"/>
      <c r="H28" s="202"/>
      <c r="I28" s="203"/>
      <c r="J28" s="67"/>
      <c r="K28" s="67"/>
      <c r="L28" s="67"/>
      <c r="M28" s="73"/>
      <c r="N28" s="67"/>
      <c r="O28" s="67"/>
      <c r="P28" s="67"/>
      <c r="Q28" s="67"/>
      <c r="R28" s="73"/>
      <c r="S28" s="75"/>
    </row>
    <row r="29" spans="1:19" ht="16.5" customHeight="1" x14ac:dyDescent="0.2">
      <c r="A29" s="151"/>
      <c r="B29" s="309" t="s">
        <v>124</v>
      </c>
      <c r="C29" s="310"/>
      <c r="D29" s="311"/>
      <c r="E29" s="315" t="s">
        <v>126</v>
      </c>
      <c r="F29" s="310"/>
      <c r="G29" s="311"/>
      <c r="H29" s="202"/>
      <c r="I29" s="203"/>
      <c r="J29" s="67"/>
      <c r="K29" s="67"/>
      <c r="L29" s="67"/>
      <c r="M29" s="73"/>
      <c r="N29" s="67"/>
      <c r="O29" s="67"/>
      <c r="P29" s="67"/>
      <c r="Q29" s="67"/>
      <c r="R29" s="73"/>
      <c r="S29" s="75"/>
    </row>
    <row r="30" spans="1:19" ht="16.5" customHeight="1" x14ac:dyDescent="0.2">
      <c r="A30" s="151"/>
      <c r="B30" s="312"/>
      <c r="C30" s="313"/>
      <c r="D30" s="314"/>
      <c r="E30" s="312"/>
      <c r="F30" s="313"/>
      <c r="G30" s="314"/>
      <c r="H30" s="202"/>
      <c r="I30" s="203"/>
      <c r="J30" s="67"/>
      <c r="K30" s="67"/>
      <c r="L30" s="67"/>
      <c r="M30" s="73"/>
      <c r="N30" s="67"/>
      <c r="O30" s="67"/>
      <c r="P30" s="67"/>
      <c r="Q30" s="73"/>
      <c r="R30" s="73"/>
      <c r="S30" s="75"/>
    </row>
    <row r="31" spans="1:19" ht="16.5" customHeight="1" x14ac:dyDescent="0.2">
      <c r="A31" s="151"/>
      <c r="B31" s="204" t="s">
        <v>99</v>
      </c>
      <c r="C31" s="205">
        <f>H3/6</f>
        <v>370370.35555555555</v>
      </c>
      <c r="D31" s="206"/>
      <c r="E31" s="204" t="s">
        <v>99</v>
      </c>
      <c r="F31" s="205">
        <f>H3</f>
        <v>2222222.1333333333</v>
      </c>
      <c r="G31" s="207"/>
      <c r="H31" s="202"/>
      <c r="I31" s="203"/>
      <c r="J31" s="67"/>
      <c r="K31" s="67"/>
      <c r="L31" s="67"/>
      <c r="M31" s="73"/>
      <c r="N31" s="67"/>
      <c r="O31" s="67"/>
      <c r="P31" s="73"/>
      <c r="Q31" s="73"/>
      <c r="R31" s="73"/>
      <c r="S31" s="75"/>
    </row>
    <row r="32" spans="1:19" ht="16.5" customHeight="1" x14ac:dyDescent="0.2">
      <c r="A32" s="208"/>
      <c r="B32" s="209" t="s">
        <v>127</v>
      </c>
      <c r="C32" s="210"/>
      <c r="D32" s="211"/>
      <c r="E32" s="166" t="s">
        <v>128</v>
      </c>
      <c r="F32" s="212"/>
      <c r="G32" s="213"/>
      <c r="H32" s="202"/>
      <c r="I32" s="203"/>
      <c r="J32" s="67"/>
      <c r="K32" s="67"/>
      <c r="L32" s="67"/>
      <c r="M32" s="73"/>
      <c r="N32" s="67"/>
      <c r="O32" s="67"/>
      <c r="P32" s="73"/>
      <c r="Q32" s="73"/>
      <c r="R32" s="73"/>
      <c r="S32" s="75"/>
    </row>
    <row r="33" spans="1:19" ht="16.5" customHeight="1" x14ac:dyDescent="0.2">
      <c r="A33" s="214"/>
      <c r="B33" s="215"/>
      <c r="C33" s="216" t="str">
        <f>BD!Z4</f>
        <v>모멘텀 스코어</v>
      </c>
      <c r="D33" s="217" t="s">
        <v>108</v>
      </c>
      <c r="E33" s="218"/>
      <c r="F33" s="219" t="s">
        <v>88</v>
      </c>
      <c r="G33" s="220" t="s">
        <v>108</v>
      </c>
      <c r="H33" s="202"/>
      <c r="I33" s="203"/>
      <c r="J33" s="73"/>
      <c r="K33" s="73"/>
      <c r="L33" s="73"/>
      <c r="M33" s="73"/>
      <c r="N33" s="67"/>
      <c r="O33" s="67"/>
      <c r="P33" s="67"/>
      <c r="Q33" s="67"/>
      <c r="R33" s="67"/>
      <c r="S33" s="75"/>
    </row>
    <row r="34" spans="1:19" ht="16.5" customHeight="1" x14ac:dyDescent="0.2">
      <c r="A34" s="214"/>
      <c r="B34" s="221" t="str">
        <f>BD!A5</f>
        <v>SPY</v>
      </c>
      <c r="C34" s="222">
        <f ca="1">BD!Z5</f>
        <v>0.3788027945371073</v>
      </c>
      <c r="D34" s="223">
        <f ca="1">BD!Q5</f>
        <v>1.0669819600195027</v>
      </c>
      <c r="E34" s="224" t="str">
        <f>관심종목!D26</f>
        <v>QQQ</v>
      </c>
      <c r="F34" s="225">
        <f ca="1">BD!Z33</f>
        <v>38.610291422287389</v>
      </c>
      <c r="G34" s="226">
        <f ca="1">BD!Q29</f>
        <v>1.0669819600195027</v>
      </c>
      <c r="H34" s="202"/>
      <c r="I34" s="203"/>
      <c r="J34" s="73"/>
      <c r="K34" s="73"/>
      <c r="L34" s="73"/>
      <c r="M34" s="73"/>
      <c r="N34" s="67"/>
      <c r="O34" s="67"/>
      <c r="P34" s="67"/>
      <c r="Q34" s="67"/>
      <c r="R34" s="67"/>
      <c r="S34" s="75"/>
    </row>
    <row r="35" spans="1:19" ht="16.5" customHeight="1" x14ac:dyDescent="0.2">
      <c r="A35" s="214"/>
      <c r="B35" s="221" t="str">
        <f>BD!A6</f>
        <v>QQQ</v>
      </c>
      <c r="C35" s="227">
        <f ca="1">BD!Z6</f>
        <v>38.610291422287389</v>
      </c>
      <c r="D35" s="223">
        <f ca="1">BD!Q6</f>
        <v>3.0321206011730206</v>
      </c>
      <c r="E35" s="224" t="str">
        <f>관심종목!D23</f>
        <v>EFA</v>
      </c>
      <c r="F35" s="222">
        <f ca="1">BD!Z30</f>
        <v>0.61452449325150793</v>
      </c>
      <c r="G35" s="226">
        <f ca="1">BD!Q30</f>
        <v>1.0622570092657613</v>
      </c>
      <c r="H35" s="202"/>
      <c r="I35" s="203"/>
      <c r="J35" s="73"/>
      <c r="K35" s="73"/>
      <c r="L35" s="73"/>
      <c r="M35" s="73"/>
      <c r="N35" s="67"/>
      <c r="O35" s="67"/>
      <c r="P35" s="67"/>
      <c r="Q35" s="67"/>
      <c r="R35" s="67"/>
      <c r="S35" s="75"/>
    </row>
    <row r="36" spans="1:19" ht="16.5" customHeight="1" x14ac:dyDescent="0.2">
      <c r="A36" s="214"/>
      <c r="B36" s="221" t="str">
        <f>BD!A7</f>
        <v>IWM</v>
      </c>
      <c r="C36" s="227">
        <f ca="1">BD!Z7</f>
        <v>0.29806354539347457</v>
      </c>
      <c r="D36" s="223">
        <f ca="1">BD!Q7</f>
        <v>1.1260572517470466</v>
      </c>
      <c r="E36" s="224" t="str">
        <f>관심종목!D24</f>
        <v>EEM</v>
      </c>
      <c r="F36" s="225">
        <f ca="1">BD!Z31</f>
        <v>-1.181244711872282</v>
      </c>
      <c r="G36" s="226">
        <f ca="1">BD!Q31</f>
        <v>1.0572755864616092</v>
      </c>
      <c r="H36" s="202"/>
      <c r="I36" s="203"/>
      <c r="J36" s="73"/>
      <c r="K36" s="73"/>
      <c r="L36" s="73"/>
      <c r="M36" s="73"/>
      <c r="N36" s="67"/>
      <c r="O36" s="67"/>
      <c r="P36" s="67"/>
      <c r="Q36" s="67"/>
      <c r="R36" s="67"/>
      <c r="S36" s="75"/>
    </row>
    <row r="37" spans="1:19" ht="16.5" customHeight="1" x14ac:dyDescent="0.2">
      <c r="A37" s="214"/>
      <c r="B37" s="221" t="str">
        <f>BD!A8</f>
        <v>VGK</v>
      </c>
      <c r="C37" s="222">
        <f ca="1">BD!Z8</f>
        <v>0.56731347354902528</v>
      </c>
      <c r="D37" s="223">
        <f ca="1">BD!Q8</f>
        <v>1.0664906385021602</v>
      </c>
      <c r="E37" s="228" t="str">
        <f>관심종목!D25</f>
        <v>AGG</v>
      </c>
      <c r="F37" s="229">
        <f ca="1">BD!Z32</f>
        <v>-0.50752718208365755</v>
      </c>
      <c r="G37" s="230">
        <f ca="1">BD!Q32</f>
        <v>0.97650905936134003</v>
      </c>
      <c r="H37" s="202"/>
      <c r="I37" s="203"/>
      <c r="J37" s="73"/>
      <c r="K37" s="73"/>
      <c r="L37" s="73"/>
      <c r="M37" s="73"/>
      <c r="N37" s="67"/>
      <c r="O37" s="67"/>
      <c r="P37" s="67"/>
      <c r="Q37" s="67"/>
      <c r="R37" s="67"/>
      <c r="S37" s="75"/>
    </row>
    <row r="38" spans="1:19" ht="16.5" customHeight="1" x14ac:dyDescent="0.2">
      <c r="A38" s="231"/>
      <c r="B38" s="221" t="str">
        <f>BD!A9</f>
        <v>EWJ</v>
      </c>
      <c r="C38" s="222">
        <f ca="1">BD!Z9</f>
        <v>-6.0885151310007046E-2</v>
      </c>
      <c r="D38" s="223">
        <f ca="1">BD!Q9</f>
        <v>1.0576259148927774</v>
      </c>
      <c r="E38" s="232"/>
      <c r="F38" s="162"/>
      <c r="G38" s="213"/>
      <c r="H38" s="202"/>
      <c r="I38" s="203"/>
      <c r="J38" s="73"/>
      <c r="K38" s="73"/>
      <c r="L38" s="73"/>
      <c r="M38" s="73"/>
      <c r="N38" s="67"/>
      <c r="O38" s="67"/>
      <c r="P38" s="67"/>
      <c r="Q38" s="67"/>
      <c r="R38" s="67"/>
      <c r="S38" s="75"/>
    </row>
    <row r="39" spans="1:19" ht="16.5" customHeight="1" x14ac:dyDescent="0.2">
      <c r="A39" s="231"/>
      <c r="B39" s="221" t="str">
        <f>BD!A10</f>
        <v>VWO</v>
      </c>
      <c r="C39" s="222">
        <f ca="1">BD!Z10</f>
        <v>-0.31959143949776281</v>
      </c>
      <c r="D39" s="223">
        <f ca="1">BD!Q10</f>
        <v>1.0287521650726714</v>
      </c>
      <c r="E39" s="233"/>
      <c r="F39" s="73"/>
      <c r="G39" s="61"/>
      <c r="H39" s="202"/>
      <c r="I39" s="203"/>
      <c r="J39" s="73"/>
      <c r="K39" s="73"/>
      <c r="L39" s="73"/>
      <c r="M39" s="73"/>
      <c r="N39" s="67"/>
      <c r="O39" s="67"/>
      <c r="P39" s="67"/>
      <c r="Q39" s="67"/>
      <c r="R39" s="67"/>
      <c r="S39" s="75"/>
    </row>
    <row r="40" spans="1:19" ht="16.5" customHeight="1" x14ac:dyDescent="0.2">
      <c r="A40" s="231"/>
      <c r="B40" s="221" t="str">
        <f>BD!A11</f>
        <v>VEA</v>
      </c>
      <c r="C40" s="222" t="e">
        <f ca="1">BD!Z11</f>
        <v>#N/A</v>
      </c>
      <c r="D40" s="223" t="e">
        <f ca="1">BD!Q11</f>
        <v>#N/A</v>
      </c>
      <c r="E40" s="64"/>
      <c r="F40" s="66"/>
      <c r="G40" s="75"/>
      <c r="H40" s="202"/>
      <c r="I40" s="203"/>
      <c r="J40" s="73"/>
      <c r="K40" s="73"/>
      <c r="L40" s="73"/>
      <c r="M40" s="73"/>
      <c r="N40" s="67"/>
      <c r="O40" s="67"/>
      <c r="P40" s="67"/>
      <c r="Q40" s="67"/>
      <c r="R40" s="67"/>
      <c r="S40" s="75"/>
    </row>
    <row r="41" spans="1:19" ht="16.5" customHeight="1" x14ac:dyDescent="0.2">
      <c r="A41" s="231"/>
      <c r="B41" s="221" t="str">
        <f>BD!A12</f>
        <v>VNQ</v>
      </c>
      <c r="C41" s="227">
        <f ca="1">BD!Z12</f>
        <v>0.83395272953231547</v>
      </c>
      <c r="D41" s="223">
        <f ca="1">BD!Q12</f>
        <v>1.0923790661710844</v>
      </c>
      <c r="E41" s="74"/>
      <c r="F41" s="67"/>
      <c r="G41" s="75"/>
      <c r="H41" s="202"/>
      <c r="I41" s="203"/>
      <c r="J41" s="73"/>
      <c r="K41" s="73"/>
      <c r="L41" s="73"/>
      <c r="M41" s="73"/>
      <c r="N41" s="67"/>
      <c r="O41" s="67"/>
      <c r="P41" s="67"/>
      <c r="Q41" s="67"/>
      <c r="R41" s="67"/>
      <c r="S41" s="75"/>
    </row>
    <row r="42" spans="1:19" ht="16.5" customHeight="1" x14ac:dyDescent="0.2">
      <c r="A42" s="231"/>
      <c r="B42" s="221" t="str">
        <f>BD!A13</f>
        <v>DBC</v>
      </c>
      <c r="C42" s="227">
        <f ca="1">BD!Z13</f>
        <v>1.8569605371965305</v>
      </c>
      <c r="D42" s="223">
        <f ca="1">BD!Q13</f>
        <v>1.172111553784861</v>
      </c>
      <c r="E42" s="74"/>
      <c r="F42" s="67"/>
      <c r="G42" s="75"/>
      <c r="H42" s="202"/>
      <c r="I42" s="203"/>
      <c r="J42" s="73"/>
      <c r="K42" s="73"/>
      <c r="L42" s="73"/>
      <c r="M42" s="73"/>
      <c r="N42" s="67"/>
      <c r="O42" s="67"/>
      <c r="P42" s="67"/>
      <c r="Q42" s="67"/>
      <c r="R42" s="67"/>
      <c r="S42" s="75"/>
    </row>
    <row r="43" spans="1:19" ht="16.5" customHeight="1" x14ac:dyDescent="0.2">
      <c r="A43" s="231"/>
      <c r="B43" s="221" t="str">
        <f>BD!A14</f>
        <v>GLD</v>
      </c>
      <c r="C43" s="222">
        <f ca="1">BD!Z14</f>
        <v>-0.86267709488909561</v>
      </c>
      <c r="D43" s="223">
        <f ca="1">BD!Q14</f>
        <v>0.93920526449000252</v>
      </c>
      <c r="E43" s="74"/>
      <c r="F43" s="67"/>
      <c r="G43" s="75"/>
      <c r="H43" s="202"/>
      <c r="I43" s="203"/>
      <c r="J43" s="73"/>
      <c r="K43" s="73"/>
      <c r="L43" s="73"/>
      <c r="M43" s="73"/>
      <c r="N43" s="67"/>
      <c r="O43" s="67"/>
      <c r="P43" s="67"/>
      <c r="Q43" s="67"/>
      <c r="R43" s="67"/>
      <c r="S43" s="75"/>
    </row>
    <row r="44" spans="1:19" ht="16.5" customHeight="1" x14ac:dyDescent="0.2">
      <c r="A44" s="231"/>
      <c r="B44" s="221" t="str">
        <f>BD!A15</f>
        <v>LQD</v>
      </c>
      <c r="C44" s="227">
        <f ca="1">BD!Z15</f>
        <v>-0.58476836123126241</v>
      </c>
      <c r="D44" s="223">
        <f ca="1">BD!Q15</f>
        <v>0.96234834014088211</v>
      </c>
      <c r="E44" s="74"/>
      <c r="F44" s="67"/>
      <c r="G44" s="75"/>
      <c r="H44" s="202"/>
      <c r="I44" s="203"/>
      <c r="J44" s="73"/>
      <c r="K44" s="73"/>
      <c r="L44" s="73"/>
      <c r="M44" s="73"/>
      <c r="N44" s="67"/>
      <c r="O44" s="67"/>
      <c r="P44" s="67"/>
      <c r="Q44" s="67"/>
      <c r="R44" s="67"/>
      <c r="S44" s="75"/>
    </row>
    <row r="45" spans="1:19" ht="16.5" customHeight="1" x14ac:dyDescent="0.2">
      <c r="A45" s="231"/>
      <c r="B45" s="234" t="str">
        <f>BD!A16</f>
        <v>HYG</v>
      </c>
      <c r="C45" s="235">
        <f ca="1">BD!Z16</f>
        <v>-0.20007472625193323</v>
      </c>
      <c r="D45" s="236">
        <f ca="1">BD!Q16</f>
        <v>0.98455166701180363</v>
      </c>
      <c r="E45" s="74"/>
      <c r="F45" s="67"/>
      <c r="G45" s="75"/>
      <c r="H45" s="202"/>
      <c r="I45" s="203"/>
      <c r="J45" s="73"/>
      <c r="K45" s="73"/>
      <c r="L45" s="73"/>
      <c r="M45" s="73"/>
      <c r="N45" s="67"/>
      <c r="O45" s="67"/>
      <c r="P45" s="67"/>
      <c r="Q45" s="67"/>
      <c r="R45" s="67"/>
      <c r="S45" s="75"/>
    </row>
    <row r="46" spans="1:19" ht="16.5" customHeight="1" x14ac:dyDescent="0.2">
      <c r="A46" s="237"/>
      <c r="B46" s="64"/>
      <c r="C46" s="66"/>
      <c r="D46" s="66"/>
      <c r="E46" s="66"/>
      <c r="F46" s="66"/>
      <c r="G46" s="65"/>
      <c r="H46" s="202"/>
      <c r="I46" s="238"/>
      <c r="J46" s="239"/>
      <c r="K46" s="239"/>
      <c r="L46" s="239"/>
      <c r="M46" s="239"/>
      <c r="N46" s="149"/>
      <c r="O46" s="149"/>
      <c r="P46" s="149"/>
      <c r="Q46" s="149"/>
      <c r="R46" s="149"/>
      <c r="S46" s="84"/>
    </row>
  </sheetData>
  <mergeCells count="10">
    <mergeCell ref="B28:D28"/>
    <mergeCell ref="B29:D30"/>
    <mergeCell ref="E29:G30"/>
    <mergeCell ref="B6:F6"/>
    <mergeCell ref="H6:K7"/>
    <mergeCell ref="H13:K15"/>
    <mergeCell ref="B14:D14"/>
    <mergeCell ref="B15:G16"/>
    <mergeCell ref="C17:G17"/>
    <mergeCell ref="E28:G28"/>
  </mergeCells>
  <phoneticPr fontId="6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55"/>
  <sheetViews>
    <sheetView showGridLines="0" workbookViewId="0">
      <pane xSplit="4" topLeftCell="E1" activePane="topRight" state="frozen"/>
      <selection pane="topRight" activeCell="F2" sqref="F2"/>
    </sheetView>
  </sheetViews>
  <sheetFormatPr defaultColWidth="12.5703125" defaultRowHeight="15.75" customHeight="1" x14ac:dyDescent="0.2"/>
  <cols>
    <col min="1" max="1" width="10.42578125" customWidth="1"/>
    <col min="2" max="2" width="4.7109375" customWidth="1"/>
    <col min="3" max="3" width="8.42578125" customWidth="1"/>
    <col min="4" max="4" width="7" customWidth="1"/>
    <col min="5" max="5" width="10.28515625" customWidth="1"/>
    <col min="6" max="6" width="28.42578125" customWidth="1"/>
    <col min="7" max="7" width="11.7109375" customWidth="1"/>
    <col min="8" max="8" width="8.42578125" customWidth="1"/>
    <col min="9" max="9" width="8.85546875" customWidth="1"/>
    <col min="10" max="10" width="8.7109375" customWidth="1"/>
    <col min="11" max="11" width="4" customWidth="1"/>
    <col min="12" max="12" width="9.42578125" customWidth="1"/>
    <col min="13" max="14" width="8.42578125" customWidth="1"/>
    <col min="15" max="15" width="6.5703125" customWidth="1"/>
    <col min="16" max="18" width="9.140625" customWidth="1"/>
    <col min="19" max="19" width="10" customWidth="1"/>
    <col min="20" max="20" width="7.85546875" customWidth="1"/>
    <col min="21" max="21" width="12.5703125" customWidth="1"/>
    <col min="22" max="22" width="31.42578125" customWidth="1"/>
  </cols>
  <sheetData>
    <row r="1" spans="1:22" ht="22.5" customHeight="1" x14ac:dyDescent="0.2">
      <c r="A1" s="1"/>
      <c r="B1" s="1"/>
      <c r="C1" s="1"/>
      <c r="D1" s="3" t="s">
        <v>0</v>
      </c>
      <c r="E1" s="3"/>
      <c r="F1" s="3"/>
      <c r="G1" s="3"/>
      <c r="H1" s="3"/>
      <c r="I1" s="3"/>
      <c r="J1" s="3"/>
      <c r="K1" s="3"/>
      <c r="L1" s="5" t="s">
        <v>2</v>
      </c>
      <c r="M1" s="1"/>
      <c r="N1" s="1"/>
      <c r="O1" s="6"/>
      <c r="P1" s="7"/>
      <c r="Q1" s="7"/>
      <c r="R1" s="7"/>
      <c r="S1" s="7"/>
      <c r="T1" s="7"/>
      <c r="U1" s="7"/>
      <c r="V1" s="7"/>
    </row>
    <row r="2" spans="1:22" ht="22.5" customHeight="1" x14ac:dyDescent="0.2">
      <c r="A2" s="1"/>
      <c r="B2" s="1"/>
      <c r="C2" s="1"/>
      <c r="D2" s="3"/>
      <c r="E2" s="3"/>
      <c r="F2" s="3"/>
      <c r="G2" s="3"/>
      <c r="H2" s="3"/>
      <c r="I2" s="3"/>
      <c r="J2" s="3"/>
      <c r="K2" s="3"/>
      <c r="L2" s="9" t="s">
        <v>3</v>
      </c>
      <c r="M2" s="1"/>
      <c r="N2" s="1"/>
      <c r="O2" s="6"/>
      <c r="P2" s="7"/>
      <c r="Q2" s="7"/>
      <c r="R2" s="7"/>
      <c r="S2" s="7"/>
      <c r="T2" s="7"/>
      <c r="U2" s="7"/>
      <c r="V2" s="7"/>
    </row>
    <row r="3" spans="1:22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/>
      <c r="P3" s="7"/>
      <c r="Q3" s="7"/>
      <c r="R3" s="7"/>
      <c r="S3" s="7"/>
      <c r="T3" s="7"/>
      <c r="U3" s="7"/>
      <c r="V3" s="7"/>
    </row>
    <row r="4" spans="1:22" ht="23.25" x14ac:dyDescent="0.35">
      <c r="A4" s="1"/>
      <c r="B4" s="1"/>
      <c r="C4" s="1"/>
      <c r="E4" s="1"/>
      <c r="F4" s="10" t="s">
        <v>4</v>
      </c>
      <c r="G4" s="1"/>
      <c r="H4" s="1"/>
      <c r="I4" s="1"/>
      <c r="J4" s="1"/>
      <c r="K4" s="1"/>
      <c r="L4" s="1"/>
      <c r="M4" s="1"/>
      <c r="N4" s="1"/>
      <c r="O4" s="6"/>
      <c r="P4" s="7"/>
      <c r="Q4" s="7"/>
      <c r="R4" s="7"/>
      <c r="S4" s="7"/>
      <c r="T4" s="7"/>
      <c r="U4" s="7"/>
      <c r="V4" s="7"/>
    </row>
    <row r="5" spans="1:22" ht="16.5" customHeight="1" x14ac:dyDescent="0.2">
      <c r="A5" s="1"/>
      <c r="B5" s="1"/>
      <c r="C5" s="1"/>
      <c r="D5" s="11"/>
      <c r="E5" s="1"/>
      <c r="F5" s="11" t="s">
        <v>5</v>
      </c>
      <c r="G5" s="1"/>
      <c r="H5" s="1"/>
      <c r="I5" s="1"/>
      <c r="J5" s="1"/>
      <c r="K5" s="1"/>
      <c r="L5" s="1"/>
      <c r="M5" s="1"/>
      <c r="N5" s="1"/>
      <c r="O5" s="6"/>
      <c r="P5" s="7"/>
      <c r="Q5" s="7"/>
      <c r="R5" s="7"/>
      <c r="S5" s="7"/>
      <c r="T5" s="7"/>
      <c r="U5" s="7"/>
      <c r="V5" s="7"/>
    </row>
    <row r="6" spans="1:22" ht="31.5" x14ac:dyDescent="0.5">
      <c r="A6" s="12"/>
      <c r="B6" s="12"/>
      <c r="C6" s="12"/>
      <c r="D6" s="13"/>
      <c r="E6" s="14"/>
      <c r="F6" s="13">
        <f>SUM(N9:N55)</f>
        <v>0</v>
      </c>
      <c r="G6" s="12"/>
      <c r="H6" s="12"/>
      <c r="I6" s="12"/>
      <c r="J6" s="12"/>
      <c r="K6" s="12"/>
      <c r="L6" s="12"/>
      <c r="M6" s="12"/>
      <c r="N6" s="12"/>
      <c r="O6" s="15"/>
      <c r="P6" s="16"/>
      <c r="Q6" s="16"/>
      <c r="R6" s="16"/>
      <c r="S6" s="16"/>
      <c r="T6" s="16"/>
      <c r="U6" s="16"/>
      <c r="V6" s="16"/>
    </row>
    <row r="7" spans="1:22" ht="11.25" customHeigh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5"/>
      <c r="P7" s="16"/>
      <c r="Q7" s="16"/>
      <c r="R7" s="16"/>
      <c r="S7" s="16"/>
      <c r="T7" s="16"/>
      <c r="U7" s="16"/>
      <c r="V7" s="16"/>
    </row>
    <row r="8" spans="1:22" ht="31.5" customHeight="1" x14ac:dyDescent="0.2">
      <c r="A8" s="17" t="s">
        <v>6</v>
      </c>
      <c r="B8" s="18" t="s">
        <v>7</v>
      </c>
      <c r="C8" s="18" t="s">
        <v>8</v>
      </c>
      <c r="D8" s="19" t="s">
        <v>9</v>
      </c>
      <c r="E8" s="19" t="s">
        <v>10</v>
      </c>
      <c r="F8" s="19" t="s">
        <v>11</v>
      </c>
      <c r="G8" s="20"/>
      <c r="H8" s="20" t="s">
        <v>1</v>
      </c>
      <c r="I8" s="21" t="s">
        <v>12</v>
      </c>
      <c r="J8" s="21" t="s">
        <v>13</v>
      </c>
      <c r="K8" s="20" t="s">
        <v>14</v>
      </c>
      <c r="L8" s="20" t="s">
        <v>5</v>
      </c>
      <c r="M8" s="20" t="s">
        <v>15</v>
      </c>
      <c r="N8" s="22"/>
      <c r="O8" s="23" t="s">
        <v>16</v>
      </c>
      <c r="P8" s="24" t="s">
        <v>17</v>
      </c>
      <c r="Q8" s="24" t="s">
        <v>18</v>
      </c>
      <c r="R8" s="24" t="s">
        <v>19</v>
      </c>
      <c r="S8" s="24" t="s">
        <v>20</v>
      </c>
      <c r="T8" s="25" t="s">
        <v>21</v>
      </c>
      <c r="U8" s="25" t="s">
        <v>22</v>
      </c>
      <c r="V8" s="24"/>
    </row>
    <row r="9" spans="1:22" ht="17.25" customHeight="1" x14ac:dyDescent="0.2">
      <c r="A9" s="26"/>
      <c r="B9" s="26"/>
      <c r="C9" s="26"/>
      <c r="D9" s="27"/>
      <c r="E9" s="27" t="s">
        <v>23</v>
      </c>
      <c r="F9" s="26" t="str">
        <f ca="1">IFERROR(__xludf.DUMMYFUNCTION("IF(ISBLANK(D9), ""-"", GOOGLEFINANCE(IF(ISBLANK(E9), D9, E9&amp;"":""&amp;D9), ""name""))"),"-")</f>
        <v>-</v>
      </c>
      <c r="G9" s="30"/>
      <c r="H9" s="30">
        <f ca="1">IFERROR(__xludf.DUMMYFUNCTION("IF(ISBLANK(D9), 0, GOOGLEFINANCE(IF(ISBLANK(E9), D9, E9&amp;"":""&amp;D9), ""price""))"),0)</f>
        <v>0</v>
      </c>
      <c r="I9" s="31">
        <f ca="1">IFERROR(__xludf.DUMMYFUNCTION("IF(ISBLANK(D9), 0, GOOGLEFINANCE(IF(ISBLANK(E9), D9, E9&amp;"":""&amp;D9), ""change""))"),0)</f>
        <v>0</v>
      </c>
      <c r="J9" s="32">
        <f ca="1">IFERROR(__xludf.DUMMYFUNCTION("IF(ISBLANK(D9), 0, GOOGLEFINANCE(IF(ISBLANK(E9), D9, E9&amp;"":""&amp;D9), ""changepct"")/100)"),0)</f>
        <v>0</v>
      </c>
      <c r="K9" s="27">
        <v>0</v>
      </c>
      <c r="L9" s="33">
        <f t="shared" ref="L9:L33" ca="1" si="0">K9 * H9</f>
        <v>0</v>
      </c>
      <c r="M9" s="34"/>
      <c r="N9" s="34"/>
      <c r="O9" s="35">
        <f t="shared" ref="O9:O13" si="1">(P9*12)+(Q9*4)+(R9*2)+(S9*1)</f>
        <v>0</v>
      </c>
      <c r="P9" s="36"/>
      <c r="Q9" s="36"/>
      <c r="R9" s="36"/>
      <c r="S9" s="36"/>
      <c r="T9" s="36"/>
      <c r="U9" s="36"/>
      <c r="V9" s="36"/>
    </row>
    <row r="10" spans="1:22" ht="17.25" customHeight="1" x14ac:dyDescent="0.25">
      <c r="A10" s="337"/>
      <c r="B10" s="334"/>
      <c r="C10" s="338" t="s">
        <v>24</v>
      </c>
      <c r="D10" s="38" t="s">
        <v>25</v>
      </c>
      <c r="E10" s="38"/>
      <c r="F10" s="39" t="str">
        <f ca="1">IFERROR(__xludf.DUMMYFUNCTION("IF(ISBLANK(D10), ""-"", GOOGLEFINANCE(IF(ISBLANK(E10), D10, E10&amp;"":""&amp;D10), ""name""))"),"State Street SPDR S&amp;P 500 ETF Trust")</f>
        <v>State Street SPDR S&amp;P 500 ETF Trust</v>
      </c>
      <c r="G10" s="40"/>
      <c r="H10" s="41">
        <f ca="1">IFERROR(__xludf.DUMMYFUNCTION("IF(ISBLANK(D10), 0, GOOGLEFINANCE(IF(ISBLANK(E10), D10, E10&amp;"":""&amp;D10), ""price""))"),729.46)</f>
        <v>729.46</v>
      </c>
      <c r="I10" s="42">
        <f ca="1">IFERROR(__xludf.DUMMYFUNCTION("IF(ISBLANK(D10), 0, GOOGLEFINANCE(IF(ISBLANK(E10), D10, E10&amp;"":""&amp;D10), ""change""))"),-11.4)</f>
        <v>-11.4</v>
      </c>
      <c r="J10" s="43">
        <f ca="1">IFERROR(__xludf.DUMMYFUNCTION("IF(ISBLANK(D10), 0, GOOGLEFINANCE(IF(ISBLANK(E10), D10, E10&amp;"":""&amp;D10), ""changepct"")/100)"),-0.0154)</f>
        <v>-1.54E-2</v>
      </c>
      <c r="K10" s="38">
        <v>1</v>
      </c>
      <c r="L10" s="44">
        <f t="shared" ca="1" si="0"/>
        <v>729.46</v>
      </c>
      <c r="M10" s="333"/>
      <c r="N10" s="333"/>
      <c r="O10" s="35">
        <f t="shared" ca="1" si="1"/>
        <v>0.34343961810261159</v>
      </c>
      <c r="P10" s="46">
        <f ca="1">(SPY!F278-SPY!F256)/SPY!F256</f>
        <v>6.447276368674842E-4</v>
      </c>
      <c r="Q10" s="46">
        <f ca="1">(SPY!F278-SPY!F214)/SPY!F214</f>
        <v>1.9981263196163258E-2</v>
      </c>
      <c r="R10" s="46">
        <f ca="1">(SPY!F278-SPY!F151)/SPY!F151</f>
        <v>5.302210096285713E-2</v>
      </c>
      <c r="S10" s="46">
        <f ca="1">(SPY!F278-SPY!F28)/SPY!F28</f>
        <v>0.14973363174983451</v>
      </c>
      <c r="T10" s="46"/>
      <c r="U10" s="46"/>
      <c r="V10" s="46"/>
    </row>
    <row r="11" spans="1:22" ht="17.25" customHeight="1" x14ac:dyDescent="0.25">
      <c r="A11" s="322"/>
      <c r="B11" s="322"/>
      <c r="C11" s="330"/>
      <c r="D11" s="27" t="s">
        <v>26</v>
      </c>
      <c r="E11" s="27"/>
      <c r="F11" s="26" t="str">
        <f ca="1">IFERROR(__xludf.DUMMYFUNCTION("IF(ISBLANK(D11), ""-"", GOOGLEFINANCE(IF(ISBLANK(E11), D11, E11&amp;"":""&amp;D11), ""name""))"),"Invesco QQQ Trust, Series 1")</f>
        <v>Invesco QQQ Trust, Series 1</v>
      </c>
      <c r="G11" s="47"/>
      <c r="H11" s="30">
        <f ca="1">IFERROR(__xludf.DUMMYFUNCTION("IF(ISBLANK(D11), 0, GOOGLEFINANCE(IF(ISBLANK(E11), D11, E11&amp;"":""&amp;D11), ""price""))"),661.73)</f>
        <v>661.73</v>
      </c>
      <c r="I11" s="31">
        <f ca="1">IFERROR(__xludf.DUMMYFUNCTION("IF(ISBLANK(D11), 0, GOOGLEFINANCE(IF(ISBLANK(E11), D11, E11&amp;"":""&amp;D11), ""change""))"),-13.76)</f>
        <v>-13.76</v>
      </c>
      <c r="J11" s="32">
        <f ca="1">IFERROR(__xludf.DUMMYFUNCTION("IF(ISBLANK(D11), 0, GOOGLEFINANCE(IF(ISBLANK(E11), D11, E11&amp;"":""&amp;D11), ""changepct"")/100)"),-0.0204)</f>
        <v>-2.0400000000000001E-2</v>
      </c>
      <c r="K11" s="27">
        <v>1</v>
      </c>
      <c r="L11" s="48">
        <f t="shared" ca="1" si="0"/>
        <v>661.73</v>
      </c>
      <c r="M11" s="322"/>
      <c r="N11" s="322"/>
      <c r="O11" s="35">
        <f t="shared" ca="1" si="1"/>
        <v>-0.94930350303693745</v>
      </c>
      <c r="P11" s="46">
        <f ca="1">(TLT!$F$278-TLT!$F$256)/TLT!$F$256</f>
        <v>-5.1625457875457935E-2</v>
      </c>
      <c r="Q11" s="46">
        <f ca="1">(TLT!$F$278-TLT!$F$214)/TLT!$F$214</f>
        <v>-3.9754288363467859E-2</v>
      </c>
      <c r="R11" s="46">
        <f ca="1">(TLT!$F$278-TLT!$F$151)/TLT!$F$151</f>
        <v>-6.2252405206564804E-2</v>
      </c>
      <c r="S11" s="46">
        <f ca="1">(TLT!$F$278-TLT!$F$28)/TLT!$F$28</f>
        <v>-4.6276044664441233E-2</v>
      </c>
      <c r="T11" s="46"/>
      <c r="U11" s="46"/>
      <c r="V11" s="46"/>
    </row>
    <row r="12" spans="1:22" ht="17.25" customHeight="1" x14ac:dyDescent="0.25">
      <c r="A12" s="322"/>
      <c r="B12" s="322"/>
      <c r="C12" s="330"/>
      <c r="D12" s="27" t="s">
        <v>27</v>
      </c>
      <c r="E12" s="27"/>
      <c r="F12" s="26" t="str">
        <f ca="1">IFERROR(__xludf.DUMMYFUNCTION("IF(ISBLANK(D12), ""-"", GOOGLEFINANCE(IF(ISBLANK(E12), D12, E12&amp;"":""&amp;D12), ""name""))"),"iShares Russell 2000 ETF")</f>
        <v>iShares Russell 2000 ETF</v>
      </c>
      <c r="G12" s="47"/>
      <c r="H12" s="30">
        <f ca="1">IFERROR(__xludf.DUMMYFUNCTION("IF(ISBLANK(D12), 0, GOOGLEFINANCE(IF(ISBLANK(E12), D12, E12&amp;"":""&amp;D12), ""price""))"),288.57)</f>
        <v>288.57</v>
      </c>
      <c r="I12" s="31">
        <f ca="1">IFERROR(__xludf.DUMMYFUNCTION("IF(ISBLANK(D12), 0, GOOGLEFINANCE(IF(ISBLANK(E12), D12, E12&amp;"":""&amp;D12), ""change""))"),-4.8)</f>
        <v>-4.8</v>
      </c>
      <c r="J12" s="32">
        <f ca="1">IFERROR(__xludf.DUMMYFUNCTION("IF(ISBLANK(D12), 0, GOOGLEFINANCE(IF(ISBLANK(E12), D12, E12&amp;"":""&amp;D12), ""changepct"")/100)"),-0.0163999999999999)</f>
        <v>-1.6399999999999901E-2</v>
      </c>
      <c r="K12" s="27">
        <v>1</v>
      </c>
      <c r="L12" s="48">
        <f t="shared" ca="1" si="0"/>
        <v>288.57</v>
      </c>
      <c r="M12" s="322"/>
      <c r="N12" s="322"/>
      <c r="O12" s="35">
        <f t="shared" ca="1" si="1"/>
        <v>-0.7990478032905256</v>
      </c>
      <c r="P12" s="46">
        <f ca="1">(GLD!F278-GLD!F256)/GLD!F256</f>
        <v>-6.8249337579959091E-3</v>
      </c>
      <c r="Q12" s="46">
        <f ca="1">(GLD!F278-GLD!F214)/GLD!F214</f>
        <v>-0.13680243783293403</v>
      </c>
      <c r="R12" s="46">
        <f ca="1">(GLD!F278-GLD!F151)/GLD!F151</f>
        <v>-0.20146330966214765</v>
      </c>
      <c r="S12" s="46">
        <f ca="1">(GLD!F278-GLD!F28)/GLD!F28</f>
        <v>0.23298777246145672</v>
      </c>
      <c r="T12" s="46"/>
      <c r="U12" s="46"/>
      <c r="V12" s="46"/>
    </row>
    <row r="13" spans="1:22" ht="17.25" customHeight="1" x14ac:dyDescent="0.25">
      <c r="A13" s="322"/>
      <c r="B13" s="322"/>
      <c r="C13" s="330"/>
      <c r="D13" s="27" t="s">
        <v>28</v>
      </c>
      <c r="E13" s="27"/>
      <c r="F13" s="26" t="str">
        <f ca="1">IFERROR(__xludf.DUMMYFUNCTION("IF(ISBLANK(D13), ""-"", GOOGLEFINANCE(IF(ISBLANK(E13), D13, E13&amp;"":""&amp;D13), ""name""))"),"Vanguard European Stock Index Fund ETF")</f>
        <v>Vanguard European Stock Index Fund ETF</v>
      </c>
      <c r="G13" s="47"/>
      <c r="H13" s="30">
        <f ca="1">IFERROR(__xludf.DUMMYFUNCTION("IF(ISBLANK(D13), 0, GOOGLEFINANCE(IF(ISBLANK(E13), D13, E13&amp;"":""&amp;D13), ""price""))"),88.86)</f>
        <v>88.86</v>
      </c>
      <c r="I13" s="31">
        <f ca="1">IFERROR(__xludf.DUMMYFUNCTION("IF(ISBLANK(D13), 0, GOOGLEFINANCE(IF(ISBLANK(E13), D13, E13&amp;"":""&amp;D13), ""change""))"),-0.37)</f>
        <v>-0.37</v>
      </c>
      <c r="J13" s="32">
        <f ca="1">IFERROR(__xludf.DUMMYFUNCTION("IF(ISBLANK(D13), 0, GOOGLEFINANCE(IF(ISBLANK(E13), D13, E13&amp;"":""&amp;D13), ""changepct"")/100)"),-0.00409999999999999)</f>
        <v>-4.0999999999999899E-3</v>
      </c>
      <c r="K13" s="27">
        <v>1</v>
      </c>
      <c r="L13" s="48">
        <f t="shared" ca="1" si="0"/>
        <v>88.86</v>
      </c>
      <c r="M13" s="322"/>
      <c r="N13" s="322"/>
      <c r="O13" s="35">
        <f t="shared" ca="1" si="1"/>
        <v>2.1845717416217733E-3</v>
      </c>
      <c r="P13" s="46">
        <f ca="1">(BIL!$F$278-BIL!$F$256)/BIL!$F$256</f>
        <v>1.0913456291613135E-4</v>
      </c>
      <c r="Q13" s="46">
        <f ca="1">(BIL!$F$278-BIL!$F$214)/BIL!$F$214</f>
        <v>2.182929491376994E-4</v>
      </c>
      <c r="R13" s="46">
        <f ca="1">(BIL!$F$278-BIL!$F$151)/BIL!$F$151</f>
        <v>5.4591112566871008E-4</v>
      </c>
      <c r="S13" s="46">
        <f ca="1">(BIL!$F$278-BIL!$F$28)/BIL!$F$28</f>
        <v>-1.090037061260021E-3</v>
      </c>
      <c r="T13" s="46"/>
      <c r="U13" s="46"/>
      <c r="V13" s="46"/>
    </row>
    <row r="14" spans="1:22" ht="18.75" customHeight="1" x14ac:dyDescent="0.25">
      <c r="A14" s="322"/>
      <c r="B14" s="37"/>
      <c r="C14" s="330"/>
      <c r="D14" s="27" t="s">
        <v>31</v>
      </c>
      <c r="E14" s="27"/>
      <c r="F14" s="26" t="str">
        <f ca="1">IFERROR(__xludf.DUMMYFUNCTION("IF(ISBLANK(D14), ""-"", GOOGLEFINANCE(IF(ISBLANK(E14), D14, E14&amp;"":""&amp;D14), ""name""))"),"iShares MSCI Japan ETF")</f>
        <v>iShares MSCI Japan ETF</v>
      </c>
      <c r="G14" s="47"/>
      <c r="H14" s="30">
        <f ca="1">IFERROR(__xludf.DUMMYFUNCTION("IF(ISBLANK(D14), 0, GOOGLEFINANCE(IF(ISBLANK(E14), D14, E14&amp;"":""&amp;D14), ""price""))"),89.35)</f>
        <v>89.35</v>
      </c>
      <c r="I14" s="31">
        <f ca="1">IFERROR(__xludf.DUMMYFUNCTION("IF(ISBLANK(D14), 0, GOOGLEFINANCE(IF(ISBLANK(E14), D14, E14&amp;"":""&amp;D14), ""change""))"),-0.48)</f>
        <v>-0.48</v>
      </c>
      <c r="J14" s="32">
        <f ca="1">IFERROR(__xludf.DUMMYFUNCTION("IF(ISBLANK(D14), 0, GOOGLEFINANCE(IF(ISBLANK(E14), D14, E14&amp;"":""&amp;D14), ""changepct"")/100)"),-0.0053)</f>
        <v>-5.3E-3</v>
      </c>
      <c r="K14" s="27">
        <v>1</v>
      </c>
      <c r="L14" s="48">
        <f t="shared" ca="1" si="0"/>
        <v>89.35</v>
      </c>
      <c r="M14" s="45"/>
      <c r="N14" s="45"/>
      <c r="O14" s="35"/>
      <c r="P14" s="46"/>
      <c r="Q14" s="46"/>
      <c r="R14" s="46"/>
      <c r="S14" s="46"/>
      <c r="T14" s="46"/>
      <c r="U14" s="46"/>
      <c r="V14" s="46"/>
    </row>
    <row r="15" spans="1:22" ht="17.25" customHeight="1" x14ac:dyDescent="0.25">
      <c r="A15" s="322"/>
      <c r="B15" s="37"/>
      <c r="C15" s="330"/>
      <c r="D15" s="27" t="s">
        <v>32</v>
      </c>
      <c r="E15" s="27"/>
      <c r="F15" s="26" t="str">
        <f ca="1">IFERROR(__xludf.DUMMYFUNCTION("IF(ISBLANK(D15), ""-"", GOOGLEFINANCE(IF(ISBLANK(E15), D15, E15&amp;"":""&amp;D15), ""name""))"),"Vanguard Emerging Markets Stock Index Fund ETF")</f>
        <v>Vanguard Emerging Markets Stock Index Fund ETF</v>
      </c>
      <c r="G15" s="47"/>
      <c r="H15" s="30">
        <f ca="1">IFERROR(__xludf.DUMMYFUNCTION("IF(ISBLANK(D15), 0, GOOGLEFINANCE(IF(ISBLANK(E15), D15, E15&amp;"":""&amp;D15), ""price""))"),56.92)</f>
        <v>56.92</v>
      </c>
      <c r="I15" s="31">
        <f ca="1">IFERROR(__xludf.DUMMYFUNCTION("IF(ISBLANK(D15), 0, GOOGLEFINANCE(IF(ISBLANK(E15), D15, E15&amp;"":""&amp;D15), ""change""))"),-0.82)</f>
        <v>-0.82</v>
      </c>
      <c r="J15" s="32">
        <f ca="1">IFERROR(__xludf.DUMMYFUNCTION("IF(ISBLANK(D15), 0, GOOGLEFINANCE(IF(ISBLANK(E15), D15, E15&amp;"":""&amp;D15), ""changepct"")/100)"),-0.0141999999999999)</f>
        <v>-1.41999999999999E-2</v>
      </c>
      <c r="K15" s="27">
        <v>1</v>
      </c>
      <c r="L15" s="48">
        <f t="shared" ca="1" si="0"/>
        <v>56.92</v>
      </c>
      <c r="M15" s="45"/>
      <c r="N15" s="45"/>
      <c r="O15" s="35"/>
      <c r="P15" s="46"/>
      <c r="Q15" s="46"/>
      <c r="R15" s="46"/>
      <c r="S15" s="46"/>
      <c r="T15" s="46"/>
      <c r="U15" s="46"/>
      <c r="V15" s="46"/>
    </row>
    <row r="16" spans="1:22" ht="17.25" customHeight="1" x14ac:dyDescent="0.25">
      <c r="A16" s="322"/>
      <c r="B16" s="37"/>
      <c r="C16" s="330"/>
      <c r="D16" s="27" t="s">
        <v>33</v>
      </c>
      <c r="E16" s="27"/>
      <c r="F16" s="26" t="str">
        <f ca="1">IFERROR(__xludf.DUMMYFUNCTION("IF(ISBLANK(D16), ""-"", GOOGLEFINANCE(IF(ISBLANK(E16), D16, E16&amp;"":""&amp;D16), ""name""))"),"Vanguard Tax Managed Fund FTSE Developed Markets ETF")</f>
        <v>Vanguard Tax Managed Fund FTSE Developed Markets ETF</v>
      </c>
      <c r="G16" s="47"/>
      <c r="H16" s="30">
        <f ca="1">IFERROR(__xludf.DUMMYFUNCTION("IF(ISBLANK(D16), 0, GOOGLEFINANCE(IF(ISBLANK(E16), D16, E16&amp;"":""&amp;D16), ""price""))"),68.95)</f>
        <v>68.95</v>
      </c>
      <c r="I16" s="31">
        <f ca="1">IFERROR(__xludf.DUMMYFUNCTION("IF(ISBLANK(D16), 0, GOOGLEFINANCE(IF(ISBLANK(E16), D16, E16&amp;"":""&amp;D16), ""change""))"),-0.65)</f>
        <v>-0.65</v>
      </c>
      <c r="J16" s="32">
        <f ca="1">IFERROR(__xludf.DUMMYFUNCTION("IF(ISBLANK(D16), 0, GOOGLEFINANCE(IF(ISBLANK(E16), D16, E16&amp;"":""&amp;D16), ""changepct"")/100)"),-0.0093)</f>
        <v>-9.2999999999999992E-3</v>
      </c>
      <c r="K16" s="27">
        <v>1</v>
      </c>
      <c r="L16" s="48">
        <f t="shared" ca="1" si="0"/>
        <v>68.95</v>
      </c>
      <c r="M16" s="45"/>
      <c r="N16" s="45"/>
      <c r="O16" s="35"/>
      <c r="P16" s="46"/>
      <c r="Q16" s="46"/>
      <c r="R16" s="46"/>
      <c r="S16" s="46"/>
      <c r="T16" s="46"/>
      <c r="U16" s="46"/>
      <c r="V16" s="46"/>
    </row>
    <row r="17" spans="1:22" ht="17.25" customHeight="1" x14ac:dyDescent="0.25">
      <c r="A17" s="322"/>
      <c r="B17" s="37"/>
      <c r="C17" s="330"/>
      <c r="D17" s="27" t="s">
        <v>35</v>
      </c>
      <c r="E17" s="27"/>
      <c r="F17" s="26" t="str">
        <f ca="1">IFERROR(__xludf.DUMMYFUNCTION("IF(ISBLANK(D17), ""-"", GOOGLEFINANCE(IF(ISBLANK(E17), D17, E17&amp;"":""&amp;D17), ""name""))"),"Vanguard Real Estate Index Fund ETF")</f>
        <v>Vanguard Real Estate Index Fund ETF</v>
      </c>
      <c r="G17" s="47"/>
      <c r="H17" s="30">
        <f ca="1">IFERROR(__xludf.DUMMYFUNCTION("IF(ISBLANK(D17), 0, GOOGLEFINANCE(IF(ISBLANK(E17), D17, E17&amp;"":""&amp;D17), ""price""))"),100.66)</f>
        <v>100.66</v>
      </c>
      <c r="I17" s="31">
        <f ca="1">IFERROR(__xludf.DUMMYFUNCTION("IF(ISBLANK(D17), 0, GOOGLEFINANCE(IF(ISBLANK(E17), D17, E17&amp;"":""&amp;D17), ""change""))"),-0.29)</f>
        <v>-0.28999999999999998</v>
      </c>
      <c r="J17" s="32">
        <f ca="1">IFERROR(__xludf.DUMMYFUNCTION("IF(ISBLANK(D17), 0, GOOGLEFINANCE(IF(ISBLANK(E17), D17, E17&amp;"":""&amp;D17), ""changepct"")/100)"),-0.0029)</f>
        <v>-2.8999999999999998E-3</v>
      </c>
      <c r="K17" s="27">
        <v>1</v>
      </c>
      <c r="L17" s="48">
        <f t="shared" ca="1" si="0"/>
        <v>100.66</v>
      </c>
      <c r="M17" s="45"/>
      <c r="N17" s="45"/>
      <c r="O17" s="35"/>
      <c r="P17" s="46"/>
      <c r="Q17" s="46"/>
      <c r="R17" s="46"/>
      <c r="S17" s="46"/>
      <c r="T17" s="46"/>
      <c r="U17" s="46"/>
      <c r="V17" s="46"/>
    </row>
    <row r="18" spans="1:22" ht="17.25" customHeight="1" x14ac:dyDescent="0.25">
      <c r="A18" s="322"/>
      <c r="B18" s="37"/>
      <c r="C18" s="330"/>
      <c r="D18" s="27" t="s">
        <v>38</v>
      </c>
      <c r="E18" s="27"/>
      <c r="F18" s="26" t="str">
        <f ca="1">IFERROR(__xludf.DUMMYFUNCTION("IF(ISBLANK(D18), ""-"", GOOGLEFINANCE(IF(ISBLANK(E18), D18, E18&amp;"":""&amp;D18), ""name""))"),"Invesco DB Commodity Index Tracking Fund")</f>
        <v>Invesco DB Commodity Index Tracking Fund</v>
      </c>
      <c r="G18" s="47"/>
      <c r="H18" s="30">
        <f ca="1">IFERROR(__xludf.DUMMYFUNCTION("IF(ISBLANK(D18), 0, GOOGLEFINANCE(IF(ISBLANK(E18), D18, E18&amp;"":""&amp;D18), ""price""))"),29.42)</f>
        <v>29.42</v>
      </c>
      <c r="I18" s="31">
        <f ca="1">IFERROR(__xludf.DUMMYFUNCTION("IF(ISBLANK(D18), 0, GOOGLEFINANCE(IF(ISBLANK(E18), D18, E18&amp;"":""&amp;D18), ""change""))"),0.82)</f>
        <v>0.82</v>
      </c>
      <c r="J18" s="32">
        <f ca="1">IFERROR(__xludf.DUMMYFUNCTION("IF(ISBLANK(D18), 0, GOOGLEFINANCE(IF(ISBLANK(E18), D18, E18&amp;"":""&amp;D18), ""changepct"")/100)"),0.0287)</f>
        <v>2.87E-2</v>
      </c>
      <c r="K18" s="27">
        <v>1</v>
      </c>
      <c r="L18" s="48">
        <f t="shared" ca="1" si="0"/>
        <v>29.42</v>
      </c>
      <c r="M18" s="45"/>
      <c r="N18" s="45"/>
      <c r="O18" s="35"/>
      <c r="P18" s="46"/>
      <c r="Q18" s="46"/>
      <c r="R18" s="46"/>
      <c r="S18" s="46"/>
      <c r="T18" s="46"/>
      <c r="U18" s="46"/>
      <c r="V18" s="46"/>
    </row>
    <row r="19" spans="1:22" ht="17.25" customHeight="1" x14ac:dyDescent="0.25">
      <c r="A19" s="322"/>
      <c r="B19" s="37"/>
      <c r="C19" s="330"/>
      <c r="D19" s="27" t="s">
        <v>44</v>
      </c>
      <c r="E19" s="27"/>
      <c r="F19" s="26" t="str">
        <f ca="1">IFERROR(__xludf.DUMMYFUNCTION("IF(ISBLANK(D19), ""-"", GOOGLEFINANCE(IF(ISBLANK(E19), D19, E19&amp;"":""&amp;D19), ""name""))"),"SPDR Gold Trust")</f>
        <v>SPDR Gold Trust</v>
      </c>
      <c r="G19" s="47"/>
      <c r="H19" s="30">
        <f ca="1">IFERROR(__xludf.DUMMYFUNCTION("IF(ISBLANK(D19), 0, GOOGLEFINANCE(IF(ISBLANK(E19), D19, E19&amp;"":""&amp;D19), ""price""))"),371.08)</f>
        <v>371.08</v>
      </c>
      <c r="I19" s="31">
        <f ca="1">IFERROR(__xludf.DUMMYFUNCTION("IF(ISBLANK(D19), 0, GOOGLEFINANCE(IF(ISBLANK(E19), D19, E19&amp;"":""&amp;D19), ""change""))"),1.71)</f>
        <v>1.71</v>
      </c>
      <c r="J19" s="32">
        <f ca="1">IFERROR(__xludf.DUMMYFUNCTION("IF(ISBLANK(D19), 0, GOOGLEFINANCE(IF(ISBLANK(E19), D19, E19&amp;"":""&amp;D19), ""changepct"")/100)"),0.0046)</f>
        <v>4.5999999999999999E-3</v>
      </c>
      <c r="K19" s="27">
        <v>1</v>
      </c>
      <c r="L19" s="48">
        <f t="shared" ca="1" si="0"/>
        <v>371.08</v>
      </c>
      <c r="M19" s="45"/>
      <c r="N19" s="45"/>
      <c r="O19" s="35"/>
      <c r="P19" s="46"/>
      <c r="Q19" s="46"/>
      <c r="R19" s="46"/>
      <c r="S19" s="46"/>
      <c r="T19" s="46"/>
      <c r="U19" s="46"/>
      <c r="V19" s="46"/>
    </row>
    <row r="20" spans="1:22" ht="17.25" customHeight="1" x14ac:dyDescent="0.25">
      <c r="A20" s="322"/>
      <c r="B20" s="37"/>
      <c r="C20" s="330"/>
      <c r="D20" s="27" t="s">
        <v>46</v>
      </c>
      <c r="E20" s="27"/>
      <c r="F20" s="26" t="str">
        <f ca="1">IFERROR(__xludf.DUMMYFUNCTION("IF(ISBLANK(D20), ""-"", GOOGLEFINANCE(IF(ISBLANK(E20), D20, E20&amp;"":""&amp;D20), ""name""))"),"iShares iBoxx $ Inv Grade Corporate Bond ETF")</f>
        <v>iShares iBoxx $ Inv Grade Corporate Bond ETF</v>
      </c>
      <c r="G20" s="47"/>
      <c r="H20" s="30">
        <f ca="1">IFERROR(__xludf.DUMMYFUNCTION("IF(ISBLANK(D20), 0, GOOGLEFINANCE(IF(ISBLANK(E20), D20, E20&amp;"":""&amp;D20), ""price""))"),106.22)</f>
        <v>106.22</v>
      </c>
      <c r="I20" s="31">
        <f ca="1">IFERROR(__xludf.DUMMYFUNCTION("IF(ISBLANK(D20), 0, GOOGLEFINANCE(IF(ISBLANK(E20), D20, E20&amp;"":""&amp;D20), ""change""))"),-0.61)</f>
        <v>-0.61</v>
      </c>
      <c r="J20" s="32">
        <f ca="1">IFERROR(__xludf.DUMMYFUNCTION("IF(ISBLANK(D20), 0, GOOGLEFINANCE(IF(ISBLANK(E20), D20, E20&amp;"":""&amp;D20), ""changepct"")/100)"),-0.00569999999999999)</f>
        <v>-5.6999999999999898E-3</v>
      </c>
      <c r="K20" s="27">
        <v>1</v>
      </c>
      <c r="L20" s="48">
        <f t="shared" ca="1" si="0"/>
        <v>106.22</v>
      </c>
      <c r="M20" s="45"/>
      <c r="N20" s="45"/>
      <c r="O20" s="35"/>
      <c r="P20" s="46"/>
      <c r="Q20" s="46"/>
      <c r="R20" s="46"/>
      <c r="S20" s="46"/>
      <c r="T20" s="46"/>
      <c r="U20" s="46"/>
      <c r="V20" s="46"/>
    </row>
    <row r="21" spans="1:22" ht="17.25" customHeight="1" x14ac:dyDescent="0.25">
      <c r="A21" s="322"/>
      <c r="B21" s="37"/>
      <c r="C21" s="331"/>
      <c r="D21" s="89" t="s">
        <v>47</v>
      </c>
      <c r="E21" s="89"/>
      <c r="F21" s="92" t="str">
        <f ca="1">IFERROR(__xludf.DUMMYFUNCTION("IF(ISBLANK(D21), ""-"", GOOGLEFINANCE(IF(ISBLANK(E21), D21, E21&amp;"":""&amp;D21), ""name""))"),"iShares iBoxx $ High Yield Corporate Bond ETF")</f>
        <v>iShares iBoxx $ High Yield Corporate Bond ETF</v>
      </c>
      <c r="G21" s="94"/>
      <c r="H21" s="96">
        <f ca="1">IFERROR(__xludf.DUMMYFUNCTION("IF(ISBLANK(D21), 0, GOOGLEFINANCE(IF(ISBLANK(E21), D21, E21&amp;"":""&amp;D21), ""price""))"),79.24)</f>
        <v>79.239999999999995</v>
      </c>
      <c r="I21" s="98">
        <f ca="1">IFERROR(__xludf.DUMMYFUNCTION("IF(ISBLANK(D21), 0, GOOGLEFINANCE(IF(ISBLANK(E21), D21, E21&amp;"":""&amp;D21), ""change""))"),-0.18)</f>
        <v>-0.18</v>
      </c>
      <c r="J21" s="99">
        <f ca="1">IFERROR(__xludf.DUMMYFUNCTION("IF(ISBLANK(D21), 0, GOOGLEFINANCE(IF(ISBLANK(E21), D21, E21&amp;"":""&amp;D21), ""changepct"")/100)"),-0.0023)</f>
        <v>-2.3E-3</v>
      </c>
      <c r="K21" s="89">
        <v>1</v>
      </c>
      <c r="L21" s="101">
        <f t="shared" ca="1" si="0"/>
        <v>79.239999999999995</v>
      </c>
      <c r="M21" s="45"/>
      <c r="N21" s="45"/>
      <c r="O21" s="35"/>
      <c r="P21" s="102"/>
      <c r="Q21" s="102"/>
      <c r="R21" s="102"/>
      <c r="S21" s="102"/>
      <c r="T21" s="104"/>
      <c r="U21" s="104"/>
      <c r="V21" s="105"/>
    </row>
    <row r="22" spans="1:22" ht="17.25" customHeight="1" x14ac:dyDescent="0.25">
      <c r="A22" s="322"/>
      <c r="B22" s="334"/>
      <c r="C22" s="329" t="s">
        <v>52</v>
      </c>
      <c r="D22" s="27" t="s">
        <v>25</v>
      </c>
      <c r="E22" s="27"/>
      <c r="F22" s="26" t="str">
        <f ca="1">IFERROR(__xludf.DUMMYFUNCTION("IF(ISBLANK(D22), ""-"", GOOGLEFINANCE(IF(ISBLANK(E22), D22, E22&amp;"":""&amp;D22), ""name""))"),"State Street SPDR S&amp;P 500 ETF Trust")</f>
        <v>State Street SPDR S&amp;P 500 ETF Trust</v>
      </c>
      <c r="G22" s="47" t="s">
        <v>54</v>
      </c>
      <c r="H22" s="30">
        <f ca="1">IFERROR(__xludf.DUMMYFUNCTION("IF(ISBLANK(D22), 0, GOOGLEFINANCE(IF(ISBLANK(E22), D22, E22&amp;"":""&amp;D22), ""price""))"),729.46)</f>
        <v>729.46</v>
      </c>
      <c r="I22" s="31">
        <f ca="1">IFERROR(__xludf.DUMMYFUNCTION("IF(ISBLANK(D22), 0, GOOGLEFINANCE(IF(ISBLANK(E22), D22, E22&amp;"":""&amp;D22), ""change""))"),-11.4)</f>
        <v>-11.4</v>
      </c>
      <c r="J22" s="32">
        <f ca="1">IFERROR(__xludf.DUMMYFUNCTION("IF(ISBLANK(D22), 0, GOOGLEFINANCE(IF(ISBLANK(E22), D22, E22&amp;"":""&amp;D22), ""changepct"")/100)"),-0.0154)</f>
        <v>-1.54E-2</v>
      </c>
      <c r="K22" s="27">
        <v>1</v>
      </c>
      <c r="L22" s="48">
        <f t="shared" ca="1" si="0"/>
        <v>729.46</v>
      </c>
      <c r="M22" s="45"/>
      <c r="N22" s="45"/>
      <c r="O22" s="35">
        <f t="shared" ref="O22:O25" ca="1" si="2">(P22*12)+(Q22*4)+(R22*2)+(S22*1)</f>
        <v>0.34343961810261159</v>
      </c>
      <c r="P22" s="102">
        <f ca="1">(SPY!$F$278-SPY!$F$256)/SPY!$F$256</f>
        <v>6.447276368674842E-4</v>
      </c>
      <c r="Q22" s="102">
        <f ca="1">(SPY!$F$278-SPY!$F$214)/SPY!$F$214</f>
        <v>1.9981263196163258E-2</v>
      </c>
      <c r="R22" s="102">
        <f ca="1">(SPY!$F$278-SPY!$F$151)/SPY!$F$151</f>
        <v>5.302210096285713E-2</v>
      </c>
      <c r="S22" s="102">
        <f ca="1">(SPY!$F$278-SPY!$F$28)/SPY!$F$28</f>
        <v>0.14973363174983451</v>
      </c>
      <c r="T22" s="104"/>
      <c r="U22" s="104"/>
      <c r="V22" s="335" t="s">
        <v>74</v>
      </c>
    </row>
    <row r="23" spans="1:22" ht="17.25" customHeight="1" x14ac:dyDescent="0.25">
      <c r="A23" s="322"/>
      <c r="B23" s="322"/>
      <c r="C23" s="330"/>
      <c r="D23" s="27" t="s">
        <v>75</v>
      </c>
      <c r="E23" s="27"/>
      <c r="F23" s="26" t="str">
        <f ca="1">IFERROR(__xludf.DUMMYFUNCTION("IF(ISBLANK(D23), ""-"", GOOGLEFINANCE(IF(ISBLANK(E23), D23, E23&amp;"":""&amp;D23), ""name""))"),"iShares MSCI EAFE ETF")</f>
        <v>iShares MSCI EAFE ETF</v>
      </c>
      <c r="G23" s="47" t="s">
        <v>77</v>
      </c>
      <c r="H23" s="30">
        <f ca="1">IFERROR(__xludf.DUMMYFUNCTION("IF(ISBLANK(D23), 0, GOOGLEFINANCE(IF(ISBLANK(E23), D23, E23&amp;"":""&amp;D23), ""price""))"),103.37)</f>
        <v>103.37</v>
      </c>
      <c r="I23" s="31">
        <f ca="1">IFERROR(__xludf.DUMMYFUNCTION("IF(ISBLANK(D23), 0, GOOGLEFINANCE(IF(ISBLANK(E23), D23, E23&amp;"":""&amp;D23), ""change""))"),-0.52)</f>
        <v>-0.52</v>
      </c>
      <c r="J23" s="32">
        <f ca="1">IFERROR(__xludf.DUMMYFUNCTION("IF(ISBLANK(D23), 0, GOOGLEFINANCE(IF(ISBLANK(E23), D23, E23&amp;"":""&amp;D23), ""changepct"")/100)"),-0.005)</f>
        <v>-5.0000000000000001E-3</v>
      </c>
      <c r="K23" s="27">
        <v>1</v>
      </c>
      <c r="L23" s="48">
        <f t="shared" ca="1" si="0"/>
        <v>103.37</v>
      </c>
      <c r="M23" s="45"/>
      <c r="N23" s="45"/>
      <c r="O23" s="35">
        <f t="shared" ca="1" si="2"/>
        <v>0.40179664711414903</v>
      </c>
      <c r="P23" s="102">
        <f ca="1">(EFA!$F$278-EFA!$F$256)/EFA!$F$256</f>
        <v>8.0944021845133444E-3</v>
      </c>
      <c r="Q23" s="129">
        <f ca="1">(EFA!$F$278-EFA!$F$214)/EFA!$F$214</f>
        <v>1.9629118169264246E-2</v>
      </c>
      <c r="R23" s="102">
        <f ca="1">(EFA!$F$278-EFA!$F$151)/EFA!$F$151</f>
        <v>2.8864337613217932E-2</v>
      </c>
      <c r="S23" s="102">
        <f ca="1">(EFA!$F$278-EFA!$F$28)/EFA!$F$28</f>
        <v>0.16841867299649604</v>
      </c>
      <c r="T23" s="104"/>
      <c r="U23" s="104"/>
      <c r="V23" s="322"/>
    </row>
    <row r="24" spans="1:22" ht="17.25" customHeight="1" x14ac:dyDescent="0.25">
      <c r="A24" s="322"/>
      <c r="B24" s="322"/>
      <c r="C24" s="330"/>
      <c r="D24" s="27" t="s">
        <v>89</v>
      </c>
      <c r="E24" s="27"/>
      <c r="F24" s="26" t="str">
        <f ca="1">IFERROR(__xludf.DUMMYFUNCTION("IF(ISBLANK(D24), ""-"", GOOGLEFINANCE(IF(ISBLANK(E24), D24, E24&amp;"":""&amp;D24), ""name""))"),"iShares MSCI Emerging Markets ETF")</f>
        <v>iShares MSCI Emerging Markets ETF</v>
      </c>
      <c r="G24" s="47" t="s">
        <v>90</v>
      </c>
      <c r="H24" s="30">
        <f ca="1">IFERROR(__xludf.DUMMYFUNCTION("IF(ISBLANK(D24), 0, GOOGLEFINANCE(IF(ISBLANK(E24), D24, E24&amp;"":""&amp;D24), ""price""))"),61.07)</f>
        <v>61.07</v>
      </c>
      <c r="I24" s="31">
        <f ca="1">IFERROR(__xludf.DUMMYFUNCTION("IF(ISBLANK(D24), 0, GOOGLEFINANCE(IF(ISBLANK(E24), D24, E24&amp;"":""&amp;D24), ""change""))"),-1.29)</f>
        <v>-1.29</v>
      </c>
      <c r="J24" s="32">
        <f ca="1">IFERROR(__xludf.DUMMYFUNCTION("IF(ISBLANK(D24), 0, GOOGLEFINANCE(IF(ISBLANK(E24), D24, E24&amp;"":""&amp;D24), ""changepct"")/100)"),-0.0207)</f>
        <v>-2.07E-2</v>
      </c>
      <c r="K24" s="27">
        <v>1</v>
      </c>
      <c r="L24" s="48">
        <f t="shared" ca="1" si="0"/>
        <v>61.07</v>
      </c>
      <c r="M24" s="45"/>
      <c r="N24" s="45"/>
      <c r="O24" s="35">
        <f t="shared" ca="1" si="2"/>
        <v>-0.93992218686588092</v>
      </c>
      <c r="P24" s="102">
        <f ca="1">(EEM!F278-EEM!F256)/EEM!F256</f>
        <v>-9.1084982884357762E-2</v>
      </c>
      <c r="Q24" s="102">
        <f ca="1">(EEM!F278-EEM!F214)/EEM!F214</f>
        <v>-4.0383406662476432E-2</v>
      </c>
      <c r="R24" s="102">
        <f ca="1">(EEM!F278-EEM!F151)/EEM!F151</f>
        <v>3.2110866993408795E-2</v>
      </c>
      <c r="S24" s="102">
        <f ca="1">(EEM!F278-EEM!F28)/EEM!F28</f>
        <v>0.25040950040950033</v>
      </c>
      <c r="T24" s="104"/>
      <c r="U24" s="104"/>
      <c r="V24" s="322"/>
    </row>
    <row r="25" spans="1:22" ht="17.25" customHeight="1" x14ac:dyDescent="0.25">
      <c r="A25" s="322"/>
      <c r="B25" s="322"/>
      <c r="C25" s="330"/>
      <c r="D25" s="27" t="s">
        <v>91</v>
      </c>
      <c r="E25" s="27"/>
      <c r="F25" s="26" t="str">
        <f ca="1">IFERROR(__xludf.DUMMYFUNCTION("IF(ISBLANK(D25), ""-"", GOOGLEFINANCE(IF(ISBLANK(E25), D25, E25&amp;"":""&amp;D25), ""name""))"),"iShares Core US Aggregate Bond ETF")</f>
        <v>iShares Core US Aggregate Bond ETF</v>
      </c>
      <c r="G25" s="47" t="s">
        <v>92</v>
      </c>
      <c r="H25" s="30">
        <f ca="1">IFERROR(__xludf.DUMMYFUNCTION("IF(ISBLANK(D25), 0, GOOGLEFINANCE(IF(ISBLANK(E25), D25, E25&amp;"":""&amp;D25), ""price""))"),97.55)</f>
        <v>97.55</v>
      </c>
      <c r="I25" s="31">
        <f ca="1">IFERROR(__xludf.DUMMYFUNCTION("IF(ISBLANK(D25), 0, GOOGLEFINANCE(IF(ISBLANK(E25), D25, E25&amp;"":""&amp;D25), ""change""))"),-0.37)</f>
        <v>-0.37</v>
      </c>
      <c r="J25" s="32">
        <f ca="1">IFERROR(__xludf.DUMMYFUNCTION("IF(ISBLANK(D25), 0, GOOGLEFINANCE(IF(ISBLANK(E25), D25, E25&amp;"":""&amp;D25), ""changepct"")/100)"),-0.0038)</f>
        <v>-3.8E-3</v>
      </c>
      <c r="K25" s="27">
        <v>1</v>
      </c>
      <c r="L25" s="48">
        <f t="shared" ca="1" si="0"/>
        <v>97.55</v>
      </c>
      <c r="M25" s="45"/>
      <c r="N25" s="45"/>
      <c r="O25" s="35">
        <f t="shared" ca="1" si="2"/>
        <v>-0.35666026451923921</v>
      </c>
      <c r="P25" s="102">
        <f ca="1">(AGG!F278-AGG!F256)/AGG!F256</f>
        <v>-1.8018924904368898E-2</v>
      </c>
      <c r="Q25" s="102">
        <f ca="1">(AGG!F278-AGG!F214)/AGG!F214</f>
        <v>-1.9006436041834277E-2</v>
      </c>
      <c r="R25" s="102">
        <f ca="1">(AGG!F278-AGG!F151)/AGG!F151</f>
        <v>-2.7029722720925672E-2</v>
      </c>
      <c r="S25" s="102">
        <f ca="1">(AGG!F278-AGG!F28)/AGG!F28</f>
        <v>-1.0347976057623984E-2</v>
      </c>
      <c r="T25" s="104"/>
      <c r="U25" s="104"/>
      <c r="V25" s="322"/>
    </row>
    <row r="26" spans="1:22" ht="17.25" customHeight="1" x14ac:dyDescent="0.25">
      <c r="A26" s="322"/>
      <c r="B26" s="322"/>
      <c r="C26" s="331"/>
      <c r="D26" s="89" t="s">
        <v>26</v>
      </c>
      <c r="E26" s="89"/>
      <c r="F26" s="92" t="str">
        <f ca="1">IFERROR(__xludf.DUMMYFUNCTION("IF(ISBLANK(D26), ""-"", GOOGLEFINANCE(IF(ISBLANK(E26), D26, E26&amp;"":""&amp;D26), ""name""))"),"Invesco QQQ Trust, Series 1")</f>
        <v>Invesco QQQ Trust, Series 1</v>
      </c>
      <c r="G26" s="94" t="s">
        <v>54</v>
      </c>
      <c r="H26" s="96">
        <f ca="1">IFERROR(__xludf.DUMMYFUNCTION("IF(ISBLANK(D26), 0, GOOGLEFINANCE(IF(ISBLANK(E26), D26, E26&amp;"":""&amp;D26), ""price""))"),661.73)</f>
        <v>661.73</v>
      </c>
      <c r="I26" s="98">
        <f ca="1">IFERROR(__xludf.DUMMYFUNCTION("IF(ISBLANK(D26), 0, GOOGLEFINANCE(IF(ISBLANK(E26), D26, E26&amp;"":""&amp;D26), ""change""))"),-13.76)</f>
        <v>-13.76</v>
      </c>
      <c r="J26" s="99">
        <f ca="1">IFERROR(__xludf.DUMMYFUNCTION("IF(ISBLANK(D26), 0, GOOGLEFINANCE(IF(ISBLANK(E26), D26, E26&amp;"":""&amp;D26), ""changepct"")/100)"),-0.0204)</f>
        <v>-2.0400000000000001E-2</v>
      </c>
      <c r="K26" s="89">
        <v>1</v>
      </c>
      <c r="L26" s="101">
        <f t="shared" ca="1" si="0"/>
        <v>661.73</v>
      </c>
      <c r="M26" s="45"/>
      <c r="N26" s="45"/>
      <c r="O26" s="35"/>
      <c r="P26" s="102"/>
      <c r="Q26" s="102"/>
      <c r="R26" s="102"/>
      <c r="S26" s="102"/>
      <c r="T26" s="104"/>
      <c r="U26" s="104"/>
      <c r="V26" s="105"/>
    </row>
    <row r="27" spans="1:22" ht="17.25" customHeight="1" x14ac:dyDescent="0.25">
      <c r="A27" s="322"/>
      <c r="B27" s="322"/>
      <c r="C27" s="332" t="s">
        <v>95</v>
      </c>
      <c r="D27" s="38" t="s">
        <v>46</v>
      </c>
      <c r="E27" s="38"/>
      <c r="F27" s="39" t="str">
        <f ca="1">IFERROR(__xludf.DUMMYFUNCTION("IF(ISBLANK(D27), ""-"", GOOGLEFINANCE(IF(ISBLANK(E27), D27, E27&amp;"":""&amp;D27), ""name""))"),"iShares iBoxx $ Inv Grade Corporate Bond ETF")</f>
        <v>iShares iBoxx $ Inv Grade Corporate Bond ETF</v>
      </c>
      <c r="G27" s="40" t="s">
        <v>97</v>
      </c>
      <c r="H27" s="41">
        <f ca="1">IFERROR(__xludf.DUMMYFUNCTION("IF(ISBLANK(D27), 0, GOOGLEFINANCE(IF(ISBLANK(E27), D27, E27&amp;"":""&amp;D27), ""price""))"),106.22)</f>
        <v>106.22</v>
      </c>
      <c r="I27" s="42">
        <f ca="1">IFERROR(__xludf.DUMMYFUNCTION("IF(ISBLANK(D27), 0, GOOGLEFINANCE(IF(ISBLANK(E27), D27, E27&amp;"":""&amp;D27), ""change""))"),-0.61)</f>
        <v>-0.61</v>
      </c>
      <c r="J27" s="43">
        <f ca="1">IFERROR(__xludf.DUMMYFUNCTION("IF(ISBLANK(D27), 0, GOOGLEFINANCE(IF(ISBLANK(E27), D27, E27&amp;"":""&amp;D27), ""changepct"")/100)"),-0.00569999999999999)</f>
        <v>-5.6999999999999898E-3</v>
      </c>
      <c r="K27" s="38">
        <v>1</v>
      </c>
      <c r="L27" s="44">
        <f t="shared" ca="1" si="0"/>
        <v>106.22</v>
      </c>
      <c r="M27" s="333"/>
      <c r="N27" s="45"/>
      <c r="O27" s="35">
        <f t="shared" ref="O27:O33" ca="1" si="3">(P27*12)+(Q27*4)+(R27*2)+(S27*1)</f>
        <v>-0.58295136714416596</v>
      </c>
      <c r="P27" s="153">
        <f ca="1">(LQD!F278-LQD!F256)/LQD!F256</f>
        <v>-2.9954337899543389E-2</v>
      </c>
      <c r="Q27" s="46">
        <f ca="1">(LQD!F278-LQD!F214)/LQD!F214</f>
        <v>-2.8090401683594172E-2</v>
      </c>
      <c r="R27" s="46">
        <f ca="1">(LQD!F278-LQD!F151)/LQD!F151</f>
        <v>-4.2459208509871157E-2</v>
      </c>
      <c r="S27" s="46">
        <f ca="1">(LQD!F278-LQD!F28)/LQD!F28</f>
        <v>-2.6219288595526215E-2</v>
      </c>
      <c r="T27" s="158"/>
      <c r="U27" s="159"/>
      <c r="V27" s="336" t="s">
        <v>100</v>
      </c>
    </row>
    <row r="28" spans="1:22" ht="17.25" customHeight="1" x14ac:dyDescent="0.25">
      <c r="A28" s="322"/>
      <c r="B28" s="322"/>
      <c r="C28" s="330"/>
      <c r="D28" s="27" t="s">
        <v>101</v>
      </c>
      <c r="E28" s="27"/>
      <c r="F28" s="26" t="str">
        <f ca="1">IFERROR(__xludf.DUMMYFUNCTION("IF(ISBLANK(D28), ""-"", GOOGLEFINANCE(IF(ISBLANK(E28), D28, E28&amp;"":""&amp;D28), ""name""))"),"iShares 7-10 Year Treasury Bond ETF")</f>
        <v>iShares 7-10 Year Treasury Bond ETF</v>
      </c>
      <c r="G28" s="47" t="s">
        <v>102</v>
      </c>
      <c r="H28" s="30">
        <f ca="1">IFERROR(__xludf.DUMMYFUNCTION("IF(ISBLANK(D28), 0, GOOGLEFINANCE(IF(ISBLANK(E28), D28, E28&amp;"":""&amp;D28), ""price""))"),93.17)</f>
        <v>93.17</v>
      </c>
      <c r="I28" s="31">
        <f ca="1">IFERROR(__xludf.DUMMYFUNCTION("IF(ISBLANK(D28), 0, GOOGLEFINANCE(IF(ISBLANK(E28), D28, E28&amp;"":""&amp;D28), ""change""))"),-0.39)</f>
        <v>-0.39</v>
      </c>
      <c r="J28" s="32">
        <f ca="1">IFERROR(__xludf.DUMMYFUNCTION("IF(ISBLANK(D28), 0, GOOGLEFINANCE(IF(ISBLANK(E28), D28, E28&amp;"":""&amp;D28), ""changepct"")/100)"),-0.0042)</f>
        <v>-4.1999999999999997E-3</v>
      </c>
      <c r="K28" s="27">
        <v>1</v>
      </c>
      <c r="L28" s="48">
        <f t="shared" ca="1" si="0"/>
        <v>93.17</v>
      </c>
      <c r="M28" s="322"/>
      <c r="N28" s="45"/>
      <c r="O28" s="35">
        <f t="shared" ca="1" si="3"/>
        <v>-0.40409352998356923</v>
      </c>
      <c r="P28" s="46">
        <f ca="1">(IEF!F278-IEF!F256)/IEF!F256</f>
        <v>-1.9572766494791113E-2</v>
      </c>
      <c r="Q28" s="46">
        <f ca="1">(IEF!F278-IEF!F214)/IEF!F214</f>
        <v>-2.2760646108663747E-2</v>
      </c>
      <c r="R28" s="46">
        <f ca="1">(IEF!F278-IEF!F151)/IEF!F151</f>
        <v>-3.0388177750026033E-2</v>
      </c>
      <c r="S28" s="46">
        <f ca="1">(IEF!F278-IEF!F28)/IEF!F28</f>
        <v>-1.7401392111368822E-2</v>
      </c>
      <c r="T28" s="169"/>
      <c r="U28" s="159"/>
      <c r="V28" s="322"/>
    </row>
    <row r="29" spans="1:22" ht="17.25" customHeight="1" x14ac:dyDescent="0.25">
      <c r="C29" s="330"/>
      <c r="D29" s="27" t="s">
        <v>105</v>
      </c>
      <c r="E29" s="27"/>
      <c r="F29" s="26" t="str">
        <f ca="1">IFERROR(__xludf.DUMMYFUNCTION("IF(ISBLANK(D29), ""-"", GOOGLEFINANCE(IF(ISBLANK(E29), D29, E29&amp;"":""&amp;D29), ""name""))"),"State Street SPDR Bloomberg 1-3 Month T-Bill ETF")</f>
        <v>State Street SPDR Bloomberg 1-3 Month T-Bill ETF</v>
      </c>
      <c r="G29" s="47" t="s">
        <v>106</v>
      </c>
      <c r="H29" s="30">
        <f ca="1">IFERROR(__xludf.DUMMYFUNCTION("IF(ISBLANK(D29), 0, GOOGLEFINANCE(IF(ISBLANK(E29), D29, E29&amp;"":""&amp;D29), ""price""))"),91.64)</f>
        <v>91.64</v>
      </c>
      <c r="I29" s="31">
        <f ca="1">IFERROR(__xludf.DUMMYFUNCTION("IF(ISBLANK(D29), 0, GOOGLEFINANCE(IF(ISBLANK(E29), D29, E29&amp;"":""&amp;D29), ""change""))"),0.01)</f>
        <v>0.01</v>
      </c>
      <c r="J29" s="32">
        <f ca="1">IFERROR(__xludf.DUMMYFUNCTION("IF(ISBLANK(D29), 0, GOOGLEFINANCE(IF(ISBLANK(E29), D29, E29&amp;"":""&amp;D29), ""changepct"")/100)"),0.0001)</f>
        <v>1E-4</v>
      </c>
      <c r="K29" s="27">
        <v>1</v>
      </c>
      <c r="L29" s="48">
        <f t="shared" ca="1" si="0"/>
        <v>91.64</v>
      </c>
      <c r="O29" s="35">
        <f t="shared" ca="1" si="3"/>
        <v>2.1845717416217733E-3</v>
      </c>
      <c r="P29" s="46">
        <f ca="1">(BIL!$F$278-BIL!$F$256)/BIL!$F$256</f>
        <v>1.0913456291613135E-4</v>
      </c>
      <c r="Q29" s="46">
        <f ca="1">(BIL!$F$278-BIL!$F$214)/BIL!$F$214</f>
        <v>2.182929491376994E-4</v>
      </c>
      <c r="R29" s="46">
        <f ca="1">(BIL!$F$278-BIL!$F$151)/BIL!$F$151</f>
        <v>5.4591112566871008E-4</v>
      </c>
      <c r="S29" s="46">
        <f ca="1">(BIL!$F$278-BIL!$F$28)/BIL!$F$28</f>
        <v>-1.090037061260021E-3</v>
      </c>
      <c r="T29" s="158"/>
      <c r="U29" s="159"/>
      <c r="V29" s="322"/>
    </row>
    <row r="30" spans="1:22" ht="17.25" customHeight="1" x14ac:dyDescent="0.25">
      <c r="C30" s="330"/>
      <c r="D30" s="27" t="s">
        <v>109</v>
      </c>
      <c r="E30" s="27"/>
      <c r="F30" s="26" t="str">
        <f ca="1">IFERROR(__xludf.DUMMYFUNCTION("IF(ISBLANK(D30), ""-"", GOOGLEFINANCE(IF(ISBLANK(E30), D30, E30&amp;"":""&amp;D30), ""name""))"),"iShares 20+ Year Treasury Bond ETF")</f>
        <v>iShares 20+ Year Treasury Bond ETF</v>
      </c>
      <c r="G30" s="47" t="s">
        <v>110</v>
      </c>
      <c r="H30" s="30">
        <f ca="1">IFERROR(__xludf.DUMMYFUNCTION("IF(ISBLANK(D30), 0, GOOGLEFINANCE(IF(ISBLANK(E30), D30, E30&amp;"":""&amp;D30), ""price""))"),82.85)</f>
        <v>82.85</v>
      </c>
      <c r="I30" s="31">
        <f ca="1">IFERROR(__xludf.DUMMYFUNCTION("IF(ISBLANK(D30), 0, GOOGLEFINANCE(IF(ISBLANK(E30), D30, E30&amp;"":""&amp;D30), ""change""))"),-1.39)</f>
        <v>-1.39</v>
      </c>
      <c r="J30" s="32">
        <f ca="1">IFERROR(__xludf.DUMMYFUNCTION("IF(ISBLANK(D30), 0, GOOGLEFINANCE(IF(ISBLANK(E30), D30, E30&amp;"":""&amp;D30), ""changepct"")/100)"),-0.0165)</f>
        <v>-1.6500000000000001E-2</v>
      </c>
      <c r="K30" s="27">
        <v>1</v>
      </c>
      <c r="L30" s="48">
        <f t="shared" ca="1" si="0"/>
        <v>82.85</v>
      </c>
      <c r="O30" s="35">
        <f t="shared" ca="1" si="3"/>
        <v>-0.94930350303693745</v>
      </c>
      <c r="P30" s="46">
        <f ca="1">(TLT!$F$278-TLT!$F$256)/TLT!$F$256</f>
        <v>-5.1625457875457935E-2</v>
      </c>
      <c r="Q30" s="46">
        <f ca="1">(TLT!$F$278-TLT!$F$214)/TLT!$F$214</f>
        <v>-3.9754288363467859E-2</v>
      </c>
      <c r="R30" s="46">
        <f ca="1">(TLT!$F$278-TLT!$F$151)/TLT!$F$151</f>
        <v>-6.2252405206564804E-2</v>
      </c>
      <c r="S30" s="46">
        <f ca="1">(TLT!$F$278-TLT!$F$28)/TLT!$F$28</f>
        <v>-4.6276044664441233E-2</v>
      </c>
      <c r="T30" s="158"/>
      <c r="U30" s="159"/>
      <c r="V30" s="322"/>
    </row>
    <row r="31" spans="1:22" ht="17.25" customHeight="1" x14ac:dyDescent="0.25">
      <c r="B31" s="26"/>
      <c r="C31" s="330"/>
      <c r="D31" s="27" t="s">
        <v>111</v>
      </c>
      <c r="E31" s="27"/>
      <c r="F31" s="26" t="str">
        <f ca="1">IFERROR(__xludf.DUMMYFUNCTION("IF(ISBLANK(D31), ""-"", GOOGLEFINANCE(IF(ISBLANK(E31), D31, E31&amp;"":""&amp;D31), ""name""))"),"iShares TIPS Bond ETF")</f>
        <v>iShares TIPS Bond ETF</v>
      </c>
      <c r="G31" s="47" t="s">
        <v>112</v>
      </c>
      <c r="H31" s="30">
        <f ca="1">IFERROR(__xludf.DUMMYFUNCTION("IF(ISBLANK(D31), 0, GOOGLEFINANCE(IF(ISBLANK(E31), D31, E31&amp;"":""&amp;D31), ""price""))"),107.77)</f>
        <v>107.77</v>
      </c>
      <c r="I31" s="31">
        <f ca="1">IFERROR(__xludf.DUMMYFUNCTION("IF(ISBLANK(D31), 0, GOOGLEFINANCE(IF(ISBLANK(E31), D31, E31&amp;"":""&amp;D31), ""change""))"),0.11)</f>
        <v>0.11</v>
      </c>
      <c r="J31" s="32">
        <f ca="1">IFERROR(__xludf.DUMMYFUNCTION("IF(ISBLANK(D31), 0, GOOGLEFINANCE(IF(ISBLANK(E31), D31, E31&amp;"":""&amp;D31), ""changepct"")/100)"),0.001)</f>
        <v>1E-3</v>
      </c>
      <c r="K31" s="27">
        <v>1</v>
      </c>
      <c r="L31" s="48">
        <f t="shared" ca="1" si="0"/>
        <v>107.77</v>
      </c>
      <c r="M31" s="34"/>
      <c r="N31" s="34"/>
      <c r="O31" s="35">
        <f t="shared" ca="1" si="3"/>
        <v>-0.42049844081963755</v>
      </c>
      <c r="P31" s="46">
        <f ca="1">(TIP!$F$278-TIP!$F$256)/TIP!$F$256</f>
        <v>-1.7593436645396598E-2</v>
      </c>
      <c r="Q31" s="46">
        <f ca="1">(TIP!$F$278-TIP!$F$214)/TIP!$F$214</f>
        <v>-3.5787778473651249E-2</v>
      </c>
      <c r="R31" s="46">
        <f ca="1">(TIP!$F$278-TIP!$F$151)/TIP!$F$151</f>
        <v>-2.3645587968834928E-2</v>
      </c>
      <c r="S31" s="46">
        <f ca="1">(TIP!$F$278-TIP!$F$28)/TIP!$F$28</f>
        <v>-1.8934911242603537E-2</v>
      </c>
      <c r="T31" s="158"/>
      <c r="U31" s="159"/>
      <c r="V31" s="322"/>
    </row>
    <row r="32" spans="1:22" ht="17.25" customHeight="1" x14ac:dyDescent="0.25">
      <c r="B32" s="26"/>
      <c r="C32" s="330"/>
      <c r="D32" s="27" t="s">
        <v>113</v>
      </c>
      <c r="E32" s="27"/>
      <c r="F32" s="26" t="str">
        <f ca="1">IFERROR(__xludf.DUMMYFUNCTION("IF(ISBLANK(D32), ""-"", GOOGLEFINANCE(IF(ISBLANK(E32), D32, E32&amp;"":""&amp;D32), ""name""))"),"Vanguard Total Bond Market Index Fund ETF")</f>
        <v>Vanguard Total Bond Market Index Fund ETF</v>
      </c>
      <c r="G32" s="47" t="s">
        <v>114</v>
      </c>
      <c r="H32" s="30">
        <f ca="1">IFERROR(__xludf.DUMMYFUNCTION("IF(ISBLANK(D32), 0, GOOGLEFINANCE(IF(ISBLANK(E32), D32, E32&amp;"":""&amp;D32), ""price""))"),72.38)</f>
        <v>72.38</v>
      </c>
      <c r="I32" s="31">
        <f ca="1">IFERROR(__xludf.DUMMYFUNCTION("IF(ISBLANK(D32), 0, GOOGLEFINANCE(IF(ISBLANK(E32), D32, E32&amp;"":""&amp;D32), ""change""))"),-0.26)</f>
        <v>-0.26</v>
      </c>
      <c r="J32" s="32">
        <f ca="1">IFERROR(__xludf.DUMMYFUNCTION("IF(ISBLANK(D32), 0, GOOGLEFINANCE(IF(ISBLANK(E32), D32, E32&amp;"":""&amp;D32), ""changepct"")/100)"),-0.0036)</f>
        <v>-3.5999999999999999E-3</v>
      </c>
      <c r="K32" s="27">
        <v>1</v>
      </c>
      <c r="L32" s="48">
        <f t="shared" ca="1" si="0"/>
        <v>72.38</v>
      </c>
      <c r="M32" s="34"/>
      <c r="N32" s="34"/>
      <c r="O32" s="35">
        <f t="shared" ca="1" si="3"/>
        <v>-0.34769673604207091</v>
      </c>
      <c r="P32" s="46">
        <f ca="1">(BND!$F$278-BND!$F$256)/BND!$F$256</f>
        <v>-1.7510519885978095E-2</v>
      </c>
      <c r="Q32" s="46">
        <f ca="1">(BND!$F$278-BND!$F$214)/BND!$F$214</f>
        <v>-1.8443178736099804E-2</v>
      </c>
      <c r="R32" s="46">
        <f ca="1">(BND!$F$278-BND!$F$151)/BND!$F$151</f>
        <v>-2.6365348399246809E-2</v>
      </c>
      <c r="S32" s="46">
        <f ca="1">(BND!$F$278-BND!$F$28)/BND!$F$28</f>
        <v>-1.1067085667440938E-2</v>
      </c>
      <c r="T32" s="158"/>
      <c r="U32" s="159"/>
      <c r="V32" s="322"/>
    </row>
    <row r="33" spans="1:22" ht="17.25" customHeight="1" x14ac:dyDescent="0.25">
      <c r="B33" s="26"/>
      <c r="C33" s="331"/>
      <c r="D33" s="89" t="s">
        <v>38</v>
      </c>
      <c r="E33" s="89"/>
      <c r="F33" s="92" t="str">
        <f ca="1">IFERROR(__xludf.DUMMYFUNCTION("IF(ISBLANK(D33), ""-"", GOOGLEFINANCE(IF(ISBLANK(E33), D33, E33&amp;"":""&amp;D33), ""name""))"),"Invesco DB Commodity Index Tracking Fund")</f>
        <v>Invesco DB Commodity Index Tracking Fund</v>
      </c>
      <c r="G33" s="94" t="s">
        <v>115</v>
      </c>
      <c r="H33" s="96">
        <f ca="1">IFERROR(__xludf.DUMMYFUNCTION("IF(ISBLANK(D33), 0, GOOGLEFINANCE(IF(ISBLANK(E33), D33, E33&amp;"":""&amp;D33), ""price""))"),29.42)</f>
        <v>29.42</v>
      </c>
      <c r="I33" s="98">
        <f ca="1">IFERROR(__xludf.DUMMYFUNCTION("IF(ISBLANK(D33), 0, GOOGLEFINANCE(IF(ISBLANK(E33), D33, E33&amp;"":""&amp;D33), ""change""))"),0.82)</f>
        <v>0.82</v>
      </c>
      <c r="J33" s="99">
        <f ca="1">IFERROR(__xludf.DUMMYFUNCTION("IF(ISBLANK(D33), 0, GOOGLEFINANCE(IF(ISBLANK(E33), D33, E33&amp;"":""&amp;D33), ""changepct"")/100)"),0.0287)</f>
        <v>2.87E-2</v>
      </c>
      <c r="K33" s="89">
        <v>1</v>
      </c>
      <c r="L33" s="101">
        <f t="shared" ca="1" si="0"/>
        <v>29.42</v>
      </c>
      <c r="M33" s="34"/>
      <c r="N33" s="34"/>
      <c r="O33" s="35">
        <f t="shared" ca="1" si="3"/>
        <v>1.9199658541574549</v>
      </c>
      <c r="P33" s="46">
        <f ca="1">(DBC!$F$278-DBC!$F$256)/DBC!$F$256</f>
        <v>0.1072638313887844</v>
      </c>
      <c r="Q33" s="46">
        <f ca="1">(DBC!$F$278-DBC!$F$214)/DBC!$F$214</f>
        <v>-2.226653373213686E-2</v>
      </c>
      <c r="R33" s="46">
        <f ca="1">(DBC!$F$278-DBC!$F$151)/DBC!$F$151</f>
        <v>0.21119802387813927</v>
      </c>
      <c r="S33" s="46">
        <f ca="1">(DBC!$F$278-DBC!$F$28)/DBC!$F$28</f>
        <v>0.29946996466431097</v>
      </c>
      <c r="T33" s="158"/>
      <c r="U33" s="159"/>
      <c r="V33" s="322"/>
    </row>
    <row r="34" spans="1:22" ht="17.25" customHeight="1" x14ac:dyDescent="0.25">
      <c r="B34" s="26"/>
      <c r="D34" s="27"/>
      <c r="E34" s="27"/>
      <c r="F34" s="26"/>
      <c r="G34" s="47"/>
      <c r="H34" s="30"/>
      <c r="I34" s="31"/>
      <c r="J34" s="32"/>
      <c r="K34" s="27"/>
      <c r="L34" s="33"/>
      <c r="M34" s="34"/>
      <c r="N34" s="34"/>
      <c r="O34" s="35"/>
      <c r="P34" s="46"/>
      <c r="Q34" s="46"/>
      <c r="R34" s="187"/>
      <c r="S34" s="46"/>
      <c r="T34" s="188"/>
    </row>
    <row r="35" spans="1:22" ht="17.25" customHeight="1" x14ac:dyDescent="0.25">
      <c r="B35" s="26"/>
      <c r="D35" s="27"/>
      <c r="E35" s="27"/>
      <c r="F35" s="26"/>
      <c r="G35" s="47"/>
      <c r="H35" s="30"/>
      <c r="I35" s="31"/>
      <c r="J35" s="32"/>
      <c r="K35" s="27"/>
      <c r="L35" s="33"/>
      <c r="M35" s="34"/>
      <c r="N35" s="34"/>
      <c r="O35" s="35"/>
      <c r="P35" s="46"/>
      <c r="Q35" s="46"/>
      <c r="R35" s="187"/>
      <c r="S35" s="46"/>
    </row>
    <row r="36" spans="1:22" ht="17.25" customHeight="1" x14ac:dyDescent="0.25">
      <c r="A36" s="333" t="s">
        <v>116</v>
      </c>
      <c r="B36" s="334"/>
      <c r="C36" s="189" t="s">
        <v>117</v>
      </c>
      <c r="D36" s="27" t="s">
        <v>25</v>
      </c>
      <c r="E36" s="27"/>
      <c r="F36" s="26" t="str">
        <f ca="1">IFERROR(__xludf.DUMMYFUNCTION("IF(ISBLANK(D36), ""-"", GOOGLEFINANCE(IF(ISBLANK(E36), D36, E36&amp;"":""&amp;D36), ""name""))"),"State Street SPDR S&amp;P 500 ETF Trust")</f>
        <v>State Street SPDR S&amp;P 500 ETF Trust</v>
      </c>
      <c r="G36" s="47" t="s">
        <v>54</v>
      </c>
      <c r="H36" s="30">
        <f ca="1">IFERROR(__xludf.DUMMYFUNCTION("IF(ISBLANK(D36), 0, GOOGLEFINANCE(IF(ISBLANK(E36), D36, E36&amp;"":""&amp;D36), ""price""))"),729.46)</f>
        <v>729.46</v>
      </c>
      <c r="I36" s="31">
        <f ca="1">IFERROR(__xludf.DUMMYFUNCTION("IF(ISBLANK(D36), 0, GOOGLEFINANCE(IF(ISBLANK(E36), D36, E36&amp;"":""&amp;D36), ""change""))"),-11.4)</f>
        <v>-11.4</v>
      </c>
      <c r="J36" s="32">
        <f ca="1">IFERROR(__xludf.DUMMYFUNCTION("IF(ISBLANK(D36), 0, GOOGLEFINANCE(IF(ISBLANK(E36), D36, E36&amp;"":""&amp;D36), ""changepct"")/100)"),-0.0154)</f>
        <v>-1.54E-2</v>
      </c>
      <c r="K36" s="27">
        <v>1</v>
      </c>
      <c r="L36" s="33">
        <f t="shared" ref="L36:L46" ca="1" si="4">K36 * H36</f>
        <v>729.46</v>
      </c>
      <c r="M36" s="45"/>
      <c r="N36" s="45"/>
      <c r="O36" s="35">
        <f t="shared" ref="O36:O46" ca="1" si="5">(P36*12)+(Q36*4)+(R36*2)+(S36*1)</f>
        <v>0.34343961810261159</v>
      </c>
      <c r="P36" s="104">
        <f ca="1">(SPY!$F$278-SPY!$F$256)/SPY!$F$256</f>
        <v>6.447276368674842E-4</v>
      </c>
      <c r="Q36" s="104">
        <f ca="1">(SPY!$F$278-SPY!$F$214)/SPY!$F$214</f>
        <v>1.9981263196163258E-2</v>
      </c>
      <c r="R36" s="104">
        <f ca="1">(SPY!$F$278-SPY!$F$151)/SPY!$F$151</f>
        <v>5.302210096285713E-2</v>
      </c>
      <c r="S36" s="194">
        <f ca="1">(SPY!$F$278-SPY!$F$28)/SPY!$F$28</f>
        <v>0.14973363174983451</v>
      </c>
      <c r="T36" s="105"/>
      <c r="U36" s="105"/>
      <c r="V36" s="335" t="s">
        <v>118</v>
      </c>
    </row>
    <row r="37" spans="1:22" ht="17.25" customHeight="1" x14ac:dyDescent="0.25">
      <c r="A37" s="322"/>
      <c r="B37" s="322"/>
      <c r="C37" s="189"/>
      <c r="D37" s="27" t="s">
        <v>75</v>
      </c>
      <c r="E37" s="27"/>
      <c r="F37" s="26" t="str">
        <f ca="1">IFERROR(__xludf.DUMMYFUNCTION("IF(ISBLANK(D37), ""-"", GOOGLEFINANCE(IF(ISBLANK(E37), D37, E37&amp;"":""&amp;D37), ""name""))"),"iShares MSCI EAFE ETF")</f>
        <v>iShares MSCI EAFE ETF</v>
      </c>
      <c r="G37" s="30"/>
      <c r="H37" s="30">
        <f ca="1">IFERROR(__xludf.DUMMYFUNCTION("IF(ISBLANK(D37), 0, GOOGLEFINANCE(IF(ISBLANK(E37), D37, E37&amp;"":""&amp;D37), ""price""))"),103.37)</f>
        <v>103.37</v>
      </c>
      <c r="I37" s="31">
        <f ca="1">IFERROR(__xludf.DUMMYFUNCTION("IF(ISBLANK(D37), 0, GOOGLEFINANCE(IF(ISBLANK(E37), D37, E37&amp;"":""&amp;D37), ""change""))"),-0.52)</f>
        <v>-0.52</v>
      </c>
      <c r="J37" s="32">
        <f ca="1">IFERROR(__xludf.DUMMYFUNCTION("IF(ISBLANK(D37), 0, GOOGLEFINANCE(IF(ISBLANK(E37), D37, E37&amp;"":""&amp;D37), ""changepct"")/100)"),-0.005)</f>
        <v>-5.0000000000000001E-3</v>
      </c>
      <c r="K37" s="27">
        <v>1</v>
      </c>
      <c r="L37" s="33">
        <f t="shared" ca="1" si="4"/>
        <v>103.37</v>
      </c>
      <c r="M37" s="34"/>
      <c r="N37" s="34"/>
      <c r="O37" s="35">
        <f t="shared" ca="1" si="5"/>
        <v>0.40179664711414903</v>
      </c>
      <c r="P37" s="104">
        <f ca="1">(EFA!$F$278-EFA!$F$256)/EFA!$F$256</f>
        <v>8.0944021845133444E-3</v>
      </c>
      <c r="Q37" s="198">
        <f ca="1">(EFA!$F$278-EFA!$F$214)/EFA!$F$214</f>
        <v>1.9629118169264246E-2</v>
      </c>
      <c r="R37" s="104">
        <f ca="1">(EFA!$F$278-EFA!$F$151)/EFA!$F$151</f>
        <v>2.8864337613217932E-2</v>
      </c>
      <c r="S37" s="194">
        <f ca="1">(EFA!$F$278-EFA!$F$28)/EFA!$F$28</f>
        <v>0.16841867299649604</v>
      </c>
      <c r="T37" s="105"/>
      <c r="U37" s="105"/>
      <c r="V37" s="322"/>
    </row>
    <row r="38" spans="1:22" ht="17.25" customHeight="1" x14ac:dyDescent="0.25">
      <c r="A38" s="322"/>
      <c r="B38" s="26"/>
      <c r="C38" s="200"/>
      <c r="D38" s="27"/>
      <c r="E38" s="27"/>
      <c r="F38" s="26" t="str">
        <f ca="1">IFERROR(__xludf.DUMMYFUNCTION("IF(ISBLANK(D38), ""-"", GOOGLEFINANCE(IF(ISBLANK(E38), D38, E38&amp;"":""&amp;D38), ""name""))"),"-")</f>
        <v>-</v>
      </c>
      <c r="G38" s="30"/>
      <c r="H38" s="30">
        <f ca="1">IFERROR(__xludf.DUMMYFUNCTION("IF(ISBLANK(D38), 0, GOOGLEFINANCE(IF(ISBLANK(E38), D38, E38&amp;"":""&amp;D38), ""price""))"),0)</f>
        <v>0</v>
      </c>
      <c r="I38" s="31">
        <f ca="1">IFERROR(__xludf.DUMMYFUNCTION("IF(ISBLANK(D38), 0, GOOGLEFINANCE(IF(ISBLANK(E38), D38, E38&amp;"":""&amp;D38), ""change""))"),0)</f>
        <v>0</v>
      </c>
      <c r="J38" s="32">
        <f ca="1">IFERROR(__xludf.DUMMYFUNCTION("IF(ISBLANK(D38), 0, GOOGLEFINANCE(IF(ISBLANK(E38), D38, E38&amp;"":""&amp;D38), ""changepct"")/100)"),0)</f>
        <v>0</v>
      </c>
      <c r="K38" s="27"/>
      <c r="L38" s="33">
        <f t="shared" ca="1" si="4"/>
        <v>0</v>
      </c>
      <c r="M38" s="34"/>
      <c r="N38" s="34"/>
      <c r="O38" s="35">
        <f t="shared" ca="1" si="5"/>
        <v>2.1845717416217733E-3</v>
      </c>
      <c r="P38" s="46">
        <f ca="1">(BIL!$F$278-BIL!$F$256)/BIL!$F$256</f>
        <v>1.0913456291613135E-4</v>
      </c>
      <c r="Q38" s="46">
        <f ca="1">(BIL!$F$278-BIL!$F$214)/BIL!$F$214</f>
        <v>2.182929491376994E-4</v>
      </c>
      <c r="R38" s="46">
        <f ca="1">(BIL!$F$278-BIL!$F$151)/BIL!$F$151</f>
        <v>5.4591112566871008E-4</v>
      </c>
      <c r="S38" s="46">
        <f ca="1">(BIL!$F$278-BIL!$F$28)/BIL!$F$28</f>
        <v>-1.090037061260021E-3</v>
      </c>
      <c r="T38" s="187"/>
      <c r="U38" s="187"/>
      <c r="V38" s="187"/>
    </row>
    <row r="39" spans="1:22" ht="17.25" customHeight="1" x14ac:dyDescent="0.25">
      <c r="A39" s="322"/>
      <c r="B39" s="26"/>
      <c r="C39" s="333" t="s">
        <v>121</v>
      </c>
      <c r="D39" s="27" t="s">
        <v>122</v>
      </c>
      <c r="E39" s="27"/>
      <c r="F39" s="26" t="str">
        <f ca="1">IFERROR(__xludf.DUMMYFUNCTION("IF(ISBLANK(D39), ""-"", GOOGLEFINANCE(IF(ISBLANK(E39), D39, E39&amp;"":""&amp;D39), ""name""))"),"iShares 1-3 Year Treasury Bond ETF")</f>
        <v>iShares 1-3 Year Treasury Bond ETF</v>
      </c>
      <c r="G39" s="47" t="s">
        <v>123</v>
      </c>
      <c r="H39" s="30">
        <f ca="1">IFERROR(__xludf.DUMMYFUNCTION("IF(ISBLANK(D39), 0, GOOGLEFINANCE(IF(ISBLANK(E39), D39, E39&amp;"":""&amp;D39), ""price""))"),81.99)</f>
        <v>81.99</v>
      </c>
      <c r="I39" s="31">
        <f ca="1">IFERROR(__xludf.DUMMYFUNCTION("IF(ISBLANK(D39), 0, GOOGLEFINANCE(IF(ISBLANK(E39), D39, E39&amp;"":""&amp;D39), ""change""))"),0.05)</f>
        <v>0.05</v>
      </c>
      <c r="J39" s="32">
        <f ca="1">IFERROR(__xludf.DUMMYFUNCTION("IF(ISBLANK(D39), 0, GOOGLEFINANCE(IF(ISBLANK(E39), D39, E39&amp;"":""&amp;D39), ""changepct"")/100)"),0.0006)</f>
        <v>5.9999999999999995E-4</v>
      </c>
      <c r="K39" s="27">
        <v>1</v>
      </c>
      <c r="L39" s="33">
        <f t="shared" ca="1" si="4"/>
        <v>81.99</v>
      </c>
      <c r="M39" s="34"/>
      <c r="N39" s="34"/>
      <c r="O39" s="35">
        <f t="shared" ca="1" si="5"/>
        <v>-8.3996471490353553E-2</v>
      </c>
      <c r="P39" s="46">
        <f ca="1">(SHY!F$278-SHY!F$256)/SHY!F$256</f>
        <v>-2.4333860566979298E-3</v>
      </c>
      <c r="Q39" s="46">
        <f ca="1">(SHY!F$278-SHY!F$214)/SHY!F$214</f>
        <v>-6.7837674136887009E-3</v>
      </c>
      <c r="R39" s="187">
        <f ca="1">(SHY!F$278-SHY!F$151)/SHY!F$151</f>
        <v>-1.0619041872812955E-2</v>
      </c>
      <c r="S39" s="46">
        <f ca="1">(SHY!F$278-SHY!F$28)/SHY!F$28</f>
        <v>-6.4226854095976874E-3</v>
      </c>
      <c r="T39" s="160"/>
      <c r="U39" s="160"/>
      <c r="V39" s="336" t="s">
        <v>125</v>
      </c>
    </row>
    <row r="40" spans="1:22" ht="17.25" customHeight="1" x14ac:dyDescent="0.25">
      <c r="A40" s="322"/>
      <c r="B40" s="26"/>
      <c r="C40" s="322"/>
      <c r="D40" s="27" t="s">
        <v>101</v>
      </c>
      <c r="E40" s="27"/>
      <c r="F40" s="26" t="str">
        <f ca="1">IFERROR(__xludf.DUMMYFUNCTION("IF(ISBLANK(D40), ""-"", GOOGLEFINANCE(IF(ISBLANK(E40), D40, E40&amp;"":""&amp;D40), ""name""))"),"iShares 7-10 Year Treasury Bond ETF")</f>
        <v>iShares 7-10 Year Treasury Bond ETF</v>
      </c>
      <c r="G40" s="47" t="s">
        <v>102</v>
      </c>
      <c r="H40" s="30">
        <f ca="1">IFERROR(__xludf.DUMMYFUNCTION("IF(ISBLANK(D40), 0, GOOGLEFINANCE(IF(ISBLANK(E40), D40, E40&amp;"":""&amp;D40), ""price""))"),93.17)</f>
        <v>93.17</v>
      </c>
      <c r="I40" s="31">
        <f ca="1">IFERROR(__xludf.DUMMYFUNCTION("IF(ISBLANK(D40), 0, GOOGLEFINANCE(IF(ISBLANK(E40), D40, E40&amp;"":""&amp;D40), ""change""))"),-0.39)</f>
        <v>-0.39</v>
      </c>
      <c r="J40" s="32">
        <f ca="1">IFERROR(__xludf.DUMMYFUNCTION("IF(ISBLANK(D40), 0, GOOGLEFINANCE(IF(ISBLANK(E40), D40, E40&amp;"":""&amp;D40), ""changepct"")/100)"),-0.0042)</f>
        <v>-4.1999999999999997E-3</v>
      </c>
      <c r="K40" s="27">
        <v>1</v>
      </c>
      <c r="L40" s="33">
        <f t="shared" ca="1" si="4"/>
        <v>93.17</v>
      </c>
      <c r="M40" s="34"/>
      <c r="N40" s="34"/>
      <c r="O40" s="35">
        <f t="shared" ca="1" si="5"/>
        <v>-0.40409352998356923</v>
      </c>
      <c r="P40" s="46">
        <f ca="1">(IEF!F$278-IEF!F$256)/IEF!F$256</f>
        <v>-1.9572766494791113E-2</v>
      </c>
      <c r="Q40" s="46">
        <f ca="1">(IEF!F$278-IEF!F$214)/IEF!F$214</f>
        <v>-2.2760646108663747E-2</v>
      </c>
      <c r="R40" s="187">
        <f ca="1">(IEF!F$278-IEF!F$151)/IEF!F$151</f>
        <v>-3.0388177750026033E-2</v>
      </c>
      <c r="S40" s="46">
        <f ca="1">(IEF!F$278-IEF!F$28)/IEF!F$28</f>
        <v>-1.7401392111368822E-2</v>
      </c>
      <c r="T40" s="160"/>
      <c r="U40" s="160"/>
      <c r="V40" s="322"/>
    </row>
    <row r="41" spans="1:22" ht="17.25" customHeight="1" x14ac:dyDescent="0.25">
      <c r="A41" s="322"/>
      <c r="B41" s="26"/>
      <c r="C41" s="322"/>
      <c r="D41" s="27" t="s">
        <v>109</v>
      </c>
      <c r="E41" s="27"/>
      <c r="F41" s="26" t="str">
        <f ca="1">IFERROR(__xludf.DUMMYFUNCTION("IF(ISBLANK(D41), ""-"", GOOGLEFINANCE(IF(ISBLANK(E41), D41, E41&amp;"":""&amp;D41), ""name""))"),"iShares 20+ Year Treasury Bond ETF")</f>
        <v>iShares 20+ Year Treasury Bond ETF</v>
      </c>
      <c r="G41" s="47" t="s">
        <v>110</v>
      </c>
      <c r="H41" s="30">
        <f ca="1">IFERROR(__xludf.DUMMYFUNCTION("IF(ISBLANK(D41), 0, GOOGLEFINANCE(IF(ISBLANK(E41), D41, E41&amp;"":""&amp;D41), ""price""))"),82.85)</f>
        <v>82.85</v>
      </c>
      <c r="I41" s="31">
        <f ca="1">IFERROR(__xludf.DUMMYFUNCTION("IF(ISBLANK(D41), 0, GOOGLEFINANCE(IF(ISBLANK(E41), D41, E41&amp;"":""&amp;D41), ""change""))"),-1.39)</f>
        <v>-1.39</v>
      </c>
      <c r="J41" s="32">
        <f ca="1">IFERROR(__xludf.DUMMYFUNCTION("IF(ISBLANK(D41), 0, GOOGLEFINANCE(IF(ISBLANK(E41), D41, E41&amp;"":""&amp;D41), ""changepct"")/100)"),-0.0165)</f>
        <v>-1.6500000000000001E-2</v>
      </c>
      <c r="K41" s="27">
        <v>1</v>
      </c>
      <c r="L41" s="33">
        <f t="shared" ca="1" si="4"/>
        <v>82.85</v>
      </c>
      <c r="M41" s="34"/>
      <c r="N41" s="34"/>
      <c r="O41" s="35">
        <f t="shared" ca="1" si="5"/>
        <v>-0.94930350303693745</v>
      </c>
      <c r="P41" s="46">
        <f ca="1">(TLT!F$278-TLT!F$256)/TLT!F$256</f>
        <v>-5.1625457875457935E-2</v>
      </c>
      <c r="Q41" s="46">
        <f ca="1">(TLT!F$278-TLT!F$214)/TLT!F$214</f>
        <v>-3.9754288363467859E-2</v>
      </c>
      <c r="R41" s="187">
        <f ca="1">(TLT!F$278-TLT!F$151)/TLT!F$151</f>
        <v>-6.2252405206564804E-2</v>
      </c>
      <c r="S41" s="46">
        <f ca="1">(TLT!F$278-TLT!F$28)/TLT!F$28</f>
        <v>-4.6276044664441233E-2</v>
      </c>
      <c r="T41" s="160"/>
      <c r="U41" s="160"/>
      <c r="V41" s="322"/>
    </row>
    <row r="42" spans="1:22" ht="17.25" customHeight="1" x14ac:dyDescent="0.25">
      <c r="A42" s="322"/>
      <c r="B42" s="26"/>
      <c r="C42" s="322"/>
      <c r="D42" s="27" t="s">
        <v>111</v>
      </c>
      <c r="E42" s="27"/>
      <c r="F42" s="26" t="str">
        <f ca="1">IFERROR(__xludf.DUMMYFUNCTION("IF(ISBLANK(D42), ""-"", GOOGLEFINANCE(IF(ISBLANK(E42), D42, E42&amp;"":""&amp;D42), ""name""))"),"iShares TIPS Bond ETF")</f>
        <v>iShares TIPS Bond ETF</v>
      </c>
      <c r="G42" s="47" t="s">
        <v>112</v>
      </c>
      <c r="H42" s="30">
        <f ca="1">IFERROR(__xludf.DUMMYFUNCTION("IF(ISBLANK(D42), 0, GOOGLEFINANCE(IF(ISBLANK(E42), D42, E42&amp;"":""&amp;D42), ""price""))"),107.77)</f>
        <v>107.77</v>
      </c>
      <c r="I42" s="31">
        <f ca="1">IFERROR(__xludf.DUMMYFUNCTION("IF(ISBLANK(D42), 0, GOOGLEFINANCE(IF(ISBLANK(E42), D42, E42&amp;"":""&amp;D42), ""change""))"),0.11)</f>
        <v>0.11</v>
      </c>
      <c r="J42" s="32">
        <f ca="1">IFERROR(__xludf.DUMMYFUNCTION("IF(ISBLANK(D42), 0, GOOGLEFINANCE(IF(ISBLANK(E42), D42, E42&amp;"":""&amp;D42), ""changepct"")/100)"),0.001)</f>
        <v>1E-3</v>
      </c>
      <c r="K42" s="27">
        <v>1</v>
      </c>
      <c r="L42" s="33">
        <f t="shared" ca="1" si="4"/>
        <v>107.77</v>
      </c>
      <c r="M42" s="34"/>
      <c r="N42" s="34"/>
      <c r="O42" s="35">
        <f t="shared" ca="1" si="5"/>
        <v>-0.42049844081963755</v>
      </c>
      <c r="P42" s="46">
        <f ca="1">(TIP!$F$278-TIP!$F$256)/TIP!$F$256</f>
        <v>-1.7593436645396598E-2</v>
      </c>
      <c r="Q42" s="46">
        <f ca="1">(TIP!$F$278-TIP!$F$214)/TIP!$F$214</f>
        <v>-3.5787778473651249E-2</v>
      </c>
      <c r="R42" s="187">
        <f ca="1">(TIP!$F$278-TIP!$F$151)/TIP!$F$151</f>
        <v>-2.3645587968834928E-2</v>
      </c>
      <c r="S42" s="46">
        <f ca="1">(TIP!$F$278-TIP!$F$28)/TIP!$F$28</f>
        <v>-1.8934911242603537E-2</v>
      </c>
      <c r="T42" s="160"/>
      <c r="U42" s="160"/>
      <c r="V42" s="322"/>
    </row>
    <row r="43" spans="1:22" ht="17.25" customHeight="1" x14ac:dyDescent="0.25">
      <c r="A43" s="322"/>
      <c r="B43" s="26"/>
      <c r="C43" s="322"/>
      <c r="D43" s="27" t="s">
        <v>46</v>
      </c>
      <c r="E43" s="27"/>
      <c r="F43" s="26" t="str">
        <f ca="1">IFERROR(__xludf.DUMMYFUNCTION("IF(ISBLANK(D43), ""-"", GOOGLEFINANCE(IF(ISBLANK(E43), D43, E43&amp;"":""&amp;D43), ""name""))"),"iShares iBoxx $ Inv Grade Corporate Bond ETF")</f>
        <v>iShares iBoxx $ Inv Grade Corporate Bond ETF</v>
      </c>
      <c r="G43" s="47" t="s">
        <v>97</v>
      </c>
      <c r="H43" s="30">
        <f ca="1">IFERROR(__xludf.DUMMYFUNCTION("IF(ISBLANK(D43), 0, GOOGLEFINANCE(IF(ISBLANK(E43), D43, E43&amp;"":""&amp;D43), ""price""))"),106.22)</f>
        <v>106.22</v>
      </c>
      <c r="I43" s="31">
        <f ca="1">IFERROR(__xludf.DUMMYFUNCTION("IF(ISBLANK(D43), 0, GOOGLEFINANCE(IF(ISBLANK(E43), D43, E43&amp;"":""&amp;D43), ""change""))"),-0.61)</f>
        <v>-0.61</v>
      </c>
      <c r="J43" s="32">
        <f ca="1">IFERROR(__xludf.DUMMYFUNCTION("IF(ISBLANK(D43), 0, GOOGLEFINANCE(IF(ISBLANK(E43), D43, E43&amp;"":""&amp;D43), ""changepct"")/100)"),-0.00569999999999999)</f>
        <v>-5.6999999999999898E-3</v>
      </c>
      <c r="K43" s="27">
        <v>1</v>
      </c>
      <c r="L43" s="33">
        <f t="shared" ca="1" si="4"/>
        <v>106.22</v>
      </c>
      <c r="M43" s="34"/>
      <c r="N43" s="34"/>
      <c r="O43" s="35">
        <f t="shared" ca="1" si="5"/>
        <v>-0.58295136714416596</v>
      </c>
      <c r="P43" s="153">
        <f ca="1">(LQD!F278-LQD!F256)/LQD!F256</f>
        <v>-2.9954337899543389E-2</v>
      </c>
      <c r="Q43" s="46">
        <f ca="1">(LQD!F$278-LQD!F$214)/LQD!F$214</f>
        <v>-2.8090401683594172E-2</v>
      </c>
      <c r="R43" s="187">
        <f ca="1">(LQD!F$278-LQD!F$151)/LQD!F$151</f>
        <v>-4.2459208509871157E-2</v>
      </c>
      <c r="S43" s="46">
        <f ca="1">(LQD!F$278-LQD!F$28)/LQD!F$28</f>
        <v>-2.6219288595526215E-2</v>
      </c>
      <c r="T43" s="160"/>
      <c r="U43" s="160"/>
      <c r="V43" s="322"/>
    </row>
    <row r="44" spans="1:22" ht="17.25" customHeight="1" x14ac:dyDescent="0.25">
      <c r="A44" s="322"/>
      <c r="B44" s="26"/>
      <c r="C44" s="322"/>
      <c r="D44" s="27" t="s">
        <v>47</v>
      </c>
      <c r="E44" s="27"/>
      <c r="F44" s="26" t="str">
        <f ca="1">IFERROR(__xludf.DUMMYFUNCTION("IF(ISBLANK(D44), ""-"", GOOGLEFINANCE(IF(ISBLANK(E44), D44, E44&amp;"":""&amp;D44), ""name""))"),"iShares iBoxx $ High Yield Corporate Bond ETF")</f>
        <v>iShares iBoxx $ High Yield Corporate Bond ETF</v>
      </c>
      <c r="G44" s="47" t="s">
        <v>129</v>
      </c>
      <c r="H44" s="30">
        <f ca="1">IFERROR(__xludf.DUMMYFUNCTION("IF(ISBLANK(D44), 0, GOOGLEFINANCE(IF(ISBLANK(E44), D44, E44&amp;"":""&amp;D44), ""price""))"),79.24)</f>
        <v>79.239999999999995</v>
      </c>
      <c r="I44" s="31">
        <f ca="1">IFERROR(__xludf.DUMMYFUNCTION("IF(ISBLANK(D44), 0, GOOGLEFINANCE(IF(ISBLANK(E44), D44, E44&amp;"":""&amp;D44), ""change""))"),-0.18)</f>
        <v>-0.18</v>
      </c>
      <c r="J44" s="32">
        <f ca="1">IFERROR(__xludf.DUMMYFUNCTION("IF(ISBLANK(D44), 0, GOOGLEFINANCE(IF(ISBLANK(E44), D44, E44&amp;"":""&amp;D44), ""changepct"")/100)"),-0.0023)</f>
        <v>-2.3E-3</v>
      </c>
      <c r="K44" s="27">
        <v>1</v>
      </c>
      <c r="L44" s="33">
        <f t="shared" ca="1" si="4"/>
        <v>79.239999999999995</v>
      </c>
      <c r="M44" s="34"/>
      <c r="N44" s="34"/>
      <c r="O44" s="35">
        <f t="shared" ca="1" si="5"/>
        <v>-0.21315026598118003</v>
      </c>
      <c r="P44" s="46">
        <f ca="1">(HYG!F$278-HYG!F$256)/HYG!F$256</f>
        <v>-7.3907052486534312E-3</v>
      </c>
      <c r="Q44" s="46">
        <f ca="1">(HYG!F$278-HYG!F$214)/HYG!F$214</f>
        <v>-1.5774437958017765E-2</v>
      </c>
      <c r="R44" s="187">
        <f ca="1">(HYG!F$278-HYG!F$151)/HYG!F$151</f>
        <v>-2.3897511702389896E-2</v>
      </c>
      <c r="S44" s="46">
        <f ca="1">(HYG!F$278-HYG!F$28)/HYG!F$28</f>
        <v>-1.3569027760488029E-2</v>
      </c>
      <c r="T44" s="160"/>
      <c r="U44" s="160"/>
      <c r="V44" s="322"/>
    </row>
    <row r="45" spans="1:22" ht="17.25" customHeight="1" x14ac:dyDescent="0.25">
      <c r="A45" s="322"/>
      <c r="B45" s="26"/>
      <c r="C45" s="322"/>
      <c r="D45" s="27" t="s">
        <v>130</v>
      </c>
      <c r="E45" s="27"/>
      <c r="F45" s="26" t="str">
        <f ca="1">IFERROR(__xludf.DUMMYFUNCTION("IF(ISBLANK(D45), ""-"", GOOGLEFINANCE(IF(ISBLANK(E45), D45, E45&amp;"":""&amp;D45), ""name""))"),"State Street SPDR Bloomberg Intl TB ETF")</f>
        <v>State Street SPDR Bloomberg Intl TB ETF</v>
      </c>
      <c r="G45" s="47" t="s">
        <v>131</v>
      </c>
      <c r="H45" s="30">
        <f ca="1">IFERROR(__xludf.DUMMYFUNCTION("IF(ISBLANK(D45), 0, GOOGLEFINANCE(IF(ISBLANK(E45), D45, E45&amp;"":""&amp;D45), ""price""))"),21.5)</f>
        <v>21.5</v>
      </c>
      <c r="I45" s="31">
        <f ca="1">IFERROR(__xludf.DUMMYFUNCTION("IF(ISBLANK(D45), 0, GOOGLEFINANCE(IF(ISBLANK(E45), D45, E45&amp;"":""&amp;D45), ""change""))"),0.03)</f>
        <v>0.03</v>
      </c>
      <c r="J45" s="32">
        <f ca="1">IFERROR(__xludf.DUMMYFUNCTION("IF(ISBLANK(D45), 0, GOOGLEFINANCE(IF(ISBLANK(E45), D45, E45&amp;"":""&amp;D45), ""changepct"")/100)"),0.0014)</f>
        <v>1.4E-3</v>
      </c>
      <c r="K45" s="27">
        <v>1</v>
      </c>
      <c r="L45" s="33">
        <f t="shared" ca="1" si="4"/>
        <v>21.5</v>
      </c>
      <c r="M45" s="34"/>
      <c r="N45" s="34"/>
      <c r="O45" s="35">
        <f t="shared" ca="1" si="5"/>
        <v>-0.41576930447522775</v>
      </c>
      <c r="P45" s="46">
        <f ca="1">(BWX!F$278-BWX!F$256)/BWX!F$256</f>
        <v>-1.05844454670962E-2</v>
      </c>
      <c r="Q45" s="46">
        <f ca="1">(BWX!F$278-BWX!F$214)/BWX!F$214</f>
        <v>-3.1095087877422319E-2</v>
      </c>
      <c r="R45" s="187">
        <f ca="1">(BWX!F$278-BWX!F$151)/BWX!F$151</f>
        <v>-5.7430951337132781E-2</v>
      </c>
      <c r="S45" s="46">
        <f ca="1">(BWX!F$278-BWX!F$28)/BWX!F$28</f>
        <v>-4.9513704686118522E-2</v>
      </c>
      <c r="T45" s="160"/>
      <c r="U45" s="160"/>
      <c r="V45" s="322"/>
    </row>
    <row r="46" spans="1:22" ht="17.25" customHeight="1" x14ac:dyDescent="0.25">
      <c r="A46" s="322"/>
      <c r="B46" s="26"/>
      <c r="C46" s="322"/>
      <c r="D46" s="27" t="s">
        <v>132</v>
      </c>
      <c r="E46" s="27"/>
      <c r="F46" s="26" t="str">
        <f ca="1">IFERROR(__xludf.DUMMYFUNCTION("IF(ISBLANK(D46), ""-"", GOOGLEFINANCE(IF(ISBLANK(E46), D46, E46&amp;"":""&amp;D46), ""name""))"),"iShares JPMorgan USD Emerging Markets Bond ETF")</f>
        <v>iShares JPMorgan USD Emerging Markets Bond ETF</v>
      </c>
      <c r="G46" s="47" t="s">
        <v>133</v>
      </c>
      <c r="H46" s="30">
        <f ca="1">IFERROR(__xludf.DUMMYFUNCTION("IF(ISBLANK(D46), 0, GOOGLEFINANCE(IF(ISBLANK(E46), D46, E46&amp;"":""&amp;D46), ""price""))"),94.56)</f>
        <v>94.56</v>
      </c>
      <c r="I46" s="31">
        <f ca="1">IFERROR(__xludf.DUMMYFUNCTION("IF(ISBLANK(D46), 0, GOOGLEFINANCE(IF(ISBLANK(E46), D46, E46&amp;"":""&amp;D46), ""change""))"),-0.63)</f>
        <v>-0.63</v>
      </c>
      <c r="J46" s="32">
        <f ca="1">IFERROR(__xludf.DUMMYFUNCTION("IF(ISBLANK(D46), 0, GOOGLEFINANCE(IF(ISBLANK(E46), D46, E46&amp;"":""&amp;D46), ""changepct"")/100)"),-0.0066)</f>
        <v>-6.6E-3</v>
      </c>
      <c r="K46" s="27">
        <v>1</v>
      </c>
      <c r="L46" s="33">
        <f t="shared" ca="1" si="4"/>
        <v>94.56</v>
      </c>
      <c r="M46" s="34"/>
      <c r="N46" s="34"/>
      <c r="O46" s="35">
        <f t="shared" ca="1" si="5"/>
        <v>-0.33561423311743099</v>
      </c>
      <c r="P46" s="46">
        <f ca="1">(EMB!F$278-EMB!F$256)/EMB!F$256</f>
        <v>-2.0509633312616571E-2</v>
      </c>
      <c r="Q46" s="46">
        <f ca="1">(EMB!F$278-EMB!F$214)/EMB!F$214</f>
        <v>-1.5307716338644162E-2</v>
      </c>
      <c r="R46" s="187">
        <f ca="1">(EMB!F$278-EMB!F$151)/EMB!F$151</f>
        <v>-2.3342284651931326E-2</v>
      </c>
      <c r="S46" s="46">
        <f ca="1">(EMB!F$278-EMB!F$28)/EMB!F$28</f>
        <v>1.8416801292407196E-2</v>
      </c>
      <c r="T46" s="160"/>
      <c r="U46" s="160"/>
      <c r="V46" s="322"/>
    </row>
    <row r="47" spans="1:22" ht="17.25" customHeight="1" x14ac:dyDescent="0.25">
      <c r="A47" s="189"/>
      <c r="B47" s="26"/>
      <c r="C47" s="200"/>
      <c r="D47" s="27"/>
      <c r="E47" s="27"/>
      <c r="F47" s="26"/>
      <c r="G47" s="30"/>
      <c r="H47" s="30"/>
      <c r="I47" s="31"/>
      <c r="J47" s="32"/>
      <c r="K47" s="27"/>
      <c r="L47" s="33"/>
      <c r="M47" s="34"/>
      <c r="N47" s="34"/>
      <c r="O47" s="35"/>
      <c r="P47" s="104"/>
      <c r="Q47" s="104"/>
      <c r="R47" s="104"/>
      <c r="S47" s="194"/>
      <c r="T47" s="194"/>
      <c r="U47" s="194"/>
      <c r="V47" s="194"/>
    </row>
    <row r="48" spans="1:22" ht="17.25" customHeight="1" x14ac:dyDescent="0.2">
      <c r="A48" s="26"/>
      <c r="B48" s="26"/>
      <c r="C48" s="26"/>
      <c r="D48" s="27" t="s">
        <v>25</v>
      </c>
      <c r="E48" s="27"/>
      <c r="F48" s="26" t="str">
        <f ca="1">IFERROR(__xludf.DUMMYFUNCTION("IF(ISBLANK(D48), ""-"", GOOGLEFINANCE(IF(ISBLANK(E48), D48, E48&amp;"":""&amp;D48), ""name""))"),"State Street SPDR S&amp;P 500 ETF Trust")</f>
        <v>State Street SPDR S&amp;P 500 ETF Trust</v>
      </c>
      <c r="G48" s="30"/>
      <c r="H48" s="30">
        <f ca="1">IFERROR(__xludf.DUMMYFUNCTION("IF(ISBLANK(D48), 0, GOOGLEFINANCE(IF(ISBLANK(E48), D48, E48&amp;"":""&amp;D48), ""price""))"),729.46)</f>
        <v>729.46</v>
      </c>
      <c r="I48" s="31">
        <f ca="1">IFERROR(__xludf.DUMMYFUNCTION("IF(ISBLANK(D48), 0, GOOGLEFINANCE(IF(ISBLANK(E48), D48, E48&amp;"":""&amp;D48), ""change""))"),-11.4)</f>
        <v>-11.4</v>
      </c>
      <c r="J48" s="32">
        <f ca="1">IFERROR(__xludf.DUMMYFUNCTION("IF(ISBLANK(D48), 0, GOOGLEFINANCE(IF(ISBLANK(E48), D48, E48&amp;"":""&amp;D48), ""changepct"")/100)"),-0.0154)</f>
        <v>-1.54E-2</v>
      </c>
      <c r="K48" s="27"/>
      <c r="L48" s="33">
        <f t="shared" ref="L48:L55" ca="1" si="6">K48 * H48</f>
        <v>0</v>
      </c>
      <c r="M48" s="34"/>
      <c r="N48" s="34"/>
      <c r="O48" s="35"/>
      <c r="P48" s="36"/>
      <c r="Q48" s="36"/>
      <c r="R48" s="36"/>
      <c r="S48" s="36"/>
      <c r="T48" s="36"/>
      <c r="U48" s="36"/>
      <c r="V48" s="36"/>
    </row>
    <row r="49" spans="1:22" ht="17.25" customHeight="1" x14ac:dyDescent="0.2">
      <c r="A49" s="26"/>
      <c r="B49" s="26"/>
      <c r="C49" s="26"/>
      <c r="D49" s="27" t="s">
        <v>32</v>
      </c>
      <c r="E49" s="27"/>
      <c r="F49" s="26" t="str">
        <f ca="1">IFERROR(__xludf.DUMMYFUNCTION("IF(ISBLANK(D49), ""-"", GOOGLEFINANCE(IF(ISBLANK(E49), D49, E49&amp;"":""&amp;D49), ""name""))"),"Vanguard Emerging Markets Stock Index Fund ETF")</f>
        <v>Vanguard Emerging Markets Stock Index Fund ETF</v>
      </c>
      <c r="G49" s="30"/>
      <c r="H49" s="30">
        <f ca="1">IFERROR(__xludf.DUMMYFUNCTION("IF(ISBLANK(D49), 0, GOOGLEFINANCE(IF(ISBLANK(E49), D49, E49&amp;"":""&amp;D49), ""price""))"),56.92)</f>
        <v>56.92</v>
      </c>
      <c r="I49" s="31">
        <f ca="1">IFERROR(__xludf.DUMMYFUNCTION("IF(ISBLANK(D49), 0, GOOGLEFINANCE(IF(ISBLANK(E49), D49, E49&amp;"":""&amp;D49), ""change""))"),-0.82)</f>
        <v>-0.82</v>
      </c>
      <c r="J49" s="32">
        <f ca="1">IFERROR(__xludf.DUMMYFUNCTION("IF(ISBLANK(D49), 0, GOOGLEFINANCE(IF(ISBLANK(E49), D49, E49&amp;"":""&amp;D49), ""changepct"")/100)"),-0.0141999999999999)</f>
        <v>-1.41999999999999E-2</v>
      </c>
      <c r="K49" s="27"/>
      <c r="L49" s="33">
        <f t="shared" ca="1" si="6"/>
        <v>0</v>
      </c>
      <c r="M49" s="34"/>
      <c r="N49" s="34"/>
      <c r="O49" s="35"/>
      <c r="P49" s="36"/>
      <c r="Q49" s="36"/>
      <c r="R49" s="36"/>
      <c r="S49" s="36"/>
      <c r="T49" s="36"/>
      <c r="U49" s="36"/>
      <c r="V49" s="36"/>
    </row>
    <row r="50" spans="1:22" ht="17.25" customHeight="1" x14ac:dyDescent="0.2">
      <c r="A50" s="26"/>
      <c r="B50" s="26"/>
      <c r="C50" s="26"/>
      <c r="D50" s="27"/>
      <c r="E50" s="27"/>
      <c r="F50" s="26" t="str">
        <f ca="1">IFERROR(__xludf.DUMMYFUNCTION("IF(ISBLANK(D50), ""-"", GOOGLEFINANCE(IF(ISBLANK(E50), D50, E50&amp;"":""&amp;D50), ""name""))"),"-")</f>
        <v>-</v>
      </c>
      <c r="G50" s="30"/>
      <c r="H50" s="30">
        <f ca="1">IFERROR(__xludf.DUMMYFUNCTION("IF(ISBLANK(D50), 0, GOOGLEFINANCE(IF(ISBLANK(E50), D50, E50&amp;"":""&amp;D50), ""price""))"),0)</f>
        <v>0</v>
      </c>
      <c r="I50" s="31">
        <f ca="1">IFERROR(__xludf.DUMMYFUNCTION("IF(ISBLANK(D50), 0, GOOGLEFINANCE(IF(ISBLANK(E50), D50, E50&amp;"":""&amp;D50), ""change""))"),0)</f>
        <v>0</v>
      </c>
      <c r="J50" s="32">
        <f ca="1">IFERROR(__xludf.DUMMYFUNCTION("IF(ISBLANK(D50), 0, GOOGLEFINANCE(IF(ISBLANK(E50), D50, E50&amp;"":""&amp;D50), ""changepct"")/100)"),0)</f>
        <v>0</v>
      </c>
      <c r="K50" s="27"/>
      <c r="L50" s="33">
        <f t="shared" ca="1" si="6"/>
        <v>0</v>
      </c>
      <c r="M50" s="34"/>
      <c r="N50" s="34"/>
      <c r="O50" s="35"/>
      <c r="P50" s="36"/>
      <c r="Q50" s="36"/>
      <c r="R50" s="36"/>
      <c r="S50" s="36"/>
      <c r="T50" s="36"/>
      <c r="U50" s="36"/>
      <c r="V50" s="36"/>
    </row>
    <row r="51" spans="1:22" ht="17.25" customHeight="1" x14ac:dyDescent="0.2">
      <c r="A51" s="26"/>
      <c r="B51" s="26"/>
      <c r="C51" s="26"/>
      <c r="D51" s="27"/>
      <c r="E51" s="27"/>
      <c r="F51" s="26" t="str">
        <f ca="1">IFERROR(__xludf.DUMMYFUNCTION("IF(ISBLANK(D51), ""-"", GOOGLEFINANCE(IF(ISBLANK(E51), D51, E51&amp;"":""&amp;D51), ""name""))"),"-")</f>
        <v>-</v>
      </c>
      <c r="G51" s="30"/>
      <c r="H51" s="30">
        <f ca="1">IFERROR(__xludf.DUMMYFUNCTION("IF(ISBLANK(D51), 0, GOOGLEFINANCE(IF(ISBLANK(E51), D51, E51&amp;"":""&amp;D51), ""price""))"),0)</f>
        <v>0</v>
      </c>
      <c r="I51" s="31">
        <f ca="1">IFERROR(__xludf.DUMMYFUNCTION("IF(ISBLANK(D51), 0, GOOGLEFINANCE(IF(ISBLANK(E51), D51, E51&amp;"":""&amp;D51), ""change""))"),0)</f>
        <v>0</v>
      </c>
      <c r="J51" s="32">
        <f ca="1">IFERROR(__xludf.DUMMYFUNCTION("IF(ISBLANK(D51), 0, GOOGLEFINANCE(IF(ISBLANK(E51), D51, E51&amp;"":""&amp;D51), ""changepct"")/100)"),0)</f>
        <v>0</v>
      </c>
      <c r="K51" s="27"/>
      <c r="L51" s="33">
        <f t="shared" ca="1" si="6"/>
        <v>0</v>
      </c>
      <c r="M51" s="34"/>
      <c r="N51" s="34"/>
      <c r="O51" s="35"/>
      <c r="P51" s="36"/>
      <c r="Q51" s="36"/>
      <c r="R51" s="36"/>
      <c r="S51" s="36"/>
      <c r="T51" s="36"/>
      <c r="U51" s="36"/>
      <c r="V51" s="36"/>
    </row>
    <row r="52" spans="1:22" ht="17.25" customHeight="1" x14ac:dyDescent="0.2">
      <c r="A52" s="26"/>
      <c r="B52" s="26"/>
      <c r="C52" s="26"/>
      <c r="D52" s="27"/>
      <c r="E52" s="27"/>
      <c r="F52" s="26" t="str">
        <f ca="1">IFERROR(__xludf.DUMMYFUNCTION("IF(ISBLANK(D52), ""-"", GOOGLEFINANCE(IF(ISBLANK(E52), D52, E52&amp;"":""&amp;D52), ""name""))"),"-")</f>
        <v>-</v>
      </c>
      <c r="G52" s="30"/>
      <c r="H52" s="30">
        <f ca="1">IFERROR(__xludf.DUMMYFUNCTION("IF(ISBLANK(D52), 0, GOOGLEFINANCE(IF(ISBLANK(E52), D52, E52&amp;"":""&amp;D52), ""price""))"),0)</f>
        <v>0</v>
      </c>
      <c r="I52" s="31">
        <f ca="1">IFERROR(__xludf.DUMMYFUNCTION("IF(ISBLANK(D52), 0, GOOGLEFINANCE(IF(ISBLANK(E52), D52, E52&amp;"":""&amp;D52), ""change""))"),0)</f>
        <v>0</v>
      </c>
      <c r="J52" s="32">
        <f ca="1">IFERROR(__xludf.DUMMYFUNCTION("IF(ISBLANK(D52), 0, GOOGLEFINANCE(IF(ISBLANK(E52), D52, E52&amp;"":""&amp;D52), ""changepct"")/100)"),0)</f>
        <v>0</v>
      </c>
      <c r="K52" s="27"/>
      <c r="L52" s="33">
        <f t="shared" ca="1" si="6"/>
        <v>0</v>
      </c>
      <c r="M52" s="34"/>
      <c r="N52" s="34"/>
      <c r="O52" s="35"/>
      <c r="P52" s="36"/>
      <c r="Q52" s="36"/>
      <c r="R52" s="36"/>
      <c r="S52" s="36"/>
      <c r="T52" s="36"/>
      <c r="U52" s="36"/>
      <c r="V52" s="36"/>
    </row>
    <row r="53" spans="1:22" ht="17.25" customHeight="1" x14ac:dyDescent="0.2">
      <c r="A53" s="26"/>
      <c r="B53" s="26"/>
      <c r="C53" s="26"/>
      <c r="D53" s="27"/>
      <c r="E53" s="27"/>
      <c r="F53" s="26" t="str">
        <f ca="1">IFERROR(__xludf.DUMMYFUNCTION("IF(ISBLANK(D53), ""-"", GOOGLEFINANCE(IF(ISBLANK(E53), D53, E53&amp;"":""&amp;D53), ""name""))"),"-")</f>
        <v>-</v>
      </c>
      <c r="G53" s="30"/>
      <c r="H53" s="30">
        <f ca="1">IFERROR(__xludf.DUMMYFUNCTION("IF(ISBLANK(D53), 0, GOOGLEFINANCE(IF(ISBLANK(E53), D53, E53&amp;"":""&amp;D53), ""price""))"),0)</f>
        <v>0</v>
      </c>
      <c r="I53" s="31">
        <f ca="1">IFERROR(__xludf.DUMMYFUNCTION("IF(ISBLANK(D53), 0, GOOGLEFINANCE(IF(ISBLANK(E53), D53, E53&amp;"":""&amp;D53), ""change""))"),0)</f>
        <v>0</v>
      </c>
      <c r="J53" s="32">
        <f ca="1">IFERROR(__xludf.DUMMYFUNCTION("IF(ISBLANK(D53), 0, GOOGLEFINANCE(IF(ISBLANK(E53), D53, E53&amp;"":""&amp;D53), ""changepct"")/100)"),0)</f>
        <v>0</v>
      </c>
      <c r="K53" s="27"/>
      <c r="L53" s="33">
        <f t="shared" ca="1" si="6"/>
        <v>0</v>
      </c>
      <c r="M53" s="34"/>
      <c r="N53" s="34"/>
      <c r="O53" s="35"/>
      <c r="P53" s="36"/>
      <c r="Q53" s="36"/>
      <c r="R53" s="36"/>
      <c r="S53" s="36"/>
      <c r="T53" s="36"/>
      <c r="U53" s="36"/>
      <c r="V53" s="36"/>
    </row>
    <row r="54" spans="1:22" ht="17.25" customHeight="1" x14ac:dyDescent="0.2">
      <c r="A54" s="26"/>
      <c r="B54" s="26"/>
      <c r="C54" s="26"/>
      <c r="D54" s="27"/>
      <c r="E54" s="27"/>
      <c r="F54" s="26" t="str">
        <f ca="1">IFERROR(__xludf.DUMMYFUNCTION("IF(ISBLANK(D54), ""-"", GOOGLEFINANCE(IF(ISBLANK(E54), D54, E54&amp;"":""&amp;D54), ""name""))"),"-")</f>
        <v>-</v>
      </c>
      <c r="G54" s="30"/>
      <c r="H54" s="30">
        <f ca="1">IFERROR(__xludf.DUMMYFUNCTION("IF(ISBLANK(D54), 0, GOOGLEFINANCE(IF(ISBLANK(E54), D54, E54&amp;"":""&amp;D54), ""price""))"),0)</f>
        <v>0</v>
      </c>
      <c r="I54" s="31">
        <f ca="1">IFERROR(__xludf.DUMMYFUNCTION("IF(ISBLANK(D54), 0, GOOGLEFINANCE(IF(ISBLANK(E54), D54, E54&amp;"":""&amp;D54), ""change""))"),0)</f>
        <v>0</v>
      </c>
      <c r="J54" s="32">
        <f ca="1">IFERROR(__xludf.DUMMYFUNCTION("IF(ISBLANK(D54), 0, GOOGLEFINANCE(IF(ISBLANK(E54), D54, E54&amp;"":""&amp;D54), ""changepct"")/100)"),0)</f>
        <v>0</v>
      </c>
      <c r="K54" s="27"/>
      <c r="L54" s="33">
        <f t="shared" ca="1" si="6"/>
        <v>0</v>
      </c>
      <c r="M54" s="34"/>
      <c r="N54" s="34"/>
      <c r="O54" s="35"/>
      <c r="P54" s="36"/>
      <c r="Q54" s="36"/>
      <c r="R54" s="36"/>
      <c r="S54" s="36"/>
      <c r="T54" s="36"/>
      <c r="U54" s="36"/>
      <c r="V54" s="36"/>
    </row>
    <row r="55" spans="1:22" ht="17.25" customHeight="1" x14ac:dyDescent="0.2">
      <c r="A55" s="26"/>
      <c r="B55" s="26"/>
      <c r="C55" s="26"/>
      <c r="D55" s="27"/>
      <c r="E55" s="27"/>
      <c r="F55" s="26" t="str">
        <f ca="1">IFERROR(__xludf.DUMMYFUNCTION("IF(ISBLANK(D55), ""-"", GOOGLEFINANCE(IF(ISBLANK(E55), D55, E55&amp;"":""&amp;D55), ""name""))"),"-")</f>
        <v>-</v>
      </c>
      <c r="G55" s="30"/>
      <c r="H55" s="30">
        <f ca="1">IFERROR(__xludf.DUMMYFUNCTION("IF(ISBLANK(D55), 0, GOOGLEFINANCE(IF(ISBLANK(E55), D55, E55&amp;"":""&amp;D55), ""price""))"),0)</f>
        <v>0</v>
      </c>
      <c r="I55" s="31">
        <f ca="1">IFERROR(__xludf.DUMMYFUNCTION("IF(ISBLANK(D55), 0, GOOGLEFINANCE(IF(ISBLANK(E55), D55, E55&amp;"":""&amp;D55), ""change""))"),0)</f>
        <v>0</v>
      </c>
      <c r="J55" s="32">
        <f ca="1">IFERROR(__xludf.DUMMYFUNCTION("IF(ISBLANK(D55), 0, GOOGLEFINANCE(IF(ISBLANK(E55), D55, E55&amp;"":""&amp;D55), ""changepct"")/100)"),0)</f>
        <v>0</v>
      </c>
      <c r="K55" s="27"/>
      <c r="L55" s="33">
        <f t="shared" ca="1" si="6"/>
        <v>0</v>
      </c>
      <c r="M55" s="34"/>
      <c r="N55" s="34"/>
      <c r="O55" s="35"/>
      <c r="P55" s="36"/>
      <c r="Q55" s="36"/>
      <c r="R55" s="36"/>
      <c r="S55" s="36"/>
      <c r="T55" s="36"/>
      <c r="U55" s="36"/>
      <c r="V55" s="36"/>
    </row>
  </sheetData>
  <mergeCells count="16">
    <mergeCell ref="V22:V25"/>
    <mergeCell ref="V27:V33"/>
    <mergeCell ref="V36:V37"/>
    <mergeCell ref="V39:V46"/>
    <mergeCell ref="A10:A28"/>
    <mergeCell ref="B10:B13"/>
    <mergeCell ref="C10:C21"/>
    <mergeCell ref="M10:M13"/>
    <mergeCell ref="N10:N13"/>
    <mergeCell ref="B22:B28"/>
    <mergeCell ref="M27:M28"/>
    <mergeCell ref="C22:C26"/>
    <mergeCell ref="C27:C33"/>
    <mergeCell ref="A36:A46"/>
    <mergeCell ref="B36:B37"/>
    <mergeCell ref="C39:C46"/>
  </mergeCells>
  <phoneticPr fontId="67" type="noConversion"/>
  <conditionalFormatting sqref="I9:J55">
    <cfRule type="cellIs" dxfId="139" priority="1" operator="greaterThan">
      <formula>0</formula>
    </cfRule>
    <cfRule type="cellIs" dxfId="138" priority="2" operator="lessThan">
      <formula>0</formula>
    </cfRule>
  </conditionalFormatting>
  <hyperlinks>
    <hyperlink ref="L2" r:id="rId1" xr:uid="{00000000-0004-0000-0100-000000000000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Q1014"/>
  <sheetViews>
    <sheetView showGridLines="0" workbookViewId="0"/>
  </sheetViews>
  <sheetFormatPr defaultColWidth="12.5703125" defaultRowHeight="15.75" customHeight="1" x14ac:dyDescent="0.2"/>
  <cols>
    <col min="1" max="1" width="8.85546875" customWidth="1"/>
    <col min="2" max="2" width="7.85546875" customWidth="1"/>
    <col min="3" max="15" width="7.42578125" customWidth="1"/>
    <col min="16" max="17" width="10.7109375" customWidth="1"/>
    <col min="18" max="18" width="9.140625" customWidth="1"/>
    <col min="19" max="21" width="8.85546875" customWidth="1"/>
    <col min="22" max="26" width="7.85546875" customWidth="1"/>
  </cols>
  <sheetData>
    <row r="1" spans="1:251" ht="13.5" customHeight="1" x14ac:dyDescent="0.2">
      <c r="A1" s="2"/>
      <c r="B1" s="4" t="s">
        <v>1</v>
      </c>
      <c r="C1" s="8">
        <f ca="1">TODAY()-1</f>
        <v>46232</v>
      </c>
      <c r="D1" s="8">
        <f ca="1">EDATE($C$1,-1)</f>
        <v>46202</v>
      </c>
      <c r="E1" s="8">
        <f ca="1">EDATE($C$1,-2)</f>
        <v>46171</v>
      </c>
      <c r="F1" s="8">
        <f ca="1">EDATE($C$1,-3)</f>
        <v>46141</v>
      </c>
      <c r="G1" s="8">
        <f ca="1">EDATE($C$1,-4)</f>
        <v>46110</v>
      </c>
      <c r="H1" s="8">
        <f ca="1">EDATE($C$1,-5)</f>
        <v>46081</v>
      </c>
      <c r="I1" s="8">
        <f ca="1">EDATE($C$1,-6)</f>
        <v>46051</v>
      </c>
      <c r="J1" s="8">
        <f ca="1">EDATE($C$1,-7)</f>
        <v>46020</v>
      </c>
      <c r="K1" s="8">
        <f ca="1">EDATE($C$1,-8)</f>
        <v>45990</v>
      </c>
      <c r="L1" s="8">
        <f ca="1">EDATE($C$1,-9)</f>
        <v>45959</v>
      </c>
      <c r="M1" s="8">
        <f ca="1">EDATE($C$1,-10)</f>
        <v>45929</v>
      </c>
      <c r="N1" s="8">
        <f ca="1">EDATE($C$1,-11)</f>
        <v>45898</v>
      </c>
      <c r="O1" s="8">
        <f ca="1">TODAY()-362</f>
        <v>45871</v>
      </c>
      <c r="P1" s="28"/>
      <c r="Q1" s="28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</row>
    <row r="2" spans="1:251" ht="13.5" customHeight="1" x14ac:dyDescent="0.2">
      <c r="A2" s="49"/>
      <c r="B2" s="5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  <c r="Q2" s="52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</row>
    <row r="3" spans="1:251" ht="18" customHeight="1" x14ac:dyDescent="0.25">
      <c r="A3" s="78" t="s">
        <v>40</v>
      </c>
      <c r="B3" s="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8"/>
      <c r="Q3" s="52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</row>
    <row r="4" spans="1:251" ht="29.25" customHeight="1" x14ac:dyDescent="0.2">
      <c r="A4" s="110" t="s">
        <v>56</v>
      </c>
      <c r="B4" s="112" t="s">
        <v>60</v>
      </c>
      <c r="C4" s="112" t="s">
        <v>61</v>
      </c>
      <c r="D4" s="112" t="s">
        <v>62</v>
      </c>
      <c r="E4" s="112" t="s">
        <v>63</v>
      </c>
      <c r="F4" s="112" t="s">
        <v>64</v>
      </c>
      <c r="G4" s="112" t="s">
        <v>65</v>
      </c>
      <c r="H4" s="112" t="s">
        <v>66</v>
      </c>
      <c r="I4" s="112" t="s">
        <v>67</v>
      </c>
      <c r="J4" s="112" t="s">
        <v>68</v>
      </c>
      <c r="K4" s="112" t="s">
        <v>69</v>
      </c>
      <c r="L4" s="112" t="s">
        <v>70</v>
      </c>
      <c r="M4" s="112" t="s">
        <v>71</v>
      </c>
      <c r="N4" s="112" t="s">
        <v>72</v>
      </c>
      <c r="O4" s="112" t="s">
        <v>73</v>
      </c>
      <c r="P4" s="117" t="s">
        <v>21</v>
      </c>
      <c r="Q4" s="119" t="s">
        <v>76</v>
      </c>
      <c r="R4" s="120" t="s">
        <v>78</v>
      </c>
      <c r="S4" s="120" t="s">
        <v>79</v>
      </c>
      <c r="T4" s="120" t="s">
        <v>81</v>
      </c>
      <c r="U4" s="120" t="s">
        <v>82</v>
      </c>
      <c r="V4" s="121" t="s">
        <v>83</v>
      </c>
      <c r="W4" s="121" t="s">
        <v>85</v>
      </c>
      <c r="X4" s="121" t="s">
        <v>86</v>
      </c>
      <c r="Y4" s="121" t="s">
        <v>87</v>
      </c>
      <c r="Z4" s="124" t="s">
        <v>88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</row>
    <row r="5" spans="1:251" ht="13.5" customHeight="1" x14ac:dyDescent="0.2">
      <c r="A5" s="145" t="str">
        <f>관심종목!D10</f>
        <v>SPY</v>
      </c>
      <c r="B5" s="147">
        <f ca="1">관심종목!H10</f>
        <v>729.46</v>
      </c>
      <c r="C5" s="148">
        <f ca="1">VLOOKUP(C1,SPY!$B$27:$G$278,5,1)</f>
        <v>740.86</v>
      </c>
      <c r="D5" s="148">
        <f ca="1">VLOOKUP(D1,SPY!$B$27:$G$278,5,1)</f>
        <v>728.99</v>
      </c>
      <c r="E5" s="148">
        <f ca="1">VLOOKUP(E1,SPY!$B$27:$G$278,5,1)</f>
        <v>754.6</v>
      </c>
      <c r="F5" s="148">
        <f ca="1">VLOOKUP(F1,SPY!$B$27:$G$278,5,1)</f>
        <v>711.69</v>
      </c>
      <c r="G5" s="148">
        <f ca="1">VLOOKUP(G1,SPY!$B$27:$G$278,5,1)</f>
        <v>634.09</v>
      </c>
      <c r="H5" s="148">
        <f ca="1">VLOOKUP(H1,SPY!$B$27:$G$278,5,1)</f>
        <v>685.99</v>
      </c>
      <c r="I5" s="148">
        <f ca="1">VLOOKUP(I1,SPY!$B$27:$G$278,5,1)</f>
        <v>695.42</v>
      </c>
      <c r="J5" s="148">
        <f ca="1">VLOOKUP(J1,SPY!$B$27:$G$278,5,1)</f>
        <v>690.31</v>
      </c>
      <c r="K5" s="148">
        <f ca="1">VLOOKUP(K1,SPY!$B$27:$G$278,5,1)</f>
        <v>683.39</v>
      </c>
      <c r="L5" s="148">
        <f ca="1">VLOOKUP(L1,SPY!$B$27:$G$278,5,1)</f>
        <v>687.06</v>
      </c>
      <c r="M5" s="148">
        <f ca="1">VLOOKUP(M1,SPY!$B$27:$G$278,5,1)</f>
        <v>661.82</v>
      </c>
      <c r="N5" s="148">
        <f ca="1">VLOOKUP(N1,SPY!$B$27:$G$278,5,1)</f>
        <v>648.91999999999996</v>
      </c>
      <c r="O5" s="148">
        <f ca="1">VLOOKUP(O1,SPY!$B$27:$G$278,5,1)</f>
        <v>621.72</v>
      </c>
      <c r="P5" s="163">
        <f t="shared" ref="P5:P16" ca="1" si="0">AVERAGE(D5:O5)</f>
        <v>683.66666666666663</v>
      </c>
      <c r="Q5" s="165">
        <f t="shared" ref="Q5:Q16" ca="1" si="1">B5/P5</f>
        <v>1.0669819600195027</v>
      </c>
      <c r="R5" s="168">
        <f t="shared" ref="R5:R16" ca="1" si="2">(B5/D5)-1</f>
        <v>6.4472763686751478E-4</v>
      </c>
      <c r="S5" s="168">
        <f t="shared" ref="S5:S16" ca="1" si="3">(B5/F5)-1</f>
        <v>2.4968736388033985E-2</v>
      </c>
      <c r="T5" s="168">
        <f t="shared" ref="T5:T16" ca="1" si="4">(B5/I5)-1</f>
        <v>4.8948836674240104E-2</v>
      </c>
      <c r="U5" s="168">
        <f t="shared" ref="U5:U16" ca="1" si="5">(B5/O5)-1</f>
        <v>0.17329344399408098</v>
      </c>
      <c r="V5" s="174">
        <f t="shared" ref="V5:V16" ca="1" si="6">R5*12</f>
        <v>7.7367316424101773E-3</v>
      </c>
      <c r="W5" s="174">
        <f t="shared" ref="W5:W16" ca="1" si="7">S5*4</f>
        <v>9.9874945552135941E-2</v>
      </c>
      <c r="X5" s="174">
        <f t="shared" ref="X5:X16" ca="1" si="8">T5*2</f>
        <v>9.7897673348480208E-2</v>
      </c>
      <c r="Y5" s="174">
        <f t="shared" ref="Y5:Y16" ca="1" si="9">U5*1</f>
        <v>0.17329344399408098</v>
      </c>
      <c r="Z5" s="180">
        <f t="shared" ref="Z5:Z16" ca="1" si="10">SUM(V5:Y5)</f>
        <v>0.3788027945371073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</row>
    <row r="6" spans="1:251" ht="13.5" customHeight="1" x14ac:dyDescent="0.2">
      <c r="A6" s="145" t="str">
        <f>관심종목!D11</f>
        <v>QQQ</v>
      </c>
      <c r="B6" s="147">
        <f ca="1">관심종목!H11</f>
        <v>661.73</v>
      </c>
      <c r="C6" s="148">
        <f ca="1">VLOOKUP(C1,QQQ!$B$27:$G$278,5,1)</f>
        <v>218.24</v>
      </c>
      <c r="D6" s="148">
        <f ca="1">VLOOKUP(D1,QQQ!$B$27:$G$278,5,1)</f>
        <v>218.24</v>
      </c>
      <c r="E6" s="148">
        <f ca="1">VLOOKUP(E1,QQQ!$B$27:$G$278,5,1)</f>
        <v>218.24</v>
      </c>
      <c r="F6" s="148">
        <f ca="1">VLOOKUP(F1,QQQ!$B$27:$G$278,5,1)</f>
        <v>218.24</v>
      </c>
      <c r="G6" s="148">
        <f ca="1">VLOOKUP(G1,QQQ!$B$27:$G$278,5,1)</f>
        <v>218.24</v>
      </c>
      <c r="H6" s="148">
        <f ca="1">VLOOKUP(H1,QQQ!$B$27:$G$278,5,1)</f>
        <v>218.24</v>
      </c>
      <c r="I6" s="148">
        <f ca="1">VLOOKUP(I1,QQQ!$B$27:$G$278,5,1)</f>
        <v>218.24</v>
      </c>
      <c r="J6" s="148">
        <f ca="1">VLOOKUP(J1,QQQ!$B$27:$G$278,5,1)</f>
        <v>218.24</v>
      </c>
      <c r="K6" s="148">
        <f ca="1">VLOOKUP(K1,QQQ!$B$27:$G$278,5,1)</f>
        <v>218.24</v>
      </c>
      <c r="L6" s="148">
        <f ca="1">VLOOKUP(L1,QQQ!$B$27:$G$278,5,1)</f>
        <v>218.24</v>
      </c>
      <c r="M6" s="148">
        <f ca="1">VLOOKUP(M1,QQQ!$B$27:$G$278,5,1)</f>
        <v>218.24</v>
      </c>
      <c r="N6" s="148">
        <f ca="1">VLOOKUP(N1,QQQ!$B$27:$G$278,5,1)</f>
        <v>218.24</v>
      </c>
      <c r="O6" s="148">
        <f ca="1">VLOOKUP(O1,QQQ!$B$27:$G$278,5,1)</f>
        <v>218.24</v>
      </c>
      <c r="P6" s="163">
        <f t="shared" ca="1" si="0"/>
        <v>218.24</v>
      </c>
      <c r="Q6" s="165">
        <f t="shared" ca="1" si="1"/>
        <v>3.0321206011730206</v>
      </c>
      <c r="R6" s="168">
        <f t="shared" ca="1" si="2"/>
        <v>2.0321206011730206</v>
      </c>
      <c r="S6" s="168">
        <f t="shared" ca="1" si="3"/>
        <v>2.0321206011730206</v>
      </c>
      <c r="T6" s="168">
        <f t="shared" ca="1" si="4"/>
        <v>2.0321206011730206</v>
      </c>
      <c r="U6" s="168">
        <f t="shared" ca="1" si="5"/>
        <v>2.0321206011730206</v>
      </c>
      <c r="V6" s="174">
        <f t="shared" ca="1" si="6"/>
        <v>24.385447214076247</v>
      </c>
      <c r="W6" s="174">
        <f t="shared" ca="1" si="7"/>
        <v>8.1284824046920825</v>
      </c>
      <c r="X6" s="174">
        <f t="shared" ca="1" si="8"/>
        <v>4.0642412023460412</v>
      </c>
      <c r="Y6" s="174">
        <f t="shared" ca="1" si="9"/>
        <v>2.0321206011730206</v>
      </c>
      <c r="Z6" s="180">
        <f t="shared" ca="1" si="10"/>
        <v>38.610291422287389</v>
      </c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</row>
    <row r="7" spans="1:251" ht="13.5" customHeight="1" x14ac:dyDescent="0.2">
      <c r="A7" s="145" t="str">
        <f>관심종목!D12</f>
        <v>IWM</v>
      </c>
      <c r="B7" s="147">
        <f ca="1">관심종목!H12</f>
        <v>288.57</v>
      </c>
      <c r="C7" s="148">
        <f ca="1">VLOOKUP(C1,IWM!$B$27:$G$278,5,1)</f>
        <v>293.37</v>
      </c>
      <c r="D7" s="148">
        <f ca="1">VLOOKUP(D1,IWM!$B$27:$G$278,5,1)</f>
        <v>299.83</v>
      </c>
      <c r="E7" s="148">
        <f ca="1">VLOOKUP(E1,IWM!$B$27:$G$278,5,1)</f>
        <v>292.02999999999997</v>
      </c>
      <c r="F7" s="148">
        <f ca="1">VLOOKUP(F1,IWM!$B$27:$G$278,5,1)</f>
        <v>273.91000000000003</v>
      </c>
      <c r="G7" s="148">
        <f ca="1">VLOOKUP(G1,IWM!$B$27:$G$278,5,1)</f>
        <v>243.1</v>
      </c>
      <c r="H7" s="148">
        <f ca="1">VLOOKUP(H1,IWM!$B$27:$G$278,5,1)</f>
        <v>261.41000000000003</v>
      </c>
      <c r="I7" s="148">
        <f ca="1">VLOOKUP(I1,IWM!$B$27:$G$278,5,1)</f>
        <v>263.3</v>
      </c>
      <c r="J7" s="148">
        <f ca="1">VLOOKUP(J1,IWM!$B$27:$G$278,5,1)</f>
        <v>251.42</v>
      </c>
      <c r="K7" s="148">
        <f ca="1">VLOOKUP(K1,IWM!$B$27:$G$278,5,1)</f>
        <v>248.75</v>
      </c>
      <c r="L7" s="148">
        <f ca="1">VLOOKUP(L1,IWM!$B$27:$G$278,5,1)</f>
        <v>248.96</v>
      </c>
      <c r="M7" s="148">
        <f ca="1">VLOOKUP(M1,IWM!$B$27:$G$278,5,1)</f>
        <v>241.34</v>
      </c>
      <c r="N7" s="148">
        <f ca="1">VLOOKUP(N1,IWM!$B$27:$G$278,5,1)</f>
        <v>236.22</v>
      </c>
      <c r="O7" s="148">
        <f ca="1">VLOOKUP(O1,IWM!$B$27:$G$278,5,1)</f>
        <v>214.92</v>
      </c>
      <c r="P7" s="163">
        <f t="shared" ca="1" si="0"/>
        <v>256.26583333333332</v>
      </c>
      <c r="Q7" s="165">
        <f t="shared" ca="1" si="1"/>
        <v>1.1260572517470466</v>
      </c>
      <c r="R7" s="168">
        <f t="shared" ca="1" si="2"/>
        <v>-3.7554614281426146E-2</v>
      </c>
      <c r="S7" s="168">
        <f t="shared" ca="1" si="3"/>
        <v>5.3521229600963727E-2</v>
      </c>
      <c r="T7" s="168">
        <f t="shared" ca="1" si="4"/>
        <v>9.5974173946069108E-2</v>
      </c>
      <c r="U7" s="168">
        <f t="shared" ca="1" si="5"/>
        <v>0.3426856504745952</v>
      </c>
      <c r="V7" s="174">
        <f t="shared" ca="1" si="6"/>
        <v>-0.45065537137711376</v>
      </c>
      <c r="W7" s="174">
        <f t="shared" ca="1" si="7"/>
        <v>0.21408491840385491</v>
      </c>
      <c r="X7" s="174">
        <f t="shared" ca="1" si="8"/>
        <v>0.19194834789213822</v>
      </c>
      <c r="Y7" s="174">
        <f t="shared" ca="1" si="9"/>
        <v>0.3426856504745952</v>
      </c>
      <c r="Z7" s="180">
        <f t="shared" ca="1" si="10"/>
        <v>0.29806354539347457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</row>
    <row r="8" spans="1:251" ht="13.5" customHeight="1" x14ac:dyDescent="0.2">
      <c r="A8" s="145" t="str">
        <f>관심종목!D13</f>
        <v>VGK</v>
      </c>
      <c r="B8" s="147">
        <f ca="1">관심종목!H13</f>
        <v>88.86</v>
      </c>
      <c r="C8" s="148">
        <f ca="1">VLOOKUP(C1,VGK!$B$27:$G$278,5,1)</f>
        <v>89.23</v>
      </c>
      <c r="D8" s="148">
        <f ca="1">VLOOKUP(D1,VGK!$B$27:$G$278,5,1)</f>
        <v>87.13</v>
      </c>
      <c r="E8" s="148">
        <f ca="1">VLOOKUP(E1,VGK!$B$27:$G$278,5,1)</f>
        <v>89.03</v>
      </c>
      <c r="F8" s="148">
        <f ca="1">VLOOKUP(F1,VGK!$B$27:$G$278,5,1)</f>
        <v>86.16</v>
      </c>
      <c r="G8" s="148">
        <f ca="1">VLOOKUP(G1,VGK!$B$27:$G$278,5,1)</f>
        <v>79.45</v>
      </c>
      <c r="H8" s="148">
        <f ca="1">VLOOKUP(H1,VGK!$B$27:$G$278,5,1)</f>
        <v>90.17</v>
      </c>
      <c r="I8" s="148">
        <f ca="1">VLOOKUP(I1,VGK!$B$27:$G$278,5,1)</f>
        <v>87.85</v>
      </c>
      <c r="J8" s="148">
        <f ca="1">VLOOKUP(J1,VGK!$B$27:$G$278,5,1)</f>
        <v>83.97</v>
      </c>
      <c r="K8" s="148">
        <f ca="1">VLOOKUP(K1,VGK!$B$27:$G$278,5,1)</f>
        <v>81.53</v>
      </c>
      <c r="L8" s="148">
        <f ca="1">VLOOKUP(L1,VGK!$B$27:$G$278,5,1)</f>
        <v>81.48</v>
      </c>
      <c r="M8" s="148">
        <f ca="1">VLOOKUP(M1,VGK!$B$27:$G$278,5,1)</f>
        <v>78.959999999999994</v>
      </c>
      <c r="N8" s="148">
        <f ca="1">VLOOKUP(N1,VGK!$B$27:$G$278,5,1)</f>
        <v>78.849999999999994</v>
      </c>
      <c r="O8" s="148">
        <f ca="1">VLOOKUP(O1,VGK!$B$27:$G$278,5,1)</f>
        <v>75.260000000000005</v>
      </c>
      <c r="P8" s="163">
        <f t="shared" ca="1" si="0"/>
        <v>83.320000000000007</v>
      </c>
      <c r="Q8" s="165">
        <f t="shared" ca="1" si="1"/>
        <v>1.0664906385021602</v>
      </c>
      <c r="R8" s="168">
        <f t="shared" ca="1" si="2"/>
        <v>1.9855388499942617E-2</v>
      </c>
      <c r="S8" s="168">
        <f t="shared" ca="1" si="3"/>
        <v>3.1337047353760417E-2</v>
      </c>
      <c r="T8" s="168">
        <f t="shared" ca="1" si="4"/>
        <v>1.1496869664200382E-2</v>
      </c>
      <c r="U8" s="168">
        <f t="shared" ca="1" si="5"/>
        <v>0.18070688280627145</v>
      </c>
      <c r="V8" s="174">
        <f t="shared" ca="1" si="6"/>
        <v>0.2382646619993114</v>
      </c>
      <c r="W8" s="174">
        <f t="shared" ca="1" si="7"/>
        <v>0.12534818941504167</v>
      </c>
      <c r="X8" s="174">
        <f t="shared" ca="1" si="8"/>
        <v>2.2993739328400764E-2</v>
      </c>
      <c r="Y8" s="174">
        <f t="shared" ca="1" si="9"/>
        <v>0.18070688280627145</v>
      </c>
      <c r="Z8" s="180">
        <f t="shared" ca="1" si="10"/>
        <v>0.56731347354902528</v>
      </c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</row>
    <row r="9" spans="1:251" ht="13.5" customHeight="1" x14ac:dyDescent="0.2">
      <c r="A9" s="145" t="str">
        <f>관심종목!D14</f>
        <v>EWJ</v>
      </c>
      <c r="B9" s="147">
        <f ca="1">관심종목!H14</f>
        <v>89.35</v>
      </c>
      <c r="C9" s="148">
        <f ca="1">VLOOKUP(C1,EWJ!$B$27:$G$278,5,1)</f>
        <v>89.83</v>
      </c>
      <c r="D9" s="148">
        <f ca="1">VLOOKUP(D1,EWJ!$B$27:$G$278,5,1)</f>
        <v>92.8</v>
      </c>
      <c r="E9" s="148">
        <f ca="1">VLOOKUP(E1,EWJ!$B$27:$G$278,5,1)</f>
        <v>92.7</v>
      </c>
      <c r="F9" s="148">
        <f ca="1">VLOOKUP(F1,EWJ!$B$27:$G$278,5,1)</f>
        <v>87.56</v>
      </c>
      <c r="G9" s="148">
        <f ca="1">VLOOKUP(G1,EWJ!$B$27:$G$278,5,1)</f>
        <v>81.430000000000007</v>
      </c>
      <c r="H9" s="148">
        <f ca="1">VLOOKUP(H1,EWJ!$B$27:$G$278,5,1)</f>
        <v>92.37</v>
      </c>
      <c r="I9" s="148">
        <f ca="1">VLOOKUP(I1,EWJ!$B$27:$G$278,5,1)</f>
        <v>85.21</v>
      </c>
      <c r="J9" s="148">
        <f ca="1">VLOOKUP(J1,EWJ!$B$27:$G$278,5,1)</f>
        <v>80.97</v>
      </c>
      <c r="K9" s="148">
        <f ca="1">VLOOKUP(K1,EWJ!$B$27:$G$278,5,1)</f>
        <v>83.01</v>
      </c>
      <c r="L9" s="148">
        <f ca="1">VLOOKUP(L1,EWJ!$B$27:$G$278,5,1)</f>
        <v>83.93</v>
      </c>
      <c r="M9" s="148">
        <f ca="1">VLOOKUP(M1,EWJ!$B$27:$G$278,5,1)</f>
        <v>80.44</v>
      </c>
      <c r="N9" s="148">
        <f ca="1">VLOOKUP(N1,EWJ!$B$27:$G$278,5,1)</f>
        <v>79.290000000000006</v>
      </c>
      <c r="O9" s="148">
        <f ca="1">VLOOKUP(O1,EWJ!$B$27:$G$278,5,1)</f>
        <v>74.069999999999993</v>
      </c>
      <c r="P9" s="163">
        <f t="shared" ca="1" si="0"/>
        <v>84.481666666666669</v>
      </c>
      <c r="Q9" s="165">
        <f t="shared" ca="1" si="1"/>
        <v>1.0576259148927774</v>
      </c>
      <c r="R9" s="168">
        <f t="shared" ca="1" si="2"/>
        <v>-3.717672413793105E-2</v>
      </c>
      <c r="S9" s="168">
        <f t="shared" ca="1" si="3"/>
        <v>2.0443124714481398E-2</v>
      </c>
      <c r="T9" s="168">
        <f t="shared" ca="1" si="4"/>
        <v>4.8585846731604265E-2</v>
      </c>
      <c r="U9" s="168">
        <f t="shared" ca="1" si="5"/>
        <v>0.20629134602403143</v>
      </c>
      <c r="V9" s="174">
        <f t="shared" ca="1" si="6"/>
        <v>-0.4461206896551726</v>
      </c>
      <c r="W9" s="174">
        <f t="shared" ca="1" si="7"/>
        <v>8.1772498857925591E-2</v>
      </c>
      <c r="X9" s="174">
        <f t="shared" ca="1" si="8"/>
        <v>9.7171693463208531E-2</v>
      </c>
      <c r="Y9" s="174">
        <f t="shared" ca="1" si="9"/>
        <v>0.20629134602403143</v>
      </c>
      <c r="Z9" s="180">
        <f t="shared" ca="1" si="10"/>
        <v>-6.0885151310007046E-2</v>
      </c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</row>
    <row r="10" spans="1:251" ht="13.5" customHeight="1" x14ac:dyDescent="0.2">
      <c r="A10" s="145" t="str">
        <f>관심종목!D15</f>
        <v>VWO</v>
      </c>
      <c r="B10" s="147">
        <f ca="1">관심종목!H15</f>
        <v>56.92</v>
      </c>
      <c r="C10" s="148">
        <f ca="1">VLOOKUP(C1,VWO!$B$27:$G$278,5,1)</f>
        <v>57.74</v>
      </c>
      <c r="D10" s="148">
        <f ca="1">VLOOKUP(D1,VWO!$B$27:$G$278,5,1)</f>
        <v>58.58</v>
      </c>
      <c r="E10" s="148">
        <f ca="1">VLOOKUP(E1,VWO!$B$27:$G$278,5,1)</f>
        <v>59.9</v>
      </c>
      <c r="F10" s="148">
        <f ca="1">VLOOKUP(F1,VWO!$B$27:$G$278,5,1)</f>
        <v>58.32</v>
      </c>
      <c r="G10" s="148">
        <f ca="1">VLOOKUP(G1,VWO!$B$27:$G$278,5,1)</f>
        <v>52.49</v>
      </c>
      <c r="H10" s="148">
        <f ca="1">VLOOKUP(H1,VWO!$B$27:$G$278,5,1)</f>
        <v>58.1</v>
      </c>
      <c r="I10" s="148">
        <f ca="1">VLOOKUP(I1,VWO!$B$27:$G$278,5,1)</f>
        <v>57.86</v>
      </c>
      <c r="J10" s="148">
        <f ca="1">VLOOKUP(J1,VWO!$B$27:$G$278,5,1)</f>
        <v>54.02</v>
      </c>
      <c r="K10" s="148">
        <f ca="1">VLOOKUP(K1,VWO!$B$27:$G$278,5,1)</f>
        <v>54.3</v>
      </c>
      <c r="L10" s="148">
        <f ca="1">VLOOKUP(L1,VWO!$B$27:$G$278,5,1)</f>
        <v>55.61</v>
      </c>
      <c r="M10" s="148">
        <f ca="1">VLOOKUP(M1,VWO!$B$27:$G$278,5,1)</f>
        <v>53.55</v>
      </c>
      <c r="N10" s="148">
        <f ca="1">VLOOKUP(N1,VWO!$B$27:$G$278,5,1)</f>
        <v>51.68</v>
      </c>
      <c r="O10" s="148">
        <f ca="1">VLOOKUP(O1,VWO!$B$27:$G$278,5,1)</f>
        <v>49.54</v>
      </c>
      <c r="P10" s="163">
        <f t="shared" ca="1" si="0"/>
        <v>55.329166666666659</v>
      </c>
      <c r="Q10" s="165">
        <f t="shared" ca="1" si="1"/>
        <v>1.0287521650726714</v>
      </c>
      <c r="R10" s="168">
        <f t="shared" ca="1" si="2"/>
        <v>-2.8337316490269604E-2</v>
      </c>
      <c r="S10" s="168">
        <f t="shared" ca="1" si="3"/>
        <v>-2.4005486968449952E-2</v>
      </c>
      <c r="T10" s="168">
        <f t="shared" ca="1" si="4"/>
        <v>-1.6246111303145461E-2</v>
      </c>
      <c r="U10" s="168">
        <f t="shared" ca="1" si="5"/>
        <v>0.14897052886556317</v>
      </c>
      <c r="V10" s="174">
        <f t="shared" ca="1" si="6"/>
        <v>-0.34004779788323525</v>
      </c>
      <c r="W10" s="174">
        <f t="shared" ca="1" si="7"/>
        <v>-9.6021947873799807E-2</v>
      </c>
      <c r="X10" s="174">
        <f t="shared" ca="1" si="8"/>
        <v>-3.2492222606290921E-2</v>
      </c>
      <c r="Y10" s="174">
        <f t="shared" ca="1" si="9"/>
        <v>0.14897052886556317</v>
      </c>
      <c r="Z10" s="180">
        <f t="shared" ca="1" si="10"/>
        <v>-0.31959143949776281</v>
      </c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</row>
    <row r="11" spans="1:251" ht="13.5" customHeight="1" x14ac:dyDescent="0.2">
      <c r="A11" s="145" t="str">
        <f>관심종목!D16</f>
        <v>VEA</v>
      </c>
      <c r="B11" s="147">
        <f ca="1">관심종목!H16</f>
        <v>68.95</v>
      </c>
      <c r="C11" s="148">
        <f ca="1">VLOOKUP(C1,VEA!$B$27:$G$278,5,1)</f>
        <v>69.599999999999994</v>
      </c>
      <c r="D11" s="148">
        <f ca="1">VLOOKUP(D1,VEA!$B$27:$G$278,5,1)</f>
        <v>70.56</v>
      </c>
      <c r="E11" s="148">
        <f ca="1">VLOOKUP(E1,VEA!$B$27:$G$278,5,1)</f>
        <v>71.66</v>
      </c>
      <c r="F11" s="148">
        <f ca="1">VLOOKUP(F1,VEA!$B$27:$G$278,5,1)</f>
        <v>67.73</v>
      </c>
      <c r="G11" s="148">
        <f ca="1">VLOOKUP(G1,VEA!$B$27:$G$278,5,1)</f>
        <v>62.05</v>
      </c>
      <c r="H11" s="148">
        <f ca="1">VLOOKUP(H1,VEA!$B$27:$G$278,5,1)</f>
        <v>70.239999999999995</v>
      </c>
      <c r="I11" s="240" t="e">
        <f ca="1">VLOOKUP(I1,VEA!$B$27:$G$278,5,1)</f>
        <v>#N/A</v>
      </c>
      <c r="J11" s="240" t="e">
        <f ca="1">VLOOKUP(J1,VEA!$B$27:$G$278,5,1)</f>
        <v>#N/A</v>
      </c>
      <c r="K11" s="240" t="e">
        <f ca="1">VLOOKUP(K1,VEA!$B$27:$G$278,5,1)</f>
        <v>#N/A</v>
      </c>
      <c r="L11" s="240" t="e">
        <f ca="1">VLOOKUP(L1,VEA!$B$27:$G$278,5,1)</f>
        <v>#N/A</v>
      </c>
      <c r="M11" s="240" t="e">
        <f ca="1">VLOOKUP(M1,VEA!$B$27:$G$278,5,1)</f>
        <v>#N/A</v>
      </c>
      <c r="N11" s="240" t="e">
        <f ca="1">VLOOKUP(N1,VEA!$B$27:$G$278,5,1)</f>
        <v>#N/A</v>
      </c>
      <c r="O11" s="240" t="e">
        <f ca="1">VLOOKUP(O1,VEA!$B$27:$G$278,5,1)</f>
        <v>#N/A</v>
      </c>
      <c r="P11" s="163" t="e">
        <f t="shared" ca="1" si="0"/>
        <v>#N/A</v>
      </c>
      <c r="Q11" s="165" t="e">
        <f t="shared" ca="1" si="1"/>
        <v>#N/A</v>
      </c>
      <c r="R11" s="168">
        <f t="shared" ca="1" si="2"/>
        <v>-2.2817460317460347E-2</v>
      </c>
      <c r="S11" s="168">
        <f t="shared" ca="1" si="3"/>
        <v>1.8012697475269457E-2</v>
      </c>
      <c r="T11" s="168" t="e">
        <f t="shared" ca="1" si="4"/>
        <v>#N/A</v>
      </c>
      <c r="U11" s="168" t="e">
        <f t="shared" ca="1" si="5"/>
        <v>#N/A</v>
      </c>
      <c r="V11" s="174">
        <f t="shared" ca="1" si="6"/>
        <v>-0.27380952380952417</v>
      </c>
      <c r="W11" s="174">
        <f t="shared" ca="1" si="7"/>
        <v>7.2050789901077827E-2</v>
      </c>
      <c r="X11" s="174" t="e">
        <f t="shared" ca="1" si="8"/>
        <v>#N/A</v>
      </c>
      <c r="Y11" s="174" t="e">
        <f t="shared" ca="1" si="9"/>
        <v>#N/A</v>
      </c>
      <c r="Z11" s="180" t="e">
        <f t="shared" ca="1" si="10"/>
        <v>#N/A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</row>
    <row r="12" spans="1:251" ht="13.5" customHeight="1" x14ac:dyDescent="0.2">
      <c r="A12" s="145" t="str">
        <f>관심종목!D17</f>
        <v>VNQ</v>
      </c>
      <c r="B12" s="147">
        <f ca="1">관심종목!H17</f>
        <v>100.66</v>
      </c>
      <c r="C12" s="148">
        <f ca="1">VLOOKUP(C1,VNQ!$B$27:$G$278,5,1)</f>
        <v>100.95</v>
      </c>
      <c r="D12" s="148">
        <f ca="1">VLOOKUP(D1,VNQ!$B$27:$G$278,5,1)</f>
        <v>98.67</v>
      </c>
      <c r="E12" s="148">
        <f ca="1">VLOOKUP(E1,VNQ!$B$27:$G$278,5,1)</f>
        <v>96.55</v>
      </c>
      <c r="F12" s="148">
        <f ca="1">VLOOKUP(F1,VNQ!$B$27:$G$278,5,1)</f>
        <v>95.65</v>
      </c>
      <c r="G12" s="148">
        <f ca="1">VLOOKUP(G1,VNQ!$B$27:$G$278,5,1)</f>
        <v>87</v>
      </c>
      <c r="H12" s="148">
        <f ca="1">VLOOKUP(H1,VNQ!$B$27:$G$278,5,1)</f>
        <v>95.69</v>
      </c>
      <c r="I12" s="148">
        <f ca="1">VLOOKUP(I1,VNQ!$B$27:$G$278,5,1)</f>
        <v>89.46</v>
      </c>
      <c r="J12" s="148">
        <f ca="1">VLOOKUP(J1,VNQ!$B$27:$G$278,5,1)</f>
        <v>88.86</v>
      </c>
      <c r="K12" s="148">
        <f ca="1">VLOOKUP(K1,VNQ!$B$27:$G$278,5,1)</f>
        <v>91.34</v>
      </c>
      <c r="L12" s="148">
        <f ca="1">VLOOKUP(L1,VNQ!$B$27:$G$278,5,1)</f>
        <v>90.87</v>
      </c>
      <c r="M12" s="148">
        <f ca="1">VLOOKUP(M1,VNQ!$B$27:$G$278,5,1)</f>
        <v>91.02</v>
      </c>
      <c r="N12" s="148">
        <f ca="1">VLOOKUP(N1,VNQ!$B$27:$G$278,5,1)</f>
        <v>91.74</v>
      </c>
      <c r="O12" s="148">
        <f ca="1">VLOOKUP(O1,VNQ!$B$27:$G$278,5,1)</f>
        <v>88.92</v>
      </c>
      <c r="P12" s="163">
        <f t="shared" ca="1" si="0"/>
        <v>92.147499999999994</v>
      </c>
      <c r="Q12" s="165">
        <f t="shared" ca="1" si="1"/>
        <v>1.0923790661710844</v>
      </c>
      <c r="R12" s="168">
        <f t="shared" ca="1" si="2"/>
        <v>2.016823755954178E-2</v>
      </c>
      <c r="S12" s="168">
        <f t="shared" ca="1" si="3"/>
        <v>5.2378463146889542E-2</v>
      </c>
      <c r="T12" s="168">
        <f t="shared" ca="1" si="4"/>
        <v>0.12519561815336466</v>
      </c>
      <c r="U12" s="168">
        <f t="shared" ca="1" si="5"/>
        <v>0.13202878992352662</v>
      </c>
      <c r="V12" s="174">
        <f t="shared" ca="1" si="6"/>
        <v>0.24201885071450135</v>
      </c>
      <c r="W12" s="174">
        <f t="shared" ca="1" si="7"/>
        <v>0.20951385258755817</v>
      </c>
      <c r="X12" s="174">
        <f t="shared" ca="1" si="8"/>
        <v>0.25039123630672933</v>
      </c>
      <c r="Y12" s="174">
        <f t="shared" ca="1" si="9"/>
        <v>0.13202878992352662</v>
      </c>
      <c r="Z12" s="180">
        <f t="shared" ca="1" si="10"/>
        <v>0.83395272953231547</v>
      </c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</row>
    <row r="13" spans="1:251" ht="13.5" customHeight="1" x14ac:dyDescent="0.2">
      <c r="A13" s="145" t="str">
        <f>관심종목!D18</f>
        <v>DBC</v>
      </c>
      <c r="B13" s="147">
        <f ca="1">관심종목!H18</f>
        <v>29.42</v>
      </c>
      <c r="C13" s="148">
        <f ca="1">VLOOKUP(C1,DBC!$B$27:$G$278,5,1)</f>
        <v>28.6</v>
      </c>
      <c r="D13" s="148">
        <f ca="1">VLOOKUP(D1,DBC!$B$27:$G$278,5,1)</f>
        <v>26.57</v>
      </c>
      <c r="E13" s="148">
        <f ca="1">VLOOKUP(E1,DBC!$B$27:$G$278,5,1)</f>
        <v>29.72</v>
      </c>
      <c r="F13" s="148">
        <f ca="1">VLOOKUP(F1,DBC!$B$27:$G$278,5,1)</f>
        <v>30.34</v>
      </c>
      <c r="G13" s="148">
        <f ca="1">VLOOKUP(G1,DBC!$B$27:$G$278,5,1)</f>
        <v>29.1</v>
      </c>
      <c r="H13" s="148">
        <f ca="1">VLOOKUP(H1,DBC!$B$27:$G$278,5,1)</f>
        <v>25.1</v>
      </c>
      <c r="I13" s="148">
        <f ca="1">VLOOKUP(I1,DBC!$B$27:$G$278,5,1)</f>
        <v>24.94</v>
      </c>
      <c r="J13" s="148">
        <f ca="1">VLOOKUP(J1,DBC!$B$27:$G$278,5,1)</f>
        <v>22.7</v>
      </c>
      <c r="K13" s="148">
        <f ca="1">VLOOKUP(K1,DBC!$B$27:$G$278,5,1)</f>
        <v>23.06</v>
      </c>
      <c r="L13" s="148">
        <f ca="1">VLOOKUP(L1,DBC!$B$27:$G$278,5,1)</f>
        <v>22.59</v>
      </c>
      <c r="M13" s="148">
        <f ca="1">VLOOKUP(M1,DBC!$B$27:$G$278,5,1)</f>
        <v>22.81</v>
      </c>
      <c r="N13" s="148">
        <f ca="1">VLOOKUP(N1,DBC!$B$27:$G$278,5,1)</f>
        <v>22.18</v>
      </c>
      <c r="O13" s="148">
        <f ca="1">VLOOKUP(O1,DBC!$B$27:$G$278,5,1)</f>
        <v>22.09</v>
      </c>
      <c r="P13" s="163">
        <f t="shared" ca="1" si="0"/>
        <v>25.099999999999994</v>
      </c>
      <c r="Q13" s="165">
        <f t="shared" ca="1" si="1"/>
        <v>1.172111553784861</v>
      </c>
      <c r="R13" s="168">
        <f t="shared" ca="1" si="2"/>
        <v>0.10726383138878437</v>
      </c>
      <c r="S13" s="168">
        <f t="shared" ca="1" si="3"/>
        <v>-3.0323005932761937E-2</v>
      </c>
      <c r="T13" s="168">
        <f t="shared" ca="1" si="4"/>
        <v>0.17963111467522053</v>
      </c>
      <c r="U13" s="168">
        <f t="shared" ca="1" si="5"/>
        <v>0.33182435491172479</v>
      </c>
      <c r="V13" s="174">
        <f t="shared" ca="1" si="6"/>
        <v>1.2871659766654124</v>
      </c>
      <c r="W13" s="174">
        <f t="shared" ca="1" si="7"/>
        <v>-0.12129202373104775</v>
      </c>
      <c r="X13" s="174">
        <f t="shared" ca="1" si="8"/>
        <v>0.35926222935044105</v>
      </c>
      <c r="Y13" s="174">
        <f t="shared" ca="1" si="9"/>
        <v>0.33182435491172479</v>
      </c>
      <c r="Z13" s="180">
        <f t="shared" ca="1" si="10"/>
        <v>1.8569605371965305</v>
      </c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</row>
    <row r="14" spans="1:251" ht="13.5" customHeight="1" x14ac:dyDescent="0.2">
      <c r="A14" s="145" t="str">
        <f>관심종목!D19</f>
        <v>GLD</v>
      </c>
      <c r="B14" s="147">
        <f ca="1">관심종목!H19</f>
        <v>371.08</v>
      </c>
      <c r="C14" s="148">
        <f ca="1">VLOOKUP(C1,GLD!$B$27:$G$278,5,1)</f>
        <v>369.37</v>
      </c>
      <c r="D14" s="148">
        <f ca="1">VLOOKUP(D1,GLD!$B$27:$G$278,5,1)</f>
        <v>373.63</v>
      </c>
      <c r="E14" s="148">
        <f ca="1">VLOOKUP(E1,GLD!$B$27:$G$278,5,1)</f>
        <v>412.77</v>
      </c>
      <c r="F14" s="148">
        <f ca="1">VLOOKUP(F1,GLD!$B$27:$G$278,5,1)</f>
        <v>421.91</v>
      </c>
      <c r="G14" s="148">
        <f ca="1">VLOOKUP(G1,GLD!$B$27:$G$278,5,1)</f>
        <v>414.7</v>
      </c>
      <c r="H14" s="148">
        <f ca="1">VLOOKUP(H1,GLD!$B$27:$G$278,5,1)</f>
        <v>483.75</v>
      </c>
      <c r="I14" s="148">
        <f ca="1">VLOOKUP(I1,GLD!$B$27:$G$278,5,1)</f>
        <v>494.56</v>
      </c>
      <c r="J14" s="148">
        <f ca="1">VLOOKUP(J1,GLD!$B$27:$G$278,5,1)</f>
        <v>416.74</v>
      </c>
      <c r="K14" s="148">
        <f ca="1">VLOOKUP(K1,GLD!$B$27:$G$278,5,1)</f>
        <v>387.88</v>
      </c>
      <c r="L14" s="148">
        <f ca="1">VLOOKUP(L1,GLD!$B$27:$G$278,5,1)</f>
        <v>364.38</v>
      </c>
      <c r="M14" s="148">
        <f ca="1">VLOOKUP(M1,GLD!$B$27:$G$278,5,1)</f>
        <v>346.74</v>
      </c>
      <c r="N14" s="148">
        <f ca="1">VLOOKUP(N1,GLD!$B$27:$G$278,5,1)</f>
        <v>315.02999999999997</v>
      </c>
      <c r="O14" s="148">
        <f ca="1">VLOOKUP(O1,GLD!$B$27:$G$278,5,1)</f>
        <v>309.11</v>
      </c>
      <c r="P14" s="163">
        <f t="shared" ca="1" si="0"/>
        <v>395.09999999999997</v>
      </c>
      <c r="Q14" s="165">
        <f t="shared" ca="1" si="1"/>
        <v>0.93920526449000252</v>
      </c>
      <c r="R14" s="168">
        <f t="shared" ca="1" si="2"/>
        <v>-6.8249337579958658E-3</v>
      </c>
      <c r="S14" s="168">
        <f t="shared" ca="1" si="3"/>
        <v>-0.12047593088573405</v>
      </c>
      <c r="T14" s="168">
        <f t="shared" ca="1" si="4"/>
        <v>-0.24967648010352639</v>
      </c>
      <c r="U14" s="168">
        <f t="shared" ca="1" si="5"/>
        <v>0.20047879395684376</v>
      </c>
      <c r="V14" s="174">
        <f t="shared" ca="1" si="6"/>
        <v>-8.1899205095950389E-2</v>
      </c>
      <c r="W14" s="174">
        <f t="shared" ca="1" si="7"/>
        <v>-0.4819037235429362</v>
      </c>
      <c r="X14" s="174">
        <f t="shared" ca="1" si="8"/>
        <v>-0.49935296020705278</v>
      </c>
      <c r="Y14" s="174">
        <f t="shared" ca="1" si="9"/>
        <v>0.20047879395684376</v>
      </c>
      <c r="Z14" s="180">
        <f t="shared" ca="1" si="10"/>
        <v>-0.86267709488909561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</row>
    <row r="15" spans="1:251" ht="13.5" customHeight="1" x14ac:dyDescent="0.2">
      <c r="A15" s="145" t="str">
        <f>관심종목!D20</f>
        <v>LQD</v>
      </c>
      <c r="B15" s="147">
        <f ca="1">관심종목!H20</f>
        <v>106.22</v>
      </c>
      <c r="C15" s="148">
        <f ca="1">VLOOKUP(C1,LQD!$B$27:$G$278,5,1)</f>
        <v>106.83</v>
      </c>
      <c r="D15" s="148">
        <f ca="1">VLOOKUP(D1,LQD!$B$27:$G$278,5,1)</f>
        <v>109.5</v>
      </c>
      <c r="E15" s="148">
        <f ca="1">VLOOKUP(E1,LQD!$B$27:$G$278,5,1)</f>
        <v>109.26</v>
      </c>
      <c r="F15" s="148">
        <f ca="1">VLOOKUP(F1,LQD!$B$27:$G$278,5,1)</f>
        <v>109.34</v>
      </c>
      <c r="G15" s="148">
        <f ca="1">VLOOKUP(G1,LQD!$B$27:$G$278,5,1)</f>
        <v>107.62</v>
      </c>
      <c r="H15" s="148">
        <f ca="1">VLOOKUP(H1,LQD!$B$27:$G$278,5,1)</f>
        <v>111.68</v>
      </c>
      <c r="I15" s="148">
        <f ca="1">VLOOKUP(I1,LQD!$B$27:$G$278,5,1)</f>
        <v>110.65</v>
      </c>
      <c r="J15" s="148">
        <f ca="1">VLOOKUP(J1,LQD!$B$27:$G$278,5,1)</f>
        <v>110.64</v>
      </c>
      <c r="K15" s="148">
        <f ca="1">VLOOKUP(K1,LQD!$B$27:$G$278,5,1)</f>
        <v>111.86</v>
      </c>
      <c r="L15" s="148">
        <f ca="1">VLOOKUP(L1,LQD!$B$27:$G$278,5,1)</f>
        <v>112.92</v>
      </c>
      <c r="M15" s="148">
        <f ca="1">VLOOKUP(M1,LQD!$B$27:$G$278,5,1)</f>
        <v>111.21</v>
      </c>
      <c r="N15" s="148">
        <f ca="1">VLOOKUP(N1,LQD!$B$27:$G$278,5,1)</f>
        <v>110.2</v>
      </c>
      <c r="O15" s="148">
        <f ca="1">VLOOKUP(O1,LQD!$B$27:$G$278,5,1)</f>
        <v>109.63</v>
      </c>
      <c r="P15" s="163">
        <f t="shared" ca="1" si="0"/>
        <v>110.37583333333335</v>
      </c>
      <c r="Q15" s="165">
        <f t="shared" ca="1" si="1"/>
        <v>0.96234834014088211</v>
      </c>
      <c r="R15" s="168">
        <f t="shared" ca="1" si="2"/>
        <v>-2.9954337899543382E-2</v>
      </c>
      <c r="S15" s="168">
        <f t="shared" ca="1" si="3"/>
        <v>-2.8534845436253953E-2</v>
      </c>
      <c r="T15" s="168">
        <f t="shared" ca="1" si="4"/>
        <v>-4.0036150022593864E-2</v>
      </c>
      <c r="U15" s="168">
        <f t="shared" ca="1" si="5"/>
        <v>-3.1104624646538293E-2</v>
      </c>
      <c r="V15" s="174">
        <f t="shared" ca="1" si="6"/>
        <v>-0.35945205479452058</v>
      </c>
      <c r="W15" s="174">
        <f t="shared" ca="1" si="7"/>
        <v>-0.11413938174501581</v>
      </c>
      <c r="X15" s="174">
        <f t="shared" ca="1" si="8"/>
        <v>-8.0072300045187728E-2</v>
      </c>
      <c r="Y15" s="174">
        <f t="shared" ca="1" si="9"/>
        <v>-3.1104624646538293E-2</v>
      </c>
      <c r="Z15" s="180">
        <f t="shared" ca="1" si="10"/>
        <v>-0.58476836123126241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</row>
    <row r="16" spans="1:251" ht="13.5" customHeight="1" x14ac:dyDescent="0.2">
      <c r="A16" s="241" t="str">
        <f>관심종목!D21</f>
        <v>HYG</v>
      </c>
      <c r="B16" s="242">
        <f ca="1">관심종목!H21</f>
        <v>79.239999999999995</v>
      </c>
      <c r="C16" s="243">
        <f ca="1">VLOOKUP(C1,HYG!$B$27:$G$278,5,1)</f>
        <v>79.42</v>
      </c>
      <c r="D16" s="243">
        <f ca="1">VLOOKUP(D1,HYG!$B$27:$G$278,5,1)</f>
        <v>79.83</v>
      </c>
      <c r="E16" s="243">
        <f ca="1">VLOOKUP(E1,HYG!$B$27:$G$278,5,1)</f>
        <v>80.23</v>
      </c>
      <c r="F16" s="243">
        <f ca="1">VLOOKUP(F1,HYG!$B$27:$G$278,5,1)</f>
        <v>80.400000000000006</v>
      </c>
      <c r="G16" s="243">
        <f ca="1">VLOOKUP(G1,HYG!$B$27:$G$278,5,1)</f>
        <v>78.72</v>
      </c>
      <c r="H16" s="243">
        <f ca="1">VLOOKUP(H1,HYG!$B$27:$G$278,5,1)</f>
        <v>80.72</v>
      </c>
      <c r="I16" s="243">
        <f ca="1">VLOOKUP(I1,HYG!$B$27:$G$278,5,1)</f>
        <v>81.040000000000006</v>
      </c>
      <c r="J16" s="243">
        <f ca="1">VLOOKUP(J1,HYG!$B$27:$G$278,5,1)</f>
        <v>80.599999999999994</v>
      </c>
      <c r="K16" s="243">
        <f ca="1">VLOOKUP(K1,HYG!$B$27:$G$278,5,1)</f>
        <v>80.989999999999995</v>
      </c>
      <c r="L16" s="243">
        <f ca="1">VLOOKUP(L1,HYG!$B$27:$G$278,5,1)</f>
        <v>81.2</v>
      </c>
      <c r="M16" s="243">
        <f ca="1">VLOOKUP(M1,HYG!$B$27:$G$278,5,1)</f>
        <v>81.08</v>
      </c>
      <c r="N16" s="243">
        <f ca="1">VLOOKUP(N1,HYG!$B$27:$G$278,5,1)</f>
        <v>81.010000000000005</v>
      </c>
      <c r="O16" s="243">
        <f ca="1">VLOOKUP(O1,HYG!$B$27:$G$278,5,1)</f>
        <v>79.98</v>
      </c>
      <c r="P16" s="244">
        <f t="shared" ca="1" si="0"/>
        <v>80.483333333333334</v>
      </c>
      <c r="Q16" s="245">
        <f t="shared" ca="1" si="1"/>
        <v>0.98455166701180363</v>
      </c>
      <c r="R16" s="246">
        <f t="shared" ca="1" si="2"/>
        <v>-7.3907052486534841E-3</v>
      </c>
      <c r="S16" s="246">
        <f t="shared" ca="1" si="3"/>
        <v>-1.442786069651758E-2</v>
      </c>
      <c r="T16" s="246">
        <f t="shared" ca="1" si="4"/>
        <v>-2.2211253701875711E-2</v>
      </c>
      <c r="U16" s="246">
        <f t="shared" ca="1" si="5"/>
        <v>-9.2523130782696805E-3</v>
      </c>
      <c r="V16" s="247">
        <f t="shared" ca="1" si="6"/>
        <v>-8.8688462983841809E-2</v>
      </c>
      <c r="W16" s="247">
        <f t="shared" ca="1" si="7"/>
        <v>-5.7711442786070322E-2</v>
      </c>
      <c r="X16" s="247">
        <f t="shared" ca="1" si="8"/>
        <v>-4.4422507403751421E-2</v>
      </c>
      <c r="Y16" s="247">
        <f t="shared" ca="1" si="9"/>
        <v>-9.2523130782696805E-3</v>
      </c>
      <c r="Z16" s="248">
        <f t="shared" ca="1" si="10"/>
        <v>-0.20007472625193323</v>
      </c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</row>
    <row r="17" spans="1:251" ht="27" customHeight="1" x14ac:dyDescent="0.25">
      <c r="A17" s="78" t="s">
        <v>137</v>
      </c>
      <c r="B17" s="249"/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50"/>
      <c r="S17" s="250"/>
      <c r="T17" s="250"/>
      <c r="U17" s="250"/>
      <c r="V17" s="251"/>
      <c r="W17" s="251"/>
      <c r="X17" s="251"/>
      <c r="Y17" s="251"/>
      <c r="Z17" s="180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2"/>
      <c r="BM17" s="252"/>
      <c r="BN17" s="252"/>
      <c r="BO17" s="252"/>
      <c r="BP17" s="252"/>
      <c r="BQ17" s="252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2"/>
      <c r="CE17" s="252"/>
      <c r="CF17" s="252"/>
      <c r="CG17" s="252"/>
      <c r="CH17" s="252"/>
      <c r="CI17" s="252"/>
      <c r="CJ17" s="252"/>
      <c r="CK17" s="252"/>
      <c r="CL17" s="252"/>
      <c r="CM17" s="252"/>
      <c r="CN17" s="252"/>
      <c r="CO17" s="252"/>
      <c r="CP17" s="252"/>
      <c r="CQ17" s="252"/>
      <c r="CR17" s="252"/>
      <c r="CS17" s="252"/>
      <c r="CT17" s="252"/>
      <c r="CU17" s="252"/>
      <c r="CV17" s="252"/>
      <c r="CW17" s="252"/>
      <c r="CX17" s="252"/>
      <c r="CY17" s="252"/>
      <c r="CZ17" s="252"/>
      <c r="DA17" s="252"/>
      <c r="DB17" s="252"/>
      <c r="DC17" s="252"/>
      <c r="DD17" s="252"/>
      <c r="DE17" s="252"/>
      <c r="DF17" s="252"/>
      <c r="DG17" s="252"/>
      <c r="DH17" s="252"/>
      <c r="DI17" s="252"/>
      <c r="DJ17" s="252"/>
      <c r="DK17" s="252"/>
      <c r="DL17" s="252"/>
      <c r="DM17" s="252"/>
      <c r="DN17" s="252"/>
      <c r="DO17" s="252"/>
      <c r="DP17" s="252"/>
      <c r="DQ17" s="252"/>
      <c r="DR17" s="252"/>
      <c r="DS17" s="252"/>
      <c r="DT17" s="252"/>
      <c r="DU17" s="252"/>
      <c r="DV17" s="252"/>
      <c r="DW17" s="252"/>
      <c r="DX17" s="252"/>
      <c r="DY17" s="252"/>
      <c r="DZ17" s="252"/>
      <c r="EA17" s="252"/>
      <c r="EB17" s="252"/>
      <c r="EC17" s="252"/>
      <c r="ED17" s="252"/>
      <c r="EE17" s="252"/>
      <c r="EF17" s="252"/>
      <c r="EG17" s="252"/>
      <c r="EH17" s="252"/>
      <c r="EI17" s="252"/>
      <c r="EJ17" s="252"/>
      <c r="EK17" s="252"/>
      <c r="EL17" s="252"/>
      <c r="EM17" s="252"/>
      <c r="EN17" s="252"/>
      <c r="EO17" s="252"/>
      <c r="EP17" s="252"/>
      <c r="EQ17" s="252"/>
      <c r="ER17" s="252"/>
      <c r="ES17" s="252"/>
      <c r="ET17" s="252"/>
      <c r="EU17" s="252"/>
      <c r="EV17" s="252"/>
      <c r="EW17" s="252"/>
      <c r="EX17" s="252"/>
      <c r="EY17" s="252"/>
      <c r="EZ17" s="252"/>
      <c r="FA17" s="252"/>
      <c r="FB17" s="252"/>
      <c r="FC17" s="252"/>
      <c r="FD17" s="252"/>
      <c r="FE17" s="252"/>
      <c r="FF17" s="252"/>
      <c r="FG17" s="252"/>
      <c r="FH17" s="252"/>
      <c r="FI17" s="252"/>
      <c r="FJ17" s="252"/>
      <c r="FK17" s="252"/>
      <c r="FL17" s="252"/>
      <c r="FM17" s="252"/>
      <c r="FN17" s="252"/>
      <c r="FO17" s="252"/>
      <c r="FP17" s="252"/>
      <c r="FQ17" s="252"/>
      <c r="FR17" s="252"/>
      <c r="FS17" s="252"/>
      <c r="FT17" s="252"/>
      <c r="FU17" s="252"/>
      <c r="FV17" s="252"/>
      <c r="FW17" s="252"/>
      <c r="FX17" s="252"/>
      <c r="FY17" s="252"/>
      <c r="FZ17" s="252"/>
      <c r="GA17" s="252"/>
      <c r="GB17" s="252"/>
      <c r="GC17" s="252"/>
      <c r="GD17" s="252"/>
      <c r="GE17" s="252"/>
      <c r="GF17" s="252"/>
      <c r="GG17" s="252"/>
      <c r="GH17" s="252"/>
      <c r="GI17" s="252"/>
      <c r="GJ17" s="252"/>
      <c r="GK17" s="252"/>
      <c r="GL17" s="252"/>
      <c r="GM17" s="252"/>
      <c r="GN17" s="252"/>
      <c r="GO17" s="252"/>
      <c r="GP17" s="252"/>
      <c r="GQ17" s="252"/>
      <c r="GR17" s="252"/>
      <c r="GS17" s="252"/>
      <c r="GT17" s="252"/>
      <c r="GU17" s="252"/>
      <c r="GV17" s="252"/>
      <c r="GW17" s="252"/>
      <c r="GX17" s="252"/>
      <c r="GY17" s="252"/>
      <c r="GZ17" s="252"/>
      <c r="HA17" s="252"/>
      <c r="HB17" s="252"/>
      <c r="HC17" s="252"/>
      <c r="HD17" s="252"/>
      <c r="HE17" s="252"/>
      <c r="HF17" s="252"/>
      <c r="HG17" s="252"/>
      <c r="HH17" s="252"/>
      <c r="HI17" s="252"/>
      <c r="HJ17" s="252"/>
      <c r="HK17" s="252"/>
      <c r="HL17" s="252"/>
      <c r="HM17" s="252"/>
      <c r="HN17" s="252"/>
      <c r="HO17" s="252"/>
      <c r="HP17" s="252"/>
      <c r="HQ17" s="252"/>
      <c r="HR17" s="252"/>
      <c r="HS17" s="252"/>
      <c r="HT17" s="252"/>
      <c r="HU17" s="252"/>
      <c r="HV17" s="252"/>
      <c r="HW17" s="252"/>
      <c r="HX17" s="252"/>
      <c r="HY17" s="252"/>
      <c r="HZ17" s="252"/>
      <c r="IA17" s="252"/>
      <c r="IB17" s="252"/>
      <c r="IC17" s="252"/>
      <c r="ID17" s="252"/>
      <c r="IE17" s="252"/>
      <c r="IF17" s="252"/>
      <c r="IG17" s="252"/>
      <c r="IH17" s="252"/>
      <c r="II17" s="252"/>
      <c r="IJ17" s="252"/>
      <c r="IK17" s="252"/>
      <c r="IL17" s="252"/>
      <c r="IM17" s="252"/>
      <c r="IN17" s="252"/>
      <c r="IO17" s="252"/>
      <c r="IP17" s="252"/>
      <c r="IQ17" s="252"/>
    </row>
    <row r="18" spans="1:251" ht="27" customHeight="1" x14ac:dyDescent="0.2">
      <c r="A18" s="253" t="s">
        <v>56</v>
      </c>
      <c r="B18" s="121" t="s">
        <v>60</v>
      </c>
      <c r="C18" s="121" t="s">
        <v>61</v>
      </c>
      <c r="D18" s="121" t="s">
        <v>62</v>
      </c>
      <c r="E18" s="121" t="s">
        <v>63</v>
      </c>
      <c r="F18" s="121" t="s">
        <v>64</v>
      </c>
      <c r="G18" s="121" t="s">
        <v>65</v>
      </c>
      <c r="H18" s="121" t="s">
        <v>66</v>
      </c>
      <c r="I18" s="121" t="s">
        <v>67</v>
      </c>
      <c r="J18" s="121" t="s">
        <v>68</v>
      </c>
      <c r="K18" s="121" t="s">
        <v>69</v>
      </c>
      <c r="L18" s="121" t="s">
        <v>70</v>
      </c>
      <c r="M18" s="121" t="s">
        <v>71</v>
      </c>
      <c r="N18" s="121" t="s">
        <v>72</v>
      </c>
      <c r="O18" s="121" t="s">
        <v>73</v>
      </c>
      <c r="P18" s="254" t="s">
        <v>21</v>
      </c>
      <c r="Q18" s="255" t="s">
        <v>76</v>
      </c>
      <c r="R18" s="120" t="s">
        <v>78</v>
      </c>
      <c r="S18" s="120" t="s">
        <v>79</v>
      </c>
      <c r="T18" s="120" t="s">
        <v>81</v>
      </c>
      <c r="U18" s="120" t="s">
        <v>82</v>
      </c>
      <c r="V18" s="121" t="s">
        <v>83</v>
      </c>
      <c r="W18" s="121" t="s">
        <v>85</v>
      </c>
      <c r="X18" s="121" t="s">
        <v>86</v>
      </c>
      <c r="Y18" s="121" t="s">
        <v>87</v>
      </c>
      <c r="Z18" s="124" t="s">
        <v>88</v>
      </c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  <c r="BY18" s="256"/>
      <c r="BZ18" s="256"/>
      <c r="CA18" s="256"/>
      <c r="CB18" s="256"/>
      <c r="CC18" s="256"/>
      <c r="CD18" s="256"/>
      <c r="CE18" s="256"/>
      <c r="CF18" s="256"/>
      <c r="CG18" s="256"/>
      <c r="CH18" s="256"/>
      <c r="CI18" s="256"/>
      <c r="CJ18" s="256"/>
      <c r="CK18" s="256"/>
      <c r="CL18" s="256"/>
      <c r="CM18" s="256"/>
      <c r="CN18" s="256"/>
      <c r="CO18" s="256"/>
      <c r="CP18" s="256"/>
      <c r="CQ18" s="256"/>
      <c r="CR18" s="256"/>
      <c r="CS18" s="256"/>
      <c r="CT18" s="256"/>
      <c r="CU18" s="256"/>
      <c r="CV18" s="256"/>
      <c r="CW18" s="256"/>
      <c r="CX18" s="256"/>
      <c r="CY18" s="256"/>
      <c r="CZ18" s="256"/>
      <c r="DA18" s="256"/>
      <c r="DB18" s="256"/>
      <c r="DC18" s="256"/>
      <c r="DD18" s="256"/>
      <c r="DE18" s="256"/>
      <c r="DF18" s="256"/>
      <c r="DG18" s="256"/>
      <c r="DH18" s="256"/>
      <c r="DI18" s="256"/>
      <c r="DJ18" s="256"/>
      <c r="DK18" s="256"/>
      <c r="DL18" s="256"/>
      <c r="DM18" s="256"/>
      <c r="DN18" s="256"/>
      <c r="DO18" s="256"/>
      <c r="DP18" s="256"/>
      <c r="DQ18" s="256"/>
      <c r="DR18" s="256"/>
      <c r="DS18" s="256"/>
      <c r="DT18" s="256"/>
      <c r="DU18" s="256"/>
      <c r="DV18" s="256"/>
      <c r="DW18" s="256"/>
      <c r="DX18" s="256"/>
      <c r="DY18" s="256"/>
      <c r="DZ18" s="256"/>
      <c r="EA18" s="256"/>
      <c r="EB18" s="256"/>
      <c r="EC18" s="256"/>
      <c r="ED18" s="256"/>
      <c r="EE18" s="256"/>
      <c r="EF18" s="256"/>
      <c r="EG18" s="256"/>
      <c r="EH18" s="256"/>
      <c r="EI18" s="256"/>
      <c r="EJ18" s="256"/>
      <c r="EK18" s="256"/>
      <c r="EL18" s="256"/>
      <c r="EM18" s="256"/>
      <c r="EN18" s="256"/>
      <c r="EO18" s="256"/>
      <c r="EP18" s="256"/>
      <c r="EQ18" s="256"/>
      <c r="ER18" s="256"/>
      <c r="ES18" s="256"/>
      <c r="ET18" s="256"/>
      <c r="EU18" s="256"/>
      <c r="EV18" s="256"/>
      <c r="EW18" s="256"/>
      <c r="EX18" s="256"/>
      <c r="EY18" s="256"/>
      <c r="EZ18" s="256"/>
      <c r="FA18" s="256"/>
      <c r="FB18" s="256"/>
      <c r="FC18" s="256"/>
      <c r="FD18" s="256"/>
      <c r="FE18" s="256"/>
      <c r="FF18" s="256"/>
      <c r="FG18" s="256"/>
      <c r="FH18" s="256"/>
      <c r="FI18" s="256"/>
      <c r="FJ18" s="256"/>
      <c r="FK18" s="256"/>
      <c r="FL18" s="256"/>
      <c r="FM18" s="256"/>
      <c r="FN18" s="256"/>
      <c r="FO18" s="256"/>
      <c r="FP18" s="256"/>
      <c r="FQ18" s="256"/>
      <c r="FR18" s="256"/>
      <c r="FS18" s="256"/>
      <c r="FT18" s="256"/>
      <c r="FU18" s="256"/>
      <c r="FV18" s="256"/>
      <c r="FW18" s="256"/>
      <c r="FX18" s="256"/>
      <c r="FY18" s="256"/>
      <c r="FZ18" s="256"/>
      <c r="GA18" s="256"/>
      <c r="GB18" s="256"/>
      <c r="GC18" s="256"/>
      <c r="GD18" s="256"/>
      <c r="GE18" s="256"/>
      <c r="GF18" s="256"/>
      <c r="GG18" s="256"/>
      <c r="GH18" s="256"/>
      <c r="GI18" s="256"/>
      <c r="GJ18" s="256"/>
      <c r="GK18" s="256"/>
      <c r="GL18" s="256"/>
      <c r="GM18" s="256"/>
      <c r="GN18" s="256"/>
      <c r="GO18" s="256"/>
      <c r="GP18" s="256"/>
      <c r="GQ18" s="256"/>
      <c r="GR18" s="256"/>
      <c r="GS18" s="256"/>
      <c r="GT18" s="256"/>
      <c r="GU18" s="256"/>
      <c r="GV18" s="256"/>
      <c r="GW18" s="256"/>
      <c r="GX18" s="256"/>
      <c r="GY18" s="256"/>
      <c r="GZ18" s="256"/>
      <c r="HA18" s="256"/>
      <c r="HB18" s="256"/>
      <c r="HC18" s="256"/>
      <c r="HD18" s="256"/>
      <c r="HE18" s="256"/>
      <c r="HF18" s="256"/>
      <c r="HG18" s="256"/>
      <c r="HH18" s="256"/>
      <c r="HI18" s="256"/>
      <c r="HJ18" s="256"/>
      <c r="HK18" s="256"/>
      <c r="HL18" s="256"/>
      <c r="HM18" s="256"/>
      <c r="HN18" s="256"/>
      <c r="HO18" s="256"/>
      <c r="HP18" s="256"/>
      <c r="HQ18" s="256"/>
      <c r="HR18" s="256"/>
      <c r="HS18" s="256"/>
      <c r="HT18" s="256"/>
      <c r="HU18" s="256"/>
      <c r="HV18" s="256"/>
      <c r="HW18" s="256"/>
      <c r="HX18" s="256"/>
      <c r="HY18" s="256"/>
      <c r="HZ18" s="256"/>
      <c r="IA18" s="256"/>
      <c r="IB18" s="256"/>
      <c r="IC18" s="256"/>
      <c r="ID18" s="256"/>
      <c r="IE18" s="256"/>
      <c r="IF18" s="256"/>
      <c r="IG18" s="256"/>
      <c r="IH18" s="256"/>
      <c r="II18" s="256"/>
      <c r="IJ18" s="256"/>
      <c r="IK18" s="256"/>
      <c r="IL18" s="256"/>
      <c r="IM18" s="256"/>
      <c r="IN18" s="256"/>
      <c r="IO18" s="256"/>
      <c r="IP18" s="256"/>
      <c r="IQ18" s="256"/>
    </row>
    <row r="19" spans="1:251" ht="13.5" customHeight="1" x14ac:dyDescent="0.2">
      <c r="A19" s="257" t="str">
        <f>관심종목!D27</f>
        <v>LQD</v>
      </c>
      <c r="B19" s="258">
        <f ca="1">관심종목!H27</f>
        <v>106.22</v>
      </c>
      <c r="C19" s="259">
        <f ca="1">VLOOKUP(C1,LQD!$B$27:$G$278,5,1)</f>
        <v>106.83</v>
      </c>
      <c r="D19" s="259">
        <f ca="1">VLOOKUP($D$1,LQD!$B$27:$G$278,5,1)</f>
        <v>109.5</v>
      </c>
      <c r="E19" s="259">
        <f ca="1">VLOOKUP(E1,LQD!$B$27:$G$278,5,1)</f>
        <v>109.26</v>
      </c>
      <c r="F19" s="259">
        <f ca="1">VLOOKUP(F1,LQD!$B$27:$G$278,5,1)</f>
        <v>109.34</v>
      </c>
      <c r="G19" s="259">
        <f ca="1">VLOOKUP(G1,LQD!$B$27:$G$278,5,1)</f>
        <v>107.62</v>
      </c>
      <c r="H19" s="259">
        <f ca="1">VLOOKUP(H1,LQD!$B$27:$G$278,5,1)</f>
        <v>111.68</v>
      </c>
      <c r="I19" s="259">
        <f ca="1">VLOOKUP(I1,LQD!$B$27:$G$278,5,1)</f>
        <v>110.65</v>
      </c>
      <c r="J19" s="259">
        <f ca="1">VLOOKUP(J1,LQD!$B$27:$G$278,5,1)</f>
        <v>110.64</v>
      </c>
      <c r="K19" s="259">
        <f ca="1">VLOOKUP(K1,LQD!$B$27:$G$278,5,1)</f>
        <v>111.86</v>
      </c>
      <c r="L19" s="259">
        <f ca="1">VLOOKUP(L1,LQD!$B$27:$G$278,5,1)</f>
        <v>112.92</v>
      </c>
      <c r="M19" s="259">
        <f ca="1">VLOOKUP(M1,LQD!$B$27:$G$278,5,1)</f>
        <v>111.21</v>
      </c>
      <c r="N19" s="259">
        <f ca="1">VLOOKUP(N1,LQD!$B$27:$G$278,5,1)</f>
        <v>110.2</v>
      </c>
      <c r="O19" s="259">
        <f ca="1">VLOOKUP(O1,LQD!$B$27:$G$278,5,1)</f>
        <v>109.63</v>
      </c>
      <c r="P19" s="260">
        <f ca="1">AVERAGE(D19:O19)</f>
        <v>110.37583333333335</v>
      </c>
      <c r="Q19" s="261">
        <f t="shared" ref="Q19:Q25" ca="1" si="11">B19/P19</f>
        <v>0.96234834014088211</v>
      </c>
      <c r="R19" s="168">
        <f t="shared" ref="R19:R25" ca="1" si="12">(B19/D19)-1</f>
        <v>-2.9954337899543382E-2</v>
      </c>
      <c r="S19" s="168">
        <f t="shared" ref="S19:S25" ca="1" si="13">(B19/F19)-1</f>
        <v>-2.8534845436253953E-2</v>
      </c>
      <c r="T19" s="168">
        <f t="shared" ref="T19:T25" ca="1" si="14">(B19/I19)-1</f>
        <v>-4.0036150022593864E-2</v>
      </c>
      <c r="U19" s="168">
        <f t="shared" ref="U19:U25" ca="1" si="15">(B19/O19)-1</f>
        <v>-3.1104624646538293E-2</v>
      </c>
      <c r="V19" s="174">
        <f t="shared" ref="V19:W19" ca="1" si="16">R19*12</f>
        <v>-0.35945205479452058</v>
      </c>
      <c r="W19" s="174">
        <f t="shared" ca="1" si="16"/>
        <v>-0.34241814523504743</v>
      </c>
      <c r="X19" s="174">
        <f t="shared" ref="X19:X25" ca="1" si="17">T19*2</f>
        <v>-8.0072300045187728E-2</v>
      </c>
      <c r="Y19" s="174">
        <f t="shared" ref="Y19:Y25" ca="1" si="18">U19*1</f>
        <v>-3.1104624646538293E-2</v>
      </c>
      <c r="Z19" s="180">
        <f t="shared" ref="Z19:Z25" ca="1" si="19">SUM(V19:Y19)</f>
        <v>-0.81304712472129403</v>
      </c>
    </row>
    <row r="20" spans="1:251" ht="13.5" customHeight="1" x14ac:dyDescent="0.2">
      <c r="A20" s="257" t="str">
        <f>관심종목!D28</f>
        <v>IEF</v>
      </c>
      <c r="B20" s="258">
        <f ca="1">관심종목!H28</f>
        <v>93.17</v>
      </c>
      <c r="C20" s="259">
        <f ca="1">VLOOKUP(C1,IEF!$B$27:$G$278,5,1)</f>
        <v>93.56</v>
      </c>
      <c r="D20" s="259">
        <f ca="1">VLOOKUP(D1,IEF!$B$27:$G$278,5,1)</f>
        <v>95.03</v>
      </c>
      <c r="E20" s="259">
        <f ca="1">VLOOKUP(E1,IEF!$B$27:$G$278,5,1)</f>
        <v>94.54</v>
      </c>
      <c r="F20" s="259">
        <f ca="1">VLOOKUP(F1,IEF!$B$27:$G$278,5,1)</f>
        <v>95.25</v>
      </c>
      <c r="G20" s="259">
        <f ca="1">VLOOKUP(G1,IEF!$B$27:$G$278,5,1)</f>
        <v>94.6</v>
      </c>
      <c r="H20" s="259">
        <f ca="1">VLOOKUP(H1,IEF!$B$27:$G$278,5,1)</f>
        <v>97.99</v>
      </c>
      <c r="I20" s="259">
        <f ca="1">VLOOKUP(I1,IEF!$B$27:$G$278,5,1)</f>
        <v>95.9</v>
      </c>
      <c r="J20" s="259">
        <f ca="1">VLOOKUP(J1,IEF!$B$27:$G$278,5,1)</f>
        <v>96.44</v>
      </c>
      <c r="K20" s="259">
        <f ca="1">VLOOKUP(K1,IEF!$B$27:$G$278,5,1)</f>
        <v>97.5</v>
      </c>
      <c r="L20" s="259">
        <f ca="1">VLOOKUP(L1,IEF!$B$27:$G$278,5,1)</f>
        <v>97.58</v>
      </c>
      <c r="M20" s="259">
        <f ca="1">VLOOKUP(M1,IEF!$B$27:$G$278,5,1)</f>
        <v>96.22</v>
      </c>
      <c r="N20" s="259">
        <f ca="1">VLOOKUP(N1,IEF!$B$27:$G$278,5,1)</f>
        <v>96.23</v>
      </c>
      <c r="O20" s="259">
        <f ca="1">VLOOKUP(O1,IEF!$B$27:$G$278,5,1)</f>
        <v>95.68</v>
      </c>
      <c r="P20" s="260">
        <f t="shared" ref="P20:P25" ca="1" si="20">AVERAGE(A20:N20)</f>
        <v>95.693076923076916</v>
      </c>
      <c r="Q20" s="261">
        <f t="shared" ca="1" si="11"/>
        <v>0.97363365246260092</v>
      </c>
      <c r="R20" s="168">
        <f t="shared" ca="1" si="12"/>
        <v>-1.9572766494791116E-2</v>
      </c>
      <c r="S20" s="168">
        <f t="shared" ca="1" si="13"/>
        <v>-2.1837270341207304E-2</v>
      </c>
      <c r="T20" s="168">
        <f t="shared" ca="1" si="14"/>
        <v>-2.8467153284671531E-2</v>
      </c>
      <c r="U20" s="168">
        <f t="shared" ca="1" si="15"/>
        <v>-2.6233277591973247E-2</v>
      </c>
      <c r="V20" s="174">
        <f t="shared" ref="V20:V25" ca="1" si="21">R20*12</f>
        <v>-0.23487319793749339</v>
      </c>
      <c r="W20" s="174">
        <f t="shared" ref="W20:W25" ca="1" si="22">S20*4</f>
        <v>-8.7349081364829217E-2</v>
      </c>
      <c r="X20" s="174">
        <f t="shared" ca="1" si="17"/>
        <v>-5.6934306569343063E-2</v>
      </c>
      <c r="Y20" s="174">
        <f t="shared" ca="1" si="18"/>
        <v>-2.6233277591973247E-2</v>
      </c>
      <c r="Z20" s="180">
        <f t="shared" ca="1" si="19"/>
        <v>-0.40538986346363892</v>
      </c>
    </row>
    <row r="21" spans="1:251" ht="13.5" customHeight="1" x14ac:dyDescent="0.2">
      <c r="A21" s="257" t="str">
        <f>관심종목!D29</f>
        <v>BIL</v>
      </c>
      <c r="B21" s="258">
        <f ca="1">관심종목!H29</f>
        <v>91.64</v>
      </c>
      <c r="C21" s="259">
        <f ca="1">VLOOKUP(C1,BIL!$B$27:$G$278,5,1)</f>
        <v>91.63</v>
      </c>
      <c r="D21" s="259">
        <f ca="1">VLOOKUP(D1,BIL!$B$27:$G$278,5,1)</f>
        <v>91.63</v>
      </c>
      <c r="E21" s="259">
        <f ca="1">VLOOKUP(E1,BIL!$B$27:$G$278,5,1)</f>
        <v>91.63</v>
      </c>
      <c r="F21" s="259">
        <f ca="1">VLOOKUP(F1,BIL!$B$27:$G$278,5,1)</f>
        <v>91.63</v>
      </c>
      <c r="G21" s="259">
        <f ca="1">VLOOKUP(G1,BIL!$B$27:$G$278,5,1)</f>
        <v>91.63</v>
      </c>
      <c r="H21" s="259">
        <f ca="1">VLOOKUP(H1,BIL!$B$27:$G$278,5,1)</f>
        <v>91.62</v>
      </c>
      <c r="I21" s="259">
        <f ca="1">VLOOKUP(I1,BIL!$B$27:$G$278,5,1)</f>
        <v>91.61</v>
      </c>
      <c r="J21" s="259">
        <f ca="1">VLOOKUP(J1,BIL!$B$27:$G$278,5,1)</f>
        <v>91.36</v>
      </c>
      <c r="K21" s="259">
        <f ca="1">VLOOKUP(K1,BIL!$B$27:$G$278,5,1)</f>
        <v>91.72</v>
      </c>
      <c r="L21" s="259">
        <f ca="1">VLOOKUP(L1,BIL!$B$27:$G$278,5,1)</f>
        <v>91.71</v>
      </c>
      <c r="M21" s="259">
        <f ca="1">VLOOKUP(M1,BIL!$B$27:$G$278,5,1)</f>
        <v>91.74</v>
      </c>
      <c r="N21" s="259">
        <f ca="1">VLOOKUP(N1,BIL!$B$27:$G$278,5,1)</f>
        <v>91.73</v>
      </c>
      <c r="O21" s="259">
        <f ca="1">VLOOKUP(O1,BIL!$B$27:$G$278,5,1)</f>
        <v>91.47</v>
      </c>
      <c r="P21" s="260">
        <f t="shared" ca="1" si="20"/>
        <v>91.636923076923068</v>
      </c>
      <c r="Q21" s="261">
        <f t="shared" ca="1" si="11"/>
        <v>1.0000335773285878</v>
      </c>
      <c r="R21" s="168">
        <f t="shared" ca="1" si="12"/>
        <v>1.0913456291605783E-4</v>
      </c>
      <c r="S21" s="168">
        <f t="shared" ca="1" si="13"/>
        <v>1.0913456291605783E-4</v>
      </c>
      <c r="T21" s="168">
        <f t="shared" ca="1" si="14"/>
        <v>3.2747516646658426E-4</v>
      </c>
      <c r="U21" s="168">
        <f t="shared" ca="1" si="15"/>
        <v>1.8585328523013089E-3</v>
      </c>
      <c r="V21" s="174">
        <f t="shared" ca="1" si="21"/>
        <v>1.309614754992694E-3</v>
      </c>
      <c r="W21" s="174">
        <f t="shared" ca="1" si="22"/>
        <v>4.3653825166423132E-4</v>
      </c>
      <c r="X21" s="174">
        <f t="shared" ca="1" si="17"/>
        <v>6.5495033293316851E-4</v>
      </c>
      <c r="Y21" s="174">
        <f t="shared" ca="1" si="18"/>
        <v>1.8585328523013089E-3</v>
      </c>
      <c r="Z21" s="180">
        <f t="shared" ca="1" si="19"/>
        <v>4.2596361918914027E-3</v>
      </c>
    </row>
    <row r="22" spans="1:251" ht="13.5" customHeight="1" x14ac:dyDescent="0.2">
      <c r="A22" s="257" t="str">
        <f>관심종목!D30</f>
        <v>TLT</v>
      </c>
      <c r="B22" s="258">
        <f ca="1">관심종목!H30</f>
        <v>82.85</v>
      </c>
      <c r="C22" s="259">
        <f ca="1">VLOOKUP(C1,TLT!$B$27:$G$278,5,1)</f>
        <v>84.24</v>
      </c>
      <c r="D22" s="259">
        <f ca="1">VLOOKUP(D1,TLT!$B$27:$G$278,5,1)</f>
        <v>87.36</v>
      </c>
      <c r="E22" s="259">
        <f ca="1">VLOOKUP(E1,TLT!$B$27:$G$278,5,1)</f>
        <v>85.74</v>
      </c>
      <c r="F22" s="259">
        <f ca="1">VLOOKUP(F1,TLT!$B$27:$G$278,5,1)</f>
        <v>86.37</v>
      </c>
      <c r="G22" s="259">
        <f ca="1">VLOOKUP(G1,TLT!$B$27:$G$278,5,1)</f>
        <v>85.64</v>
      </c>
      <c r="H22" s="259">
        <f ca="1">VLOOKUP(H1,TLT!$B$27:$G$278,5,1)</f>
        <v>90.82</v>
      </c>
      <c r="I22" s="259">
        <f ca="1">VLOOKUP(I1,TLT!$B$27:$G$278,5,1)</f>
        <v>87.6</v>
      </c>
      <c r="J22" s="259">
        <f ca="1">VLOOKUP(J1,TLT!$B$27:$G$278,5,1)</f>
        <v>87.74</v>
      </c>
      <c r="K22" s="259">
        <f ca="1">VLOOKUP(K1,TLT!$B$27:$G$278,5,1)</f>
        <v>90.21</v>
      </c>
      <c r="L22" s="259">
        <f ca="1">VLOOKUP(L1,TLT!$B$27:$G$278,5,1)</f>
        <v>92.02</v>
      </c>
      <c r="M22" s="259">
        <f ca="1">VLOOKUP(M1,TLT!$B$27:$G$278,5,1)</f>
        <v>88.9</v>
      </c>
      <c r="N22" s="259">
        <f ca="1">VLOOKUP(N1,TLT!$B$27:$G$278,5,1)</f>
        <v>87.22</v>
      </c>
      <c r="O22" s="259">
        <f ca="1">VLOOKUP(O1,TLT!$B$27:$G$278,5,1)</f>
        <v>87.82</v>
      </c>
      <c r="P22" s="260">
        <f t="shared" ca="1" si="20"/>
        <v>87.439230769230775</v>
      </c>
      <c r="Q22" s="261">
        <f t="shared" ca="1" si="11"/>
        <v>0.94751519736784218</v>
      </c>
      <c r="R22" s="168">
        <f t="shared" ca="1" si="12"/>
        <v>-5.1625457875457914E-2</v>
      </c>
      <c r="S22" s="168">
        <f t="shared" ca="1" si="13"/>
        <v>-4.0754891744818944E-2</v>
      </c>
      <c r="T22" s="168">
        <f t="shared" ca="1" si="14"/>
        <v>-5.4223744292237419E-2</v>
      </c>
      <c r="U22" s="168">
        <f t="shared" ca="1" si="15"/>
        <v>-5.659303120018222E-2</v>
      </c>
      <c r="V22" s="174">
        <f t="shared" ca="1" si="21"/>
        <v>-0.61950549450549497</v>
      </c>
      <c r="W22" s="174">
        <f t="shared" ca="1" si="22"/>
        <v>-0.16301956697927578</v>
      </c>
      <c r="X22" s="174">
        <f t="shared" ca="1" si="17"/>
        <v>-0.10844748858447484</v>
      </c>
      <c r="Y22" s="174">
        <f t="shared" ca="1" si="18"/>
        <v>-5.659303120018222E-2</v>
      </c>
      <c r="Z22" s="180">
        <f t="shared" ca="1" si="19"/>
        <v>-0.9475655812694278</v>
      </c>
    </row>
    <row r="23" spans="1:251" ht="13.5" customHeight="1" x14ac:dyDescent="0.2">
      <c r="A23" s="257" t="str">
        <f>관심종목!D31</f>
        <v>TIP</v>
      </c>
      <c r="B23" s="258">
        <f ca="1">관심종목!H31</f>
        <v>107.77</v>
      </c>
      <c r="C23" s="259">
        <f ca="1">VLOOKUP(C1,TIP!$B$27:$G$278,5,1)</f>
        <v>107.66</v>
      </c>
      <c r="D23" s="259">
        <f ca="1">VLOOKUP(D1,TIP!$B$27:$G$278,5,1)</f>
        <v>109.7</v>
      </c>
      <c r="E23" s="259">
        <f ca="1">VLOOKUP(E1,TIP!$B$27:$G$278,5,1)</f>
        <v>111.18</v>
      </c>
      <c r="F23" s="259">
        <f ca="1">VLOOKUP(F1,TIP!$B$27:$G$278,5,1)</f>
        <v>111.73</v>
      </c>
      <c r="G23" s="259">
        <f ca="1">VLOOKUP(G1,TIP!$B$27:$G$278,5,1)</f>
        <v>109.67</v>
      </c>
      <c r="H23" s="259">
        <f ca="1">VLOOKUP(H1,TIP!$B$27:$G$278,5,1)</f>
        <v>111.88</v>
      </c>
      <c r="I23" s="259">
        <f ca="1">VLOOKUP(I1,TIP!$B$27:$G$278,5,1)</f>
        <v>110.44</v>
      </c>
      <c r="J23" s="259">
        <f ca="1">VLOOKUP(J1,TIP!$B$27:$G$278,5,1)</f>
        <v>110.05</v>
      </c>
      <c r="K23" s="259">
        <f ca="1">VLOOKUP(K1,TIP!$B$27:$G$278,5,1)</f>
        <v>111.26</v>
      </c>
      <c r="L23" s="259">
        <f ca="1">VLOOKUP(L1,TIP!$B$27:$G$278,5,1)</f>
        <v>112.03</v>
      </c>
      <c r="M23" s="259">
        <f ca="1">VLOOKUP(M1,TIP!$B$27:$G$278,5,1)</f>
        <v>111.11</v>
      </c>
      <c r="N23" s="259">
        <f ca="1">VLOOKUP(N1,TIP!$B$27:$G$278,5,1)</f>
        <v>111.29</v>
      </c>
      <c r="O23" s="259">
        <f ca="1">VLOOKUP(O1,TIP!$B$27:$G$278,5,1)</f>
        <v>110.17</v>
      </c>
      <c r="P23" s="260">
        <f t="shared" ca="1" si="20"/>
        <v>110.44384615384614</v>
      </c>
      <c r="Q23" s="261">
        <f t="shared" ca="1" si="11"/>
        <v>0.97578999421912993</v>
      </c>
      <c r="R23" s="168">
        <f t="shared" ca="1" si="12"/>
        <v>-1.7593436645396587E-2</v>
      </c>
      <c r="S23" s="168">
        <f t="shared" ca="1" si="13"/>
        <v>-3.544258480264928E-2</v>
      </c>
      <c r="T23" s="168">
        <f t="shared" ca="1" si="14"/>
        <v>-2.4176023180007222E-2</v>
      </c>
      <c r="U23" s="168">
        <f t="shared" ca="1" si="15"/>
        <v>-2.1784514840700764E-2</v>
      </c>
      <c r="V23" s="174">
        <f t="shared" ca="1" si="21"/>
        <v>-0.21112123974475905</v>
      </c>
      <c r="W23" s="174">
        <f t="shared" ca="1" si="22"/>
        <v>-0.14177033921059712</v>
      </c>
      <c r="X23" s="174">
        <f t="shared" ca="1" si="17"/>
        <v>-4.8352046360014445E-2</v>
      </c>
      <c r="Y23" s="174">
        <f t="shared" ca="1" si="18"/>
        <v>-2.1784514840700764E-2</v>
      </c>
      <c r="Z23" s="180">
        <f t="shared" ca="1" si="19"/>
        <v>-0.42302814015607137</v>
      </c>
    </row>
    <row r="24" spans="1:251" ht="13.5" customHeight="1" x14ac:dyDescent="0.2">
      <c r="A24" s="257" t="str">
        <f>관심종목!D32</f>
        <v>BND</v>
      </c>
      <c r="B24" s="258">
        <f ca="1">관심종목!H32</f>
        <v>72.38</v>
      </c>
      <c r="C24" s="259">
        <f ca="1">VLOOKUP(C1,BND!$B$27:$G$278,5,1)</f>
        <v>72.64</v>
      </c>
      <c r="D24" s="259">
        <f ca="1">VLOOKUP(D1,BND!$B$27:$G$278,5,1)</f>
        <v>73.67</v>
      </c>
      <c r="E24" s="259">
        <f ca="1">VLOOKUP(E1,BND!$B$27:$G$278,5,1)</f>
        <v>73.42</v>
      </c>
      <c r="F24" s="259">
        <f ca="1">VLOOKUP(F1,BND!$B$27:$G$278,5,1)</f>
        <v>73.72</v>
      </c>
      <c r="G24" s="259">
        <f ca="1">VLOOKUP(G1,BND!$B$27:$G$278,5,1)</f>
        <v>73.11</v>
      </c>
      <c r="H24" s="259">
        <f ca="1">VLOOKUP(H1,BND!$B$27:$G$278,5,1)</f>
        <v>75.17</v>
      </c>
      <c r="I24" s="259">
        <f ca="1">VLOOKUP(I1,BND!$B$27:$G$278,5,1)</f>
        <v>74.25</v>
      </c>
      <c r="J24" s="259">
        <f ca="1">VLOOKUP(J1,BND!$B$27:$G$278,5,1)</f>
        <v>74.19</v>
      </c>
      <c r="K24" s="259">
        <f ca="1">VLOOKUP(K1,BND!$B$27:$G$278,5,1)</f>
        <v>74.78</v>
      </c>
      <c r="L24" s="259">
        <f ca="1">VLOOKUP(L1,BND!$B$27:$G$278,5,1)</f>
        <v>75.099999999999994</v>
      </c>
      <c r="M24" s="259">
        <f ca="1">VLOOKUP(M1,BND!$B$27:$G$278,5,1)</f>
        <v>74.209999999999994</v>
      </c>
      <c r="N24" s="259">
        <f ca="1">VLOOKUP(N1,BND!$B$27:$G$278,5,1)</f>
        <v>73.89</v>
      </c>
      <c r="O24" s="259">
        <f ca="1">VLOOKUP(O1,BND!$B$27:$G$278,5,1)</f>
        <v>73.59</v>
      </c>
      <c r="P24" s="260">
        <f t="shared" ca="1" si="20"/>
        <v>73.886923076923068</v>
      </c>
      <c r="Q24" s="261">
        <f t="shared" ca="1" si="11"/>
        <v>0.97960500973420928</v>
      </c>
      <c r="R24" s="168">
        <f t="shared" ca="1" si="12"/>
        <v>-1.7510519885978071E-2</v>
      </c>
      <c r="S24" s="168">
        <f t="shared" ca="1" si="13"/>
        <v>-1.8176885512750984E-2</v>
      </c>
      <c r="T24" s="168">
        <f t="shared" ca="1" si="14"/>
        <v>-2.5185185185185199E-2</v>
      </c>
      <c r="U24" s="168">
        <f t="shared" ca="1" si="15"/>
        <v>-1.644245142002998E-2</v>
      </c>
      <c r="V24" s="174">
        <f t="shared" ca="1" si="21"/>
        <v>-0.21012623863173685</v>
      </c>
      <c r="W24" s="174">
        <f t="shared" ca="1" si="22"/>
        <v>-7.2707542051003937E-2</v>
      </c>
      <c r="X24" s="174">
        <f t="shared" ca="1" si="17"/>
        <v>-5.0370370370370399E-2</v>
      </c>
      <c r="Y24" s="174">
        <f t="shared" ca="1" si="18"/>
        <v>-1.644245142002998E-2</v>
      </c>
      <c r="Z24" s="180">
        <f t="shared" ca="1" si="19"/>
        <v>-0.34964660247314117</v>
      </c>
    </row>
    <row r="25" spans="1:251" ht="13.5" customHeight="1" x14ac:dyDescent="0.2">
      <c r="A25" s="262" t="str">
        <f>관심종목!D33</f>
        <v>DBC</v>
      </c>
      <c r="B25" s="263">
        <f ca="1">관심종목!H33</f>
        <v>29.42</v>
      </c>
      <c r="C25" s="264">
        <f ca="1">VLOOKUP(C1,DBC!$B$27:$G$278,5,1)</f>
        <v>28.6</v>
      </c>
      <c r="D25" s="264">
        <f ca="1">VLOOKUP(D1,DBC!$B$27:$G$278,5,1)</f>
        <v>26.57</v>
      </c>
      <c r="E25" s="264">
        <f ca="1">VLOOKUP(E1,DBC!$B$27:$G$278,5,1)</f>
        <v>29.72</v>
      </c>
      <c r="F25" s="264">
        <f ca="1">VLOOKUP(F1,DBC!$B$27:$G$278,5,1)</f>
        <v>30.34</v>
      </c>
      <c r="G25" s="264">
        <f ca="1">VLOOKUP(G1,DBC!$B$27:$G$278,5,1)</f>
        <v>29.1</v>
      </c>
      <c r="H25" s="264">
        <f ca="1">VLOOKUP(H1,DBC!$B$27:$G$278,5,1)</f>
        <v>25.1</v>
      </c>
      <c r="I25" s="264">
        <f ca="1">VLOOKUP(I1,DBC!$B$27:$G$278,5,1)</f>
        <v>24.94</v>
      </c>
      <c r="J25" s="264">
        <f ca="1">VLOOKUP(J1,DBC!$B$27:$G$278,5,1)</f>
        <v>22.7</v>
      </c>
      <c r="K25" s="264">
        <f ca="1">VLOOKUP(K1,DBC!$B$27:$G$278,5,1)</f>
        <v>23.06</v>
      </c>
      <c r="L25" s="264">
        <f ca="1">VLOOKUP(L1,DBC!$B$27:$G$278,5,1)</f>
        <v>22.59</v>
      </c>
      <c r="M25" s="264">
        <f ca="1">VLOOKUP(M1,DBC!$B$27:$G$278,5,1)</f>
        <v>22.81</v>
      </c>
      <c r="N25" s="264">
        <f ca="1">VLOOKUP(N1,DBC!$B$27:$G$278,5,1)</f>
        <v>22.18</v>
      </c>
      <c r="O25" s="264">
        <f ca="1">VLOOKUP(O1,DBC!$B$27:$G$278,5,1)</f>
        <v>22.09</v>
      </c>
      <c r="P25" s="265">
        <f t="shared" ca="1" si="20"/>
        <v>25.933076923076918</v>
      </c>
      <c r="Q25" s="266">
        <f t="shared" ca="1" si="11"/>
        <v>1.1344585174858366</v>
      </c>
      <c r="R25" s="246">
        <f t="shared" ca="1" si="12"/>
        <v>0.10726383138878437</v>
      </c>
      <c r="S25" s="246">
        <f t="shared" ca="1" si="13"/>
        <v>-3.0323005932761937E-2</v>
      </c>
      <c r="T25" s="246">
        <f t="shared" ca="1" si="14"/>
        <v>0.17963111467522053</v>
      </c>
      <c r="U25" s="246">
        <f t="shared" ca="1" si="15"/>
        <v>0.33182435491172479</v>
      </c>
      <c r="V25" s="247">
        <f t="shared" ca="1" si="21"/>
        <v>1.2871659766654124</v>
      </c>
      <c r="W25" s="247">
        <f t="shared" ca="1" si="22"/>
        <v>-0.12129202373104775</v>
      </c>
      <c r="X25" s="247">
        <f t="shared" ca="1" si="17"/>
        <v>0.35926222935044105</v>
      </c>
      <c r="Y25" s="247">
        <f t="shared" ca="1" si="18"/>
        <v>0.33182435491172479</v>
      </c>
      <c r="Z25" s="248">
        <f t="shared" ca="1" si="19"/>
        <v>1.8569605371965305</v>
      </c>
    </row>
    <row r="26" spans="1:251" ht="18.75" customHeight="1" x14ac:dyDescent="0.2">
      <c r="A26" s="267"/>
    </row>
    <row r="27" spans="1:251" ht="15" x14ac:dyDescent="0.25">
      <c r="A27" s="78" t="s">
        <v>138</v>
      </c>
      <c r="P27" s="268"/>
      <c r="Q27" s="268"/>
      <c r="R27" s="268"/>
      <c r="S27" s="268"/>
    </row>
    <row r="28" spans="1:251" ht="24.75" customHeight="1" x14ac:dyDescent="0.2">
      <c r="A28" s="269"/>
      <c r="B28" s="270" t="s">
        <v>60</v>
      </c>
      <c r="C28" s="121" t="s">
        <v>61</v>
      </c>
      <c r="D28" s="121" t="s">
        <v>62</v>
      </c>
      <c r="E28" s="121" t="s">
        <v>63</v>
      </c>
      <c r="F28" s="121" t="s">
        <v>64</v>
      </c>
      <c r="G28" s="121" t="s">
        <v>65</v>
      </c>
      <c r="H28" s="121" t="s">
        <v>66</v>
      </c>
      <c r="I28" s="121" t="s">
        <v>67</v>
      </c>
      <c r="J28" s="121" t="s">
        <v>68</v>
      </c>
      <c r="K28" s="121" t="s">
        <v>69</v>
      </c>
      <c r="L28" s="121" t="s">
        <v>70</v>
      </c>
      <c r="M28" s="121" t="s">
        <v>71</v>
      </c>
      <c r="N28" s="121" t="s">
        <v>72</v>
      </c>
      <c r="O28" s="121" t="s">
        <v>73</v>
      </c>
      <c r="P28" s="254" t="s">
        <v>21</v>
      </c>
      <c r="Q28" s="254" t="s">
        <v>76</v>
      </c>
      <c r="R28" s="120" t="s">
        <v>78</v>
      </c>
      <c r="S28" s="120" t="s">
        <v>79</v>
      </c>
      <c r="T28" s="120" t="s">
        <v>81</v>
      </c>
      <c r="U28" s="120" t="s">
        <v>82</v>
      </c>
      <c r="V28" s="121" t="s">
        <v>83</v>
      </c>
      <c r="W28" s="121" t="s">
        <v>85</v>
      </c>
      <c r="X28" s="121" t="s">
        <v>86</v>
      </c>
      <c r="Y28" s="121" t="s">
        <v>87</v>
      </c>
      <c r="Z28" s="124" t="s">
        <v>88</v>
      </c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1"/>
      <c r="BK28" s="271"/>
      <c r="BL28" s="271"/>
      <c r="BM28" s="271"/>
      <c r="BN28" s="271"/>
      <c r="BO28" s="271"/>
      <c r="BP28" s="271"/>
      <c r="BQ28" s="271"/>
      <c r="BR28" s="271"/>
      <c r="BS28" s="271"/>
      <c r="BT28" s="271"/>
      <c r="BU28" s="271"/>
      <c r="BV28" s="271"/>
      <c r="BW28" s="271"/>
      <c r="BX28" s="271"/>
      <c r="BY28" s="271"/>
      <c r="BZ28" s="271"/>
      <c r="CA28" s="271"/>
      <c r="CB28" s="271"/>
      <c r="CC28" s="271"/>
      <c r="CD28" s="271"/>
      <c r="CE28" s="271"/>
      <c r="CF28" s="271"/>
      <c r="CG28" s="271"/>
      <c r="CH28" s="271"/>
      <c r="CI28" s="271"/>
      <c r="CJ28" s="271"/>
      <c r="CK28" s="271"/>
      <c r="CL28" s="271"/>
      <c r="CM28" s="271"/>
      <c r="CN28" s="271"/>
      <c r="CO28" s="271"/>
      <c r="CP28" s="271"/>
      <c r="CQ28" s="271"/>
      <c r="CR28" s="271"/>
      <c r="CS28" s="271"/>
      <c r="CT28" s="271"/>
      <c r="CU28" s="271"/>
      <c r="CV28" s="271"/>
      <c r="CW28" s="271"/>
      <c r="CX28" s="271"/>
      <c r="CY28" s="271"/>
      <c r="CZ28" s="271"/>
      <c r="DA28" s="271"/>
      <c r="DB28" s="271"/>
      <c r="DC28" s="271"/>
      <c r="DD28" s="271"/>
      <c r="DE28" s="271"/>
      <c r="DF28" s="271"/>
      <c r="DG28" s="271"/>
      <c r="DH28" s="271"/>
      <c r="DI28" s="271"/>
      <c r="DJ28" s="271"/>
      <c r="DK28" s="271"/>
      <c r="DL28" s="271"/>
      <c r="DM28" s="271"/>
      <c r="DN28" s="271"/>
      <c r="DO28" s="271"/>
      <c r="DP28" s="271"/>
      <c r="DQ28" s="271"/>
      <c r="DR28" s="271"/>
      <c r="DS28" s="271"/>
      <c r="DT28" s="271"/>
      <c r="DU28" s="271"/>
      <c r="DV28" s="271"/>
      <c r="DW28" s="271"/>
      <c r="DX28" s="271"/>
      <c r="DY28" s="271"/>
      <c r="DZ28" s="271"/>
      <c r="EA28" s="271"/>
      <c r="EB28" s="271"/>
      <c r="EC28" s="271"/>
      <c r="ED28" s="271"/>
      <c r="EE28" s="271"/>
      <c r="EF28" s="271"/>
      <c r="EG28" s="271"/>
      <c r="EH28" s="271"/>
      <c r="EI28" s="271"/>
      <c r="EJ28" s="271"/>
      <c r="EK28" s="271"/>
      <c r="EL28" s="271"/>
      <c r="EM28" s="271"/>
      <c r="EN28" s="271"/>
      <c r="EO28" s="271"/>
      <c r="EP28" s="271"/>
      <c r="EQ28" s="271"/>
      <c r="ER28" s="271"/>
      <c r="ES28" s="271"/>
      <c r="ET28" s="271"/>
      <c r="EU28" s="271"/>
      <c r="EV28" s="271"/>
      <c r="EW28" s="271"/>
      <c r="EX28" s="271"/>
      <c r="EY28" s="271"/>
      <c r="EZ28" s="271"/>
      <c r="FA28" s="271"/>
      <c r="FB28" s="271"/>
      <c r="FC28" s="271"/>
      <c r="FD28" s="271"/>
      <c r="FE28" s="271"/>
      <c r="FF28" s="271"/>
      <c r="FG28" s="271"/>
      <c r="FH28" s="271"/>
      <c r="FI28" s="271"/>
      <c r="FJ28" s="271"/>
      <c r="FK28" s="271"/>
      <c r="FL28" s="271"/>
      <c r="FM28" s="271"/>
      <c r="FN28" s="271"/>
      <c r="FO28" s="271"/>
      <c r="FP28" s="271"/>
      <c r="FQ28" s="271"/>
      <c r="FR28" s="271"/>
      <c r="FS28" s="271"/>
      <c r="FT28" s="271"/>
      <c r="FU28" s="271"/>
      <c r="FV28" s="271"/>
      <c r="FW28" s="271"/>
      <c r="FX28" s="271"/>
      <c r="FY28" s="271"/>
      <c r="FZ28" s="271"/>
      <c r="GA28" s="271"/>
      <c r="GB28" s="271"/>
      <c r="GC28" s="271"/>
      <c r="GD28" s="271"/>
      <c r="GE28" s="271"/>
      <c r="GF28" s="271"/>
      <c r="GG28" s="271"/>
      <c r="GH28" s="271"/>
      <c r="GI28" s="271"/>
      <c r="GJ28" s="271"/>
      <c r="GK28" s="271"/>
      <c r="GL28" s="271"/>
      <c r="GM28" s="271"/>
      <c r="GN28" s="271"/>
      <c r="GO28" s="271"/>
      <c r="GP28" s="271"/>
      <c r="GQ28" s="271"/>
      <c r="GR28" s="271"/>
      <c r="GS28" s="271"/>
      <c r="GT28" s="271"/>
      <c r="GU28" s="271"/>
      <c r="GV28" s="271"/>
      <c r="GW28" s="271"/>
      <c r="GX28" s="271"/>
      <c r="GY28" s="271"/>
      <c r="GZ28" s="271"/>
      <c r="HA28" s="271"/>
      <c r="HB28" s="271"/>
      <c r="HC28" s="271"/>
      <c r="HD28" s="271"/>
      <c r="HE28" s="271"/>
      <c r="HF28" s="271"/>
      <c r="HG28" s="271"/>
      <c r="HH28" s="271"/>
      <c r="HI28" s="271"/>
      <c r="HJ28" s="271"/>
      <c r="HK28" s="271"/>
      <c r="HL28" s="271"/>
      <c r="HM28" s="271"/>
      <c r="HN28" s="271"/>
      <c r="HO28" s="271"/>
      <c r="HP28" s="271"/>
      <c r="HQ28" s="271"/>
      <c r="HR28" s="271"/>
      <c r="HS28" s="271"/>
      <c r="HT28" s="271"/>
      <c r="HU28" s="271"/>
      <c r="HV28" s="271"/>
      <c r="HW28" s="271"/>
      <c r="HX28" s="271"/>
      <c r="HY28" s="271"/>
      <c r="HZ28" s="271"/>
      <c r="IA28" s="271"/>
      <c r="IB28" s="271"/>
      <c r="IC28" s="271"/>
      <c r="ID28" s="271"/>
      <c r="IE28" s="271"/>
      <c r="IF28" s="271"/>
      <c r="IG28" s="271"/>
      <c r="IH28" s="271"/>
      <c r="II28" s="271"/>
      <c r="IJ28" s="271"/>
      <c r="IK28" s="271"/>
      <c r="IL28" s="271"/>
      <c r="IM28" s="271"/>
      <c r="IN28" s="271"/>
      <c r="IO28" s="271"/>
      <c r="IP28" s="271"/>
      <c r="IQ28" s="271"/>
    </row>
    <row r="29" spans="1:251" ht="14.25" customHeight="1" x14ac:dyDescent="0.25">
      <c r="A29" s="272" t="s">
        <v>25</v>
      </c>
      <c r="B29" s="273">
        <f ca="1">관심종목!H22</f>
        <v>729.46</v>
      </c>
      <c r="C29" s="274">
        <f ca="1">VLOOKUP(C1,SPY!$B$27:$G$278,5,1)</f>
        <v>740.86</v>
      </c>
      <c r="D29" s="274">
        <f ca="1">VLOOKUP(D1,SPY!$B$27:$G$278,5,1)</f>
        <v>728.99</v>
      </c>
      <c r="E29" s="274">
        <f ca="1">VLOOKUP(E1,SPY!$B$27:$G$278,5,1)</f>
        <v>754.6</v>
      </c>
      <c r="F29" s="274">
        <f ca="1">VLOOKUP(F1,SPY!$B$27:$G$278,5,1)</f>
        <v>711.69</v>
      </c>
      <c r="G29" s="274">
        <f ca="1">VLOOKUP(G1,SPY!$B$27:$G$278,5,1)</f>
        <v>634.09</v>
      </c>
      <c r="H29" s="274">
        <f ca="1">VLOOKUP(H1,SPY!$B$27:$G$278,5,1)</f>
        <v>685.99</v>
      </c>
      <c r="I29" s="274">
        <f ca="1">VLOOKUP(I1,SPY!$B$27:$G$278,5,1)</f>
        <v>695.42</v>
      </c>
      <c r="J29" s="274">
        <f ca="1">VLOOKUP(J1,SPY!$B$27:$G$278,5,1)</f>
        <v>690.31</v>
      </c>
      <c r="K29" s="274">
        <f ca="1">VLOOKUP(K1,SPY!$B$27:$G$278,5,1)</f>
        <v>683.39</v>
      </c>
      <c r="L29" s="274">
        <f ca="1">VLOOKUP(L1,SPY!$B$27:$G$278,5,1)</f>
        <v>687.06</v>
      </c>
      <c r="M29" s="274">
        <f ca="1">VLOOKUP(M1,SPY!$B$27:$G$278,5,1)</f>
        <v>661.82</v>
      </c>
      <c r="N29" s="274">
        <f ca="1">VLOOKUP(N1,SPY!$B$27:$G$278,5,1)</f>
        <v>648.91999999999996</v>
      </c>
      <c r="O29" s="274">
        <f ca="1">VLOOKUP(O1,SPY!$B$27:$G$278,5,1)</f>
        <v>621.72</v>
      </c>
      <c r="P29" s="260">
        <f t="shared" ref="P29:P33" ca="1" si="23">AVERAGE(D29:O29)</f>
        <v>683.66666666666663</v>
      </c>
      <c r="Q29" s="260">
        <f t="shared" ref="Q29:Q33" ca="1" si="24">B29/P29</f>
        <v>1.0669819600195027</v>
      </c>
      <c r="R29" s="275">
        <f t="shared" ref="R29:R33" ca="1" si="25">(B29/D29)-1</f>
        <v>6.4472763686751478E-4</v>
      </c>
      <c r="S29" s="275">
        <f t="shared" ref="S29:S33" ca="1" si="26">(B29/F29)-1</f>
        <v>2.4968736388033985E-2</v>
      </c>
      <c r="T29" s="275">
        <f t="shared" ref="T29:T33" ca="1" si="27">(B29/I29)-1</f>
        <v>4.8948836674240104E-2</v>
      </c>
      <c r="U29" s="275">
        <f t="shared" ref="U29:U33" ca="1" si="28">(B29/O29)-1</f>
        <v>0.17329344399408098</v>
      </c>
      <c r="V29" s="276">
        <f t="shared" ref="V29:W29" ca="1" si="29">R29*12</f>
        <v>7.7367316424101773E-3</v>
      </c>
      <c r="W29" s="276">
        <f t="shared" ca="1" si="29"/>
        <v>0.29962483665640782</v>
      </c>
      <c r="X29" s="276">
        <f t="shared" ref="X29:X33" ca="1" si="30">T29*2</f>
        <v>9.7897673348480208E-2</v>
      </c>
      <c r="Y29" s="276">
        <f t="shared" ref="Y29:Y33" ca="1" si="31">U29*1</f>
        <v>0.17329344399408098</v>
      </c>
      <c r="Z29" s="277">
        <f t="shared" ref="Z29:Z33" ca="1" si="32">SUM(V29:Y29)</f>
        <v>0.57855268564137918</v>
      </c>
    </row>
    <row r="30" spans="1:251" ht="14.25" customHeight="1" x14ac:dyDescent="0.25">
      <c r="A30" s="272" t="s">
        <v>75</v>
      </c>
      <c r="B30" s="273">
        <f ca="1">관심종목!H23</f>
        <v>103.37</v>
      </c>
      <c r="C30" s="274">
        <f ca="1">VLOOKUP(C1,EFA!$B$27:$G$278,5,1)</f>
        <v>103.89</v>
      </c>
      <c r="D30" s="274">
        <f ca="1">VLOOKUP(D1,EFA!$B$27:$G$278,5,1)</f>
        <v>102.54</v>
      </c>
      <c r="E30" s="274">
        <f ca="1">VLOOKUP(E1,EFA!$B$27:$G$278,5,1)</f>
        <v>104.69</v>
      </c>
      <c r="F30" s="274">
        <f ca="1">VLOOKUP(F1,EFA!$B$27:$G$278,5,1)</f>
        <v>100.96</v>
      </c>
      <c r="G30" s="274">
        <f ca="1">VLOOKUP(G1,EFA!$B$27:$G$278,5,1)</f>
        <v>93.8</v>
      </c>
      <c r="H30" s="274">
        <f ca="1">VLOOKUP(H1,EFA!$B$27:$G$278,5,1)</f>
        <v>105.38</v>
      </c>
      <c r="I30" s="274">
        <f ca="1">VLOOKUP(I1,EFA!$B$27:$G$278,5,1)</f>
        <v>101.01</v>
      </c>
      <c r="J30" s="274">
        <f ca="1">VLOOKUP(J1,EFA!$B$27:$G$278,5,1)</f>
        <v>96.57</v>
      </c>
      <c r="K30" s="274">
        <f ca="1">VLOOKUP(K1,EFA!$B$27:$G$278,5,1)</f>
        <v>95.19</v>
      </c>
      <c r="L30" s="274">
        <f ca="1">VLOOKUP(L1,EFA!$B$27:$G$278,5,1)</f>
        <v>95.66</v>
      </c>
      <c r="M30" s="274">
        <f ca="1">VLOOKUP(M1,EFA!$B$27:$G$278,5,1)</f>
        <v>92.63</v>
      </c>
      <c r="N30" s="274">
        <f ca="1">VLOOKUP(N1,EFA!$B$27:$G$278,5,1)</f>
        <v>92.02</v>
      </c>
      <c r="O30" s="274">
        <f ca="1">VLOOKUP(O1,EFA!$B$27:$G$278,5,1)</f>
        <v>87.29</v>
      </c>
      <c r="P30" s="260">
        <f t="shared" ca="1" si="23"/>
        <v>97.311666666666667</v>
      </c>
      <c r="Q30" s="260">
        <f t="shared" ca="1" si="24"/>
        <v>1.0622570092657613</v>
      </c>
      <c r="R30" s="275">
        <f t="shared" ca="1" si="25"/>
        <v>8.0944021845132941E-3</v>
      </c>
      <c r="S30" s="275">
        <f t="shared" ca="1" si="26"/>
        <v>2.3870839936608768E-2</v>
      </c>
      <c r="T30" s="275">
        <f t="shared" ca="1" si="27"/>
        <v>2.3364023364023323E-2</v>
      </c>
      <c r="U30" s="275">
        <f t="shared" ca="1" si="28"/>
        <v>0.18421354106999654</v>
      </c>
      <c r="V30" s="276">
        <f t="shared" ref="V30:W30" ca="1" si="33">R30*12</f>
        <v>9.7132826214159529E-2</v>
      </c>
      <c r="W30" s="276">
        <f t="shared" ca="1" si="33"/>
        <v>0.28645007923930521</v>
      </c>
      <c r="X30" s="276">
        <f t="shared" ca="1" si="30"/>
        <v>4.6728046728046646E-2</v>
      </c>
      <c r="Y30" s="276">
        <f t="shared" ca="1" si="31"/>
        <v>0.18421354106999654</v>
      </c>
      <c r="Z30" s="277">
        <f t="shared" ca="1" si="32"/>
        <v>0.61452449325150793</v>
      </c>
    </row>
    <row r="31" spans="1:251" ht="14.25" customHeight="1" x14ac:dyDescent="0.25">
      <c r="A31" s="272" t="s">
        <v>89</v>
      </c>
      <c r="B31" s="273">
        <f ca="1">관심종목!H24</f>
        <v>61.07</v>
      </c>
      <c r="C31" s="274">
        <f ca="1">VLOOKUP(C1,EEM!$B$27:$G$278,5,1)</f>
        <v>62.36</v>
      </c>
      <c r="D31" s="274">
        <f ca="1">VLOOKUP(D1,EEM!$B$27:$G$278,5,1)</f>
        <v>67.19</v>
      </c>
      <c r="E31" s="274">
        <f ca="1">VLOOKUP(E1,EEM!$B$27:$G$278,5,1)</f>
        <v>68.61</v>
      </c>
      <c r="F31" s="274">
        <f ca="1">VLOOKUP(F1,EEM!$B$27:$G$278,5,1)</f>
        <v>62.99</v>
      </c>
      <c r="G31" s="274">
        <f ca="1">VLOOKUP(G1,EEM!$B$27:$G$278,5,1)</f>
        <v>55.2</v>
      </c>
      <c r="H31" s="274">
        <f ca="1">VLOOKUP(H1,EEM!$B$27:$G$278,5,1)</f>
        <v>62.58</v>
      </c>
      <c r="I31" s="274">
        <f ca="1">VLOOKUP(I1,EEM!$B$27:$G$278,5,1)</f>
        <v>60.75</v>
      </c>
      <c r="J31" s="274">
        <f ca="1">VLOOKUP(J1,EEM!$B$27:$G$278,5,1)</f>
        <v>54.8</v>
      </c>
      <c r="K31" s="274">
        <f ca="1">VLOOKUP(K1,EEM!$B$27:$G$278,5,1)</f>
        <v>54.32</v>
      </c>
      <c r="L31" s="274">
        <f ca="1">VLOOKUP(L1,EEM!$B$27:$G$278,5,1)</f>
        <v>55.69</v>
      </c>
      <c r="M31" s="274">
        <f ca="1">VLOOKUP(M1,EEM!$B$27:$G$278,5,1)</f>
        <v>52.71</v>
      </c>
      <c r="N31" s="274">
        <f ca="1">VLOOKUP(N1,EEM!$B$27:$G$278,5,1)</f>
        <v>50.1</v>
      </c>
      <c r="O31" s="274">
        <f ca="1">VLOOKUP(O1,EEM!$B$27:$G$278,5,1)</f>
        <v>48.2</v>
      </c>
      <c r="P31" s="260">
        <f t="shared" ca="1" si="23"/>
        <v>57.761666666666677</v>
      </c>
      <c r="Q31" s="260">
        <f t="shared" ca="1" si="24"/>
        <v>1.0572755864616092</v>
      </c>
      <c r="R31" s="275">
        <f t="shared" ca="1" si="25"/>
        <v>-9.1084982884357735E-2</v>
      </c>
      <c r="S31" s="275">
        <f t="shared" ca="1" si="26"/>
        <v>-3.0481028734719806E-2</v>
      </c>
      <c r="T31" s="275">
        <f t="shared" ca="1" si="27"/>
        <v>5.2674897119342479E-3</v>
      </c>
      <c r="U31" s="275">
        <f t="shared" ca="1" si="28"/>
        <v>0.26701244813278002</v>
      </c>
      <c r="V31" s="276">
        <f t="shared" ref="V31:W31" ca="1" si="34">R31*12</f>
        <v>-1.0930197946122928</v>
      </c>
      <c r="W31" s="276">
        <f t="shared" ca="1" si="34"/>
        <v>-0.36577234481663767</v>
      </c>
      <c r="X31" s="276">
        <f t="shared" ca="1" si="30"/>
        <v>1.0534979423868496E-2</v>
      </c>
      <c r="Y31" s="276">
        <f t="shared" ca="1" si="31"/>
        <v>0.26701244813278002</v>
      </c>
      <c r="Z31" s="277">
        <f t="shared" ca="1" si="32"/>
        <v>-1.181244711872282</v>
      </c>
    </row>
    <row r="32" spans="1:251" ht="14.25" customHeight="1" x14ac:dyDescent="0.25">
      <c r="A32" s="272" t="s">
        <v>91</v>
      </c>
      <c r="B32" s="273">
        <f ca="1">관심종목!H25</f>
        <v>97.55</v>
      </c>
      <c r="C32" s="274">
        <f ca="1">VLOOKUP(C1,AGG!$B$27:$G$278,5,1)</f>
        <v>97.92</v>
      </c>
      <c r="D32" s="274">
        <f ca="1">VLOOKUP(D1,AGG!$B$27:$G$278,5,1)</f>
        <v>99.34</v>
      </c>
      <c r="E32" s="274">
        <f ca="1">VLOOKUP(E1,AGG!$B$27:$G$278,5,1)</f>
        <v>99</v>
      </c>
      <c r="F32" s="274">
        <f ca="1">VLOOKUP(F1,AGG!$B$27:$G$278,5,1)</f>
        <v>99.4</v>
      </c>
      <c r="G32" s="274">
        <f ca="1">VLOOKUP(G1,AGG!$B$27:$G$278,5,1)</f>
        <v>98.54</v>
      </c>
      <c r="H32" s="274">
        <f ca="1">VLOOKUP(H1,AGG!$B$27:$G$278,5,1)</f>
        <v>101.4</v>
      </c>
      <c r="I32" s="274">
        <f ca="1">VLOOKUP(I1,AGG!$B$27:$G$278,5,1)</f>
        <v>100.15</v>
      </c>
      <c r="J32" s="274">
        <f ca="1">VLOOKUP(J1,AGG!$B$27:$G$278,5,1)</f>
        <v>100.04</v>
      </c>
      <c r="K32" s="274">
        <f ca="1">VLOOKUP(K1,AGG!$B$27:$G$278,5,1)</f>
        <v>100.82</v>
      </c>
      <c r="L32" s="274">
        <f ca="1">VLOOKUP(L1,AGG!$B$27:$G$278,5,1)</f>
        <v>101.27</v>
      </c>
      <c r="M32" s="274">
        <f ca="1">VLOOKUP(M1,AGG!$B$27:$G$278,5,1)</f>
        <v>100.07</v>
      </c>
      <c r="N32" s="274">
        <f ca="1">VLOOKUP(N1,AGG!$B$27:$G$278,5,1)</f>
        <v>99.59</v>
      </c>
      <c r="O32" s="274">
        <f ca="1">VLOOKUP(O1,AGG!$B$27:$G$278,5,1)</f>
        <v>99.14</v>
      </c>
      <c r="P32" s="260">
        <f t="shared" ca="1" si="23"/>
        <v>99.896666666666661</v>
      </c>
      <c r="Q32" s="260">
        <f t="shared" ca="1" si="24"/>
        <v>0.97650905936134003</v>
      </c>
      <c r="R32" s="275">
        <f t="shared" ca="1" si="25"/>
        <v>-1.8018924904368849E-2</v>
      </c>
      <c r="S32" s="275">
        <f t="shared" ca="1" si="26"/>
        <v>-1.8611670020120763E-2</v>
      </c>
      <c r="T32" s="275">
        <f t="shared" ca="1" si="27"/>
        <v>-2.5961058412381499E-2</v>
      </c>
      <c r="U32" s="275">
        <f t="shared" ca="1" si="28"/>
        <v>-1.6037926165019201E-2</v>
      </c>
      <c r="V32" s="276">
        <f t="shared" ref="V32:W32" ca="1" si="35">R32*12</f>
        <v>-0.21622709885242619</v>
      </c>
      <c r="W32" s="276">
        <f t="shared" ca="1" si="35"/>
        <v>-0.22334004024144916</v>
      </c>
      <c r="X32" s="276">
        <f t="shared" ca="1" si="30"/>
        <v>-5.1922116824762998E-2</v>
      </c>
      <c r="Y32" s="276">
        <f t="shared" ca="1" si="31"/>
        <v>-1.6037926165019201E-2</v>
      </c>
      <c r="Z32" s="277">
        <f t="shared" ca="1" si="32"/>
        <v>-0.50752718208365755</v>
      </c>
    </row>
    <row r="33" spans="1:26" ht="14.25" customHeight="1" x14ac:dyDescent="0.25">
      <c r="A33" s="278" t="s">
        <v>26</v>
      </c>
      <c r="B33" s="279">
        <f ca="1">관심종목!H26</f>
        <v>661.73</v>
      </c>
      <c r="C33" s="280">
        <f ca="1">VLOOKUP(C1,QQQ!$B$27:$G$278,5,1)</f>
        <v>218.24</v>
      </c>
      <c r="D33" s="280">
        <f ca="1">VLOOKUP(D1,QQQ!$B$27:$G$278,5,1)</f>
        <v>218.24</v>
      </c>
      <c r="E33" s="280">
        <f ca="1">VLOOKUP(E1,QQQ!$B$27:$G$278,5,1)</f>
        <v>218.24</v>
      </c>
      <c r="F33" s="280">
        <f ca="1">VLOOKUP(F1,QQQ!$B$27:$G$278,5,1)</f>
        <v>218.24</v>
      </c>
      <c r="G33" s="280">
        <f ca="1">VLOOKUP(G1,QQQ!$B$27:$G$278,5,1)</f>
        <v>218.24</v>
      </c>
      <c r="H33" s="280">
        <f ca="1">VLOOKUP(H1,QQQ!$B$27:$G$278,5,1)</f>
        <v>218.24</v>
      </c>
      <c r="I33" s="280">
        <f ca="1">VLOOKUP(I1,QQQ!$B$27:$G$278,5,1)</f>
        <v>218.24</v>
      </c>
      <c r="J33" s="280">
        <f ca="1">VLOOKUP(J1,QQQ!$B$27:$G$278,5,1)</f>
        <v>218.24</v>
      </c>
      <c r="K33" s="280">
        <f ca="1">VLOOKUP(K1,QQQ!$B$27:$G$278,5,1)</f>
        <v>218.24</v>
      </c>
      <c r="L33" s="280">
        <f ca="1">VLOOKUP(L1,QQQ!$B$27:$G$278,5,1)</f>
        <v>218.24</v>
      </c>
      <c r="M33" s="280">
        <f ca="1">VLOOKUP(M1,QQQ!$B$27:$G$278,5,1)</f>
        <v>218.24</v>
      </c>
      <c r="N33" s="280">
        <f ca="1">VLOOKUP(N1,QQQ!$B$27:$G$278,5,1)</f>
        <v>218.24</v>
      </c>
      <c r="O33" s="280">
        <f ca="1">VLOOKUP(O1,QQQ!$B$27:$G$278,5,1)</f>
        <v>218.24</v>
      </c>
      <c r="P33" s="265">
        <f t="shared" ca="1" si="23"/>
        <v>218.24</v>
      </c>
      <c r="Q33" s="265">
        <f t="shared" ca="1" si="24"/>
        <v>3.0321206011730206</v>
      </c>
      <c r="R33" s="281">
        <f t="shared" ca="1" si="25"/>
        <v>2.0321206011730206</v>
      </c>
      <c r="S33" s="281">
        <f t="shared" ca="1" si="26"/>
        <v>2.0321206011730206</v>
      </c>
      <c r="T33" s="281">
        <f t="shared" ca="1" si="27"/>
        <v>2.0321206011730206</v>
      </c>
      <c r="U33" s="281">
        <f t="shared" ca="1" si="28"/>
        <v>2.0321206011730206</v>
      </c>
      <c r="V33" s="282">
        <f ca="1">R33*12</f>
        <v>24.385447214076247</v>
      </c>
      <c r="W33" s="282">
        <f ca="1">S33*4</f>
        <v>8.1284824046920825</v>
      </c>
      <c r="X33" s="282">
        <f t="shared" ca="1" si="30"/>
        <v>4.0642412023460412</v>
      </c>
      <c r="Y33" s="282">
        <f t="shared" ca="1" si="31"/>
        <v>2.0321206011730206</v>
      </c>
      <c r="Z33" s="283">
        <f t="shared" ca="1" si="32"/>
        <v>38.610291422287389</v>
      </c>
    </row>
    <row r="34" spans="1:26" ht="20.25" customHeight="1" x14ac:dyDescent="0.2">
      <c r="A34" s="267"/>
      <c r="P34" s="284"/>
      <c r="T34" s="168"/>
    </row>
    <row r="35" spans="1:26" ht="12.75" x14ac:dyDescent="0.2">
      <c r="A35" s="231" t="s">
        <v>139</v>
      </c>
    </row>
    <row r="36" spans="1:26" ht="24.75" customHeight="1" x14ac:dyDescent="0.2">
      <c r="A36" s="269"/>
      <c r="B36" s="285" t="str">
        <f t="shared" ref="B36:B38" si="36">U28</f>
        <v>최근 1년 수익률</v>
      </c>
      <c r="E36" s="284"/>
    </row>
    <row r="37" spans="1:26" ht="12.75" x14ac:dyDescent="0.2">
      <c r="A37" s="272" t="s">
        <v>25</v>
      </c>
      <c r="B37" s="286">
        <f t="shared" ca="1" si="36"/>
        <v>0.17329344399408098</v>
      </c>
    </row>
    <row r="38" spans="1:26" ht="12.75" x14ac:dyDescent="0.2">
      <c r="A38" s="287" t="s">
        <v>75</v>
      </c>
      <c r="B38" s="288">
        <f t="shared" ca="1" si="36"/>
        <v>0.18421354106999654</v>
      </c>
    </row>
    <row r="39" spans="1:26" ht="12.75" x14ac:dyDescent="0.2">
      <c r="A39" s="267"/>
    </row>
    <row r="40" spans="1:26" ht="12.75" x14ac:dyDescent="0.2">
      <c r="A40" s="231" t="s">
        <v>140</v>
      </c>
    </row>
    <row r="41" spans="1:26" ht="38.25" x14ac:dyDescent="0.2">
      <c r="A41" s="253"/>
      <c r="B41" s="121" t="s">
        <v>60</v>
      </c>
      <c r="C41" s="121" t="s">
        <v>61</v>
      </c>
      <c r="D41" s="121" t="s">
        <v>62</v>
      </c>
      <c r="E41" s="121" t="s">
        <v>63</v>
      </c>
      <c r="F41" s="121" t="s">
        <v>64</v>
      </c>
      <c r="G41" s="121" t="s">
        <v>65</v>
      </c>
      <c r="H41" s="121" t="s">
        <v>66</v>
      </c>
      <c r="I41" s="121" t="s">
        <v>67</v>
      </c>
      <c r="J41" s="121" t="s">
        <v>68</v>
      </c>
      <c r="K41" s="121" t="s">
        <v>69</v>
      </c>
      <c r="L41" s="121" t="s">
        <v>70</v>
      </c>
      <c r="M41" s="121" t="s">
        <v>71</v>
      </c>
      <c r="N41" s="121" t="s">
        <v>72</v>
      </c>
      <c r="O41" s="121" t="s">
        <v>73</v>
      </c>
      <c r="P41" s="254" t="s">
        <v>21</v>
      </c>
      <c r="Q41" s="254" t="s">
        <v>76</v>
      </c>
      <c r="R41" s="120" t="s">
        <v>78</v>
      </c>
      <c r="S41" s="120" t="s">
        <v>79</v>
      </c>
      <c r="T41" s="120" t="s">
        <v>81</v>
      </c>
      <c r="U41" s="120" t="s">
        <v>82</v>
      </c>
      <c r="V41" s="121" t="s">
        <v>83</v>
      </c>
      <c r="W41" s="121" t="s">
        <v>85</v>
      </c>
      <c r="X41" s="121" t="s">
        <v>86</v>
      </c>
      <c r="Y41" s="121" t="s">
        <v>87</v>
      </c>
      <c r="Z41" s="124" t="s">
        <v>88</v>
      </c>
    </row>
    <row r="42" spans="1:26" ht="15" customHeight="1" x14ac:dyDescent="0.25">
      <c r="A42" s="289" t="str">
        <f>관심종목!D39</f>
        <v>SHY</v>
      </c>
      <c r="B42" s="290">
        <f ca="1">관심종목!H39</f>
        <v>81.99</v>
      </c>
      <c r="C42" s="291">
        <f ca="1">VLOOKUP(C1,SHY!$B$27:$G$278,5,1)</f>
        <v>81.94</v>
      </c>
      <c r="D42" s="291">
        <f ca="1">VLOOKUP(D1,SHY!$B$27:$G$278,5,1)</f>
        <v>82.19</v>
      </c>
      <c r="E42" s="291">
        <f ca="1">VLOOKUP(E1,SHY!$B$27:$G$278,5,1)</f>
        <v>82.26</v>
      </c>
      <c r="F42" s="291">
        <f ca="1">VLOOKUP(F1,SHY!$B$27:$G$278,5,1)</f>
        <v>82.5</v>
      </c>
      <c r="G42" s="291">
        <f ca="1">VLOOKUP(G1,SHY!$B$27:$G$278,5,1)</f>
        <v>82.39</v>
      </c>
      <c r="H42" s="291">
        <f ca="1">VLOOKUP(H1,SHY!$B$27:$G$278,5,1)</f>
        <v>83.18</v>
      </c>
      <c r="I42" s="291">
        <f ca="1">VLOOKUP(I1,SHY!$B$27:$G$278,5,1)</f>
        <v>82.89</v>
      </c>
      <c r="J42" s="291">
        <f ca="1">VLOOKUP(J1,SHY!$B$27:$G$278,5,1)</f>
        <v>82.79</v>
      </c>
      <c r="K42" s="291">
        <f ca="1">VLOOKUP(K1,SHY!$B$27:$G$278,5,1)</f>
        <v>83.08</v>
      </c>
      <c r="L42" s="291">
        <f ca="1">VLOOKUP(L1,SHY!$B$27:$G$278,5,1)</f>
        <v>83.1</v>
      </c>
      <c r="M42" s="291">
        <f ca="1">VLOOKUP(M1,SHY!$B$27:$G$278,5,1)</f>
        <v>82.89</v>
      </c>
      <c r="N42" s="291">
        <f ca="1">VLOOKUP(N1,SHY!$B$27:$G$278,5,1)</f>
        <v>82.91</v>
      </c>
      <c r="O42" s="291">
        <f ca="1">VLOOKUP(O1,SHY!$B$27:$G$278,5,1)</f>
        <v>82.66</v>
      </c>
      <c r="P42" s="292">
        <f t="shared" ref="P42:P49" ca="1" si="37">AVERAGE(D42:O42)</f>
        <v>82.736666666666665</v>
      </c>
      <c r="Q42" s="293">
        <f t="shared" ref="Q42:Q49" ca="1" si="38">B42/P42</f>
        <v>0.99097538374763305</v>
      </c>
      <c r="R42" s="294">
        <f t="shared" ref="R42:R49" ca="1" si="39">(B42/D42)-1</f>
        <v>-2.4333860566979615E-3</v>
      </c>
      <c r="S42" s="294">
        <f ca="1">(B42/F42)-1</f>
        <v>-6.1818181818182882E-3</v>
      </c>
      <c r="T42" s="294">
        <f t="shared" ref="T42:T49" ca="1" si="40">(B42/I42)-1</f>
        <v>-1.0857763300760159E-2</v>
      </c>
      <c r="U42" s="294">
        <f t="shared" ref="U42:U49" ca="1" si="41">(B42/O42)-1</f>
        <v>-8.1054923784176225E-3</v>
      </c>
      <c r="V42" s="295">
        <f t="shared" ref="V42:V49" ca="1" si="42">R42*12</f>
        <v>-2.9200632680375538E-2</v>
      </c>
      <c r="W42" s="295">
        <f t="shared" ref="W42:W49" ca="1" si="43">S42*4</f>
        <v>-2.4727272727273153E-2</v>
      </c>
      <c r="X42" s="295">
        <f t="shared" ref="X42:X49" ca="1" si="44">T42*2</f>
        <v>-2.1715526601520319E-2</v>
      </c>
      <c r="Y42" s="295">
        <f t="shared" ref="Y42:Y49" ca="1" si="45">U42*1</f>
        <v>-8.1054923784176225E-3</v>
      </c>
      <c r="Z42" s="296">
        <f t="shared" ref="Z42:Z49" ca="1" si="46">SUM(V42:Y42)</f>
        <v>-8.3748924387586632E-2</v>
      </c>
    </row>
    <row r="43" spans="1:26" ht="15" customHeight="1" x14ac:dyDescent="0.25">
      <c r="A43" s="289" t="str">
        <f>관심종목!D40</f>
        <v>IEF</v>
      </c>
      <c r="B43" s="290">
        <f ca="1">관심종목!H40</f>
        <v>93.17</v>
      </c>
      <c r="C43" s="291">
        <f ca="1">VLOOKUP(C1,IEF!$B$27:$G$278,5,1)</f>
        <v>93.56</v>
      </c>
      <c r="D43" s="291">
        <f ca="1">VLOOKUP(D1,IEF!$B$27:$G$278,5,1)</f>
        <v>95.03</v>
      </c>
      <c r="E43" s="291">
        <f ca="1">VLOOKUP(E1,IEF!$B$27:$G$278,5,1)</f>
        <v>94.54</v>
      </c>
      <c r="F43" s="291">
        <f ca="1">VLOOKUP(F1,IEF!$B$27:$G$278,5,1)</f>
        <v>95.25</v>
      </c>
      <c r="G43" s="291">
        <f ca="1">VLOOKUP(G1,IEF!$B$27:$G$278,5,1)</f>
        <v>94.6</v>
      </c>
      <c r="H43" s="291">
        <f ca="1">VLOOKUP(H1,IEF!$B$27:$G$278,5,1)</f>
        <v>97.99</v>
      </c>
      <c r="I43" s="291">
        <f ca="1">VLOOKUP(I1,IEF!$B$27:$G$278,5,1)</f>
        <v>95.9</v>
      </c>
      <c r="J43" s="291">
        <f ca="1">VLOOKUP(J1,IEF!$B$27:$G$278,5,1)</f>
        <v>96.44</v>
      </c>
      <c r="K43" s="291">
        <f ca="1">VLOOKUP(K1,IEF!$B$27:$G$278,5,1)</f>
        <v>97.5</v>
      </c>
      <c r="L43" s="291">
        <f ca="1">VLOOKUP(L1,IEF!$B$27:$G$278,5,1)</f>
        <v>97.58</v>
      </c>
      <c r="M43" s="291">
        <f ca="1">VLOOKUP(M1,IEF!$B$27:$G$278,5,1)</f>
        <v>96.22</v>
      </c>
      <c r="N43" s="291">
        <f ca="1">VLOOKUP(N1,IEF!$B$27:$G$278,5,1)</f>
        <v>96.23</v>
      </c>
      <c r="O43" s="291">
        <f ca="1">VLOOKUP(O1,IEF!$B$27:$G$278,5,1)</f>
        <v>95.68</v>
      </c>
      <c r="P43" s="292">
        <f t="shared" ca="1" si="37"/>
        <v>96.08</v>
      </c>
      <c r="Q43" s="293">
        <f t="shared" ca="1" si="38"/>
        <v>0.96971273938384683</v>
      </c>
      <c r="R43" s="294">
        <f t="shared" ca="1" si="39"/>
        <v>-1.9572766494791116E-2</v>
      </c>
      <c r="S43" s="294">
        <f t="shared" ref="S43:S49" ca="1" si="47">(C43/F43)-1</f>
        <v>-1.7742782152230907E-2</v>
      </c>
      <c r="T43" s="294">
        <f t="shared" ca="1" si="40"/>
        <v>-2.8467153284671531E-2</v>
      </c>
      <c r="U43" s="294">
        <f t="shared" ca="1" si="41"/>
        <v>-2.6233277591973247E-2</v>
      </c>
      <c r="V43" s="295">
        <f t="shared" ca="1" si="42"/>
        <v>-0.23487319793749339</v>
      </c>
      <c r="W43" s="295">
        <f t="shared" ca="1" si="43"/>
        <v>-7.0971128608923628E-2</v>
      </c>
      <c r="X43" s="295">
        <f t="shared" ca="1" si="44"/>
        <v>-5.6934306569343063E-2</v>
      </c>
      <c r="Y43" s="295">
        <f t="shared" ca="1" si="45"/>
        <v>-2.6233277591973247E-2</v>
      </c>
      <c r="Z43" s="296">
        <f t="shared" ca="1" si="46"/>
        <v>-0.38901191070773333</v>
      </c>
    </row>
    <row r="44" spans="1:26" ht="15" customHeight="1" x14ac:dyDescent="0.25">
      <c r="A44" s="289" t="str">
        <f>관심종목!D41</f>
        <v>TLT</v>
      </c>
      <c r="B44" s="290">
        <f ca="1">관심종목!H41</f>
        <v>82.85</v>
      </c>
      <c r="C44" s="291">
        <f ca="1">VLOOKUP(C1,TLT!$B$27:$G$278,5,1)</f>
        <v>84.24</v>
      </c>
      <c r="D44" s="291">
        <f ca="1">VLOOKUP(D1,TLT!$B$27:$G$278,5,1)</f>
        <v>87.36</v>
      </c>
      <c r="E44" s="291">
        <f ca="1">VLOOKUP(E1,TLT!$B$27:$G$278,5,1)</f>
        <v>85.74</v>
      </c>
      <c r="F44" s="291">
        <f ca="1">VLOOKUP(F1,TLT!$B$27:$G$278,5,1)</f>
        <v>86.37</v>
      </c>
      <c r="G44" s="291">
        <f ca="1">VLOOKUP(G1,TLT!$B$27:$G$278,5,1)</f>
        <v>85.64</v>
      </c>
      <c r="H44" s="291">
        <f ca="1">VLOOKUP(H1,TLT!$B$27:$G$278,5,1)</f>
        <v>90.82</v>
      </c>
      <c r="I44" s="291">
        <f ca="1">VLOOKUP(I1,TLT!$B$27:$G$278,5,1)</f>
        <v>87.6</v>
      </c>
      <c r="J44" s="291">
        <f ca="1">VLOOKUP(J1,TLT!$B$27:$G$278,5,1)</f>
        <v>87.74</v>
      </c>
      <c r="K44" s="291">
        <f ca="1">VLOOKUP(K1,TLT!$B$27:$G$278,5,1)</f>
        <v>90.21</v>
      </c>
      <c r="L44" s="291">
        <f ca="1">VLOOKUP(L1,TLT!$B$27:$G$278,5,1)</f>
        <v>92.02</v>
      </c>
      <c r="M44" s="291">
        <f ca="1">VLOOKUP(M1,TLT!$B$27:$G$278,5,1)</f>
        <v>88.9</v>
      </c>
      <c r="N44" s="291">
        <f ca="1">VLOOKUP(N1,TLT!$B$27:$G$278,5,1)</f>
        <v>87.22</v>
      </c>
      <c r="O44" s="291">
        <f ca="1">VLOOKUP(O1,TLT!$B$27:$G$278,5,1)</f>
        <v>87.82</v>
      </c>
      <c r="P44" s="292">
        <f t="shared" ca="1" si="37"/>
        <v>88.12</v>
      </c>
      <c r="Q44" s="293">
        <f t="shared" ca="1" si="38"/>
        <v>0.94019518837948246</v>
      </c>
      <c r="R44" s="294">
        <f t="shared" ca="1" si="39"/>
        <v>-5.1625457875457914E-2</v>
      </c>
      <c r="S44" s="294">
        <f t="shared" ca="1" si="47"/>
        <v>-2.466134074331372E-2</v>
      </c>
      <c r="T44" s="294">
        <f t="shared" ca="1" si="40"/>
        <v>-5.4223744292237419E-2</v>
      </c>
      <c r="U44" s="294">
        <f t="shared" ca="1" si="41"/>
        <v>-5.659303120018222E-2</v>
      </c>
      <c r="V44" s="295">
        <f t="shared" ca="1" si="42"/>
        <v>-0.61950549450549497</v>
      </c>
      <c r="W44" s="295">
        <f t="shared" ca="1" si="43"/>
        <v>-9.864536297325488E-2</v>
      </c>
      <c r="X44" s="295">
        <f t="shared" ca="1" si="44"/>
        <v>-0.10844748858447484</v>
      </c>
      <c r="Y44" s="295">
        <f t="shared" ca="1" si="45"/>
        <v>-5.659303120018222E-2</v>
      </c>
      <c r="Z44" s="296">
        <f t="shared" ca="1" si="46"/>
        <v>-0.88319137726340691</v>
      </c>
    </row>
    <row r="45" spans="1:26" ht="15" customHeight="1" x14ac:dyDescent="0.25">
      <c r="A45" s="289" t="str">
        <f>관심종목!D42</f>
        <v>TIP</v>
      </c>
      <c r="B45" s="290">
        <f ca="1">관심종목!H42</f>
        <v>107.77</v>
      </c>
      <c r="C45" s="291">
        <f ca="1">VLOOKUP(C1,TIP!$B$27:$G$278,5,1)</f>
        <v>107.66</v>
      </c>
      <c r="D45" s="291">
        <f ca="1">VLOOKUP(D1,TIP!$B$27:$G$278,5,1)</f>
        <v>109.7</v>
      </c>
      <c r="E45" s="291">
        <f ca="1">VLOOKUP(E1,TIP!$B$27:$G$278,5,1)</f>
        <v>111.18</v>
      </c>
      <c r="F45" s="291">
        <f ca="1">VLOOKUP(F1,TIP!$B$27:$G$278,5,1)</f>
        <v>111.73</v>
      </c>
      <c r="G45" s="291">
        <f ca="1">VLOOKUP(G1,TIP!$B$27:$G$278,5,1)</f>
        <v>109.67</v>
      </c>
      <c r="H45" s="291">
        <f ca="1">VLOOKUP(H1,TIP!$B$27:$G$278,5,1)</f>
        <v>111.88</v>
      </c>
      <c r="I45" s="291">
        <f ca="1">VLOOKUP(I1,TIP!$B$27:$G$278,5,1)</f>
        <v>110.44</v>
      </c>
      <c r="J45" s="291">
        <f ca="1">VLOOKUP(J1,TIP!$B$27:$G$278,5,1)</f>
        <v>110.05</v>
      </c>
      <c r="K45" s="291">
        <f ca="1">VLOOKUP(K1,TIP!$B$27:$G$278,5,1)</f>
        <v>111.26</v>
      </c>
      <c r="L45" s="291">
        <f ca="1">VLOOKUP(L1,TIP!$B$27:$G$278,5,1)</f>
        <v>112.03</v>
      </c>
      <c r="M45" s="291">
        <f ca="1">VLOOKUP(M1,TIP!$B$27:$G$278,5,1)</f>
        <v>111.11</v>
      </c>
      <c r="N45" s="291">
        <f ca="1">VLOOKUP(N1,TIP!$B$27:$G$278,5,1)</f>
        <v>111.29</v>
      </c>
      <c r="O45" s="291">
        <f ca="1">VLOOKUP(O1,TIP!$B$27:$G$278,5,1)</f>
        <v>110.17</v>
      </c>
      <c r="P45" s="292">
        <f t="shared" ca="1" si="37"/>
        <v>110.87583333333333</v>
      </c>
      <c r="Q45" s="293">
        <f t="shared" ca="1" si="38"/>
        <v>0.9719881849816987</v>
      </c>
      <c r="R45" s="294">
        <f t="shared" ca="1" si="39"/>
        <v>-1.7593436645396587E-2</v>
      </c>
      <c r="S45" s="294">
        <f t="shared" ca="1" si="47"/>
        <v>-3.6427101047167398E-2</v>
      </c>
      <c r="T45" s="294">
        <f t="shared" ca="1" si="40"/>
        <v>-2.4176023180007222E-2</v>
      </c>
      <c r="U45" s="294">
        <f t="shared" ca="1" si="41"/>
        <v>-2.1784514840700764E-2</v>
      </c>
      <c r="V45" s="295">
        <f t="shared" ca="1" si="42"/>
        <v>-0.21112123974475905</v>
      </c>
      <c r="W45" s="295">
        <f t="shared" ca="1" si="43"/>
        <v>-0.14570840418866959</v>
      </c>
      <c r="X45" s="295">
        <f t="shared" ca="1" si="44"/>
        <v>-4.8352046360014445E-2</v>
      </c>
      <c r="Y45" s="295">
        <f t="shared" ca="1" si="45"/>
        <v>-2.1784514840700764E-2</v>
      </c>
      <c r="Z45" s="296">
        <f t="shared" ca="1" si="46"/>
        <v>-0.42696620513414385</v>
      </c>
    </row>
    <row r="46" spans="1:26" ht="15" customHeight="1" x14ac:dyDescent="0.25">
      <c r="A46" s="289" t="str">
        <f>관심종목!D43</f>
        <v>LQD</v>
      </c>
      <c r="B46" s="290">
        <f ca="1">관심종목!H43</f>
        <v>106.22</v>
      </c>
      <c r="C46" s="291">
        <f ca="1">VLOOKUP(C1,LQD!$B$27:$G$278,5,1)</f>
        <v>106.83</v>
      </c>
      <c r="D46" s="291">
        <f ca="1">VLOOKUP(D1,LQD!$B$27:$G$278,5,1)</f>
        <v>109.5</v>
      </c>
      <c r="E46" s="291">
        <f ca="1">VLOOKUP(E1,LQD!$B$27:$G$278,5,1)</f>
        <v>109.26</v>
      </c>
      <c r="F46" s="291">
        <f ca="1">VLOOKUP(F1,LQD!$B$27:$G$278,5,1)</f>
        <v>109.34</v>
      </c>
      <c r="G46" s="291">
        <f ca="1">VLOOKUP(G1,LQD!$B$27:$G$278,5,1)</f>
        <v>107.62</v>
      </c>
      <c r="H46" s="291">
        <f ca="1">VLOOKUP(H1,LQD!$B$27:$G$278,5,1)</f>
        <v>111.68</v>
      </c>
      <c r="I46" s="291">
        <f ca="1">VLOOKUP(I1,LQD!$B$27:$G$278,5,1)</f>
        <v>110.65</v>
      </c>
      <c r="J46" s="291">
        <f ca="1">VLOOKUP(J1,LQD!$B$27:$G$278,5,1)</f>
        <v>110.64</v>
      </c>
      <c r="K46" s="291">
        <f ca="1">VLOOKUP(K1,LQD!$B$27:$G$278,5,1)</f>
        <v>111.86</v>
      </c>
      <c r="L46" s="291">
        <f ca="1">VLOOKUP(L1,LQD!$B$27:$G$278,5,1)</f>
        <v>112.92</v>
      </c>
      <c r="M46" s="291">
        <f ca="1">VLOOKUP(M1,LQD!$B$27:$G$278,5,1)</f>
        <v>111.21</v>
      </c>
      <c r="N46" s="291">
        <f ca="1">VLOOKUP(N1,LQD!$B$27:$G$278,5,1)</f>
        <v>110.2</v>
      </c>
      <c r="O46" s="291">
        <f ca="1">VLOOKUP(O1,LQD!$B$27:$G$278,5,1)</f>
        <v>109.63</v>
      </c>
      <c r="P46" s="292">
        <f t="shared" ca="1" si="37"/>
        <v>110.37583333333335</v>
      </c>
      <c r="Q46" s="293">
        <f t="shared" ca="1" si="38"/>
        <v>0.96234834014088211</v>
      </c>
      <c r="R46" s="294">
        <f t="shared" ca="1" si="39"/>
        <v>-2.9954337899543382E-2</v>
      </c>
      <c r="S46" s="294">
        <f t="shared" ca="1" si="47"/>
        <v>-2.295591732211455E-2</v>
      </c>
      <c r="T46" s="294">
        <f t="shared" ca="1" si="40"/>
        <v>-4.0036150022593864E-2</v>
      </c>
      <c r="U46" s="294">
        <f t="shared" ca="1" si="41"/>
        <v>-3.1104624646538293E-2</v>
      </c>
      <c r="V46" s="295">
        <f t="shared" ca="1" si="42"/>
        <v>-0.35945205479452058</v>
      </c>
      <c r="W46" s="295">
        <f t="shared" ca="1" si="43"/>
        <v>-9.1823669288458198E-2</v>
      </c>
      <c r="X46" s="295">
        <f t="shared" ca="1" si="44"/>
        <v>-8.0072300045187728E-2</v>
      </c>
      <c r="Y46" s="295">
        <f t="shared" ca="1" si="45"/>
        <v>-3.1104624646538293E-2</v>
      </c>
      <c r="Z46" s="296">
        <f t="shared" ca="1" si="46"/>
        <v>-0.5624526487747048</v>
      </c>
    </row>
    <row r="47" spans="1:26" ht="15" customHeight="1" x14ac:dyDescent="0.25">
      <c r="A47" s="289" t="str">
        <f>관심종목!D44</f>
        <v>HYG</v>
      </c>
      <c r="B47" s="290">
        <f ca="1">관심종목!H44</f>
        <v>79.239999999999995</v>
      </c>
      <c r="C47" s="291">
        <f ca="1">VLOOKUP(C1,HYG!$B$27:$G$278,5,1)</f>
        <v>79.42</v>
      </c>
      <c r="D47" s="291">
        <f ca="1">VLOOKUP(D1,HYG!$B$27:$G$278,5,1)</f>
        <v>79.83</v>
      </c>
      <c r="E47" s="291">
        <f ca="1">VLOOKUP(E1,HYG!$B$27:$G$278,5,1)</f>
        <v>80.23</v>
      </c>
      <c r="F47" s="291">
        <f ca="1">VLOOKUP(F1,HYG!$B$27:$G$278,5,1)</f>
        <v>80.400000000000006</v>
      </c>
      <c r="G47" s="291">
        <f ca="1">VLOOKUP(G1,HYG!$B$27:$G$278,5,1)</f>
        <v>78.72</v>
      </c>
      <c r="H47" s="291">
        <f ca="1">VLOOKUP(H1,HYG!$B$27:$G$278,5,1)</f>
        <v>80.72</v>
      </c>
      <c r="I47" s="291">
        <f ca="1">VLOOKUP(I1,HYG!$B$27:$G$278,5,1)</f>
        <v>81.040000000000006</v>
      </c>
      <c r="J47" s="291">
        <f ca="1">VLOOKUP(J1,HYG!$B$27:$G$278,5,1)</f>
        <v>80.599999999999994</v>
      </c>
      <c r="K47" s="291">
        <f ca="1">VLOOKUP(K1,HYG!$B$27:$G$278,5,1)</f>
        <v>80.989999999999995</v>
      </c>
      <c r="L47" s="291">
        <f ca="1">VLOOKUP(L1,HYG!$B$27:$G$278,5,1)</f>
        <v>81.2</v>
      </c>
      <c r="M47" s="291">
        <f ca="1">VLOOKUP(M1,HYG!$B$27:$G$278,5,1)</f>
        <v>81.08</v>
      </c>
      <c r="N47" s="291">
        <f ca="1">VLOOKUP(N1,HYG!$B$27:$G$278,5,1)</f>
        <v>81.010000000000005</v>
      </c>
      <c r="O47" s="291">
        <f ca="1">VLOOKUP(O1,HYG!$B$27:$G$278,5,1)</f>
        <v>79.98</v>
      </c>
      <c r="P47" s="292">
        <f t="shared" ca="1" si="37"/>
        <v>80.483333333333334</v>
      </c>
      <c r="Q47" s="293">
        <f t="shared" ca="1" si="38"/>
        <v>0.98455166701180363</v>
      </c>
      <c r="R47" s="294">
        <f t="shared" ca="1" si="39"/>
        <v>-7.3907052486534841E-3</v>
      </c>
      <c r="S47" s="294">
        <f t="shared" ca="1" si="47"/>
        <v>-1.218905472636822E-2</v>
      </c>
      <c r="T47" s="294">
        <f t="shared" ca="1" si="40"/>
        <v>-2.2211253701875711E-2</v>
      </c>
      <c r="U47" s="294">
        <f t="shared" ca="1" si="41"/>
        <v>-9.2523130782696805E-3</v>
      </c>
      <c r="V47" s="295">
        <f t="shared" ca="1" si="42"/>
        <v>-8.8688462983841809E-2</v>
      </c>
      <c r="W47" s="295">
        <f t="shared" ca="1" si="43"/>
        <v>-4.8756218905472881E-2</v>
      </c>
      <c r="X47" s="295">
        <f t="shared" ca="1" si="44"/>
        <v>-4.4422507403751421E-2</v>
      </c>
      <c r="Y47" s="295">
        <f t="shared" ca="1" si="45"/>
        <v>-9.2523130782696805E-3</v>
      </c>
      <c r="Z47" s="296">
        <f t="shared" ca="1" si="46"/>
        <v>-0.19111950237133579</v>
      </c>
    </row>
    <row r="48" spans="1:26" ht="15" customHeight="1" x14ac:dyDescent="0.25">
      <c r="A48" s="289" t="str">
        <f>관심종목!D45</f>
        <v>BWX</v>
      </c>
      <c r="B48" s="290">
        <f ca="1">관심종목!H45</f>
        <v>21.5</v>
      </c>
      <c r="C48" s="291">
        <f ca="1">VLOOKUP(C1,BWX!$B$27:$G$278,5,1)</f>
        <v>21.47</v>
      </c>
      <c r="D48" s="291">
        <f ca="1">VLOOKUP(D1,BWX!$B$27:$G$278,5,1)</f>
        <v>21.73</v>
      </c>
      <c r="E48" s="291">
        <f ca="1">VLOOKUP(E1,BWX!$B$27:$G$278,5,1)</f>
        <v>22.11</v>
      </c>
      <c r="F48" s="291">
        <f ca="1">VLOOKUP(F1,BWX!$B$27:$G$278,5,1)</f>
        <v>22.13</v>
      </c>
      <c r="G48" s="291">
        <f ca="1">VLOOKUP(G1,BWX!$B$27:$G$278,5,1)</f>
        <v>21.73</v>
      </c>
      <c r="H48" s="291">
        <f ca="1">VLOOKUP(H1,BWX!$B$27:$G$278,5,1)</f>
        <v>23.03</v>
      </c>
      <c r="I48" s="291">
        <f ca="1">VLOOKUP(I1,BWX!$B$27:$G$278,5,1)</f>
        <v>22.99</v>
      </c>
      <c r="J48" s="291">
        <f ca="1">VLOOKUP(J1,BWX!$B$27:$G$278,5,1)</f>
        <v>22.6</v>
      </c>
      <c r="K48" s="291">
        <f ca="1">VLOOKUP(K1,BWX!$B$27:$G$278,5,1)</f>
        <v>22.56</v>
      </c>
      <c r="L48" s="291">
        <f ca="1">VLOOKUP(L1,BWX!$B$27:$G$278,5,1)</f>
        <v>22.94</v>
      </c>
      <c r="M48" s="291">
        <f ca="1">VLOOKUP(M1,BWX!$B$27:$G$278,5,1)</f>
        <v>22.85</v>
      </c>
      <c r="N48" s="291">
        <f ca="1">VLOOKUP(N1,BWX!$B$27:$G$278,5,1)</f>
        <v>23</v>
      </c>
      <c r="O48" s="291">
        <f ca="1">VLOOKUP(O1,BWX!$B$27:$G$278,5,1)</f>
        <v>22.9</v>
      </c>
      <c r="P48" s="292">
        <f t="shared" ca="1" si="37"/>
        <v>22.547499999999999</v>
      </c>
      <c r="Q48" s="293">
        <f t="shared" ca="1" si="38"/>
        <v>0.95354252134382966</v>
      </c>
      <c r="R48" s="294">
        <f t="shared" ca="1" si="39"/>
        <v>-1.0584445467096248E-2</v>
      </c>
      <c r="S48" s="294">
        <f t="shared" ca="1" si="47"/>
        <v>-2.9823768639855364E-2</v>
      </c>
      <c r="T48" s="294">
        <f t="shared" ca="1" si="40"/>
        <v>-6.4810787298825501E-2</v>
      </c>
      <c r="U48" s="294">
        <f t="shared" ca="1" si="41"/>
        <v>-6.1135371179039222E-2</v>
      </c>
      <c r="V48" s="295">
        <f t="shared" ca="1" si="42"/>
        <v>-0.12701334560515498</v>
      </c>
      <c r="W48" s="295">
        <f t="shared" ca="1" si="43"/>
        <v>-0.11929507455942145</v>
      </c>
      <c r="X48" s="295">
        <f t="shared" ca="1" si="44"/>
        <v>-0.129621574597651</v>
      </c>
      <c r="Y48" s="295">
        <f t="shared" ca="1" si="45"/>
        <v>-6.1135371179039222E-2</v>
      </c>
      <c r="Z48" s="296">
        <f t="shared" ca="1" si="46"/>
        <v>-0.43706536594126666</v>
      </c>
    </row>
    <row r="49" spans="1:26" ht="15" customHeight="1" x14ac:dyDescent="0.25">
      <c r="A49" s="297" t="str">
        <f>관심종목!D46</f>
        <v>EMB</v>
      </c>
      <c r="B49" s="298">
        <f ca="1">관심종목!H46</f>
        <v>94.56</v>
      </c>
      <c r="C49" s="299">
        <f ca="1">VLOOKUP(C1,EMB!$B$27:$G$278,5,1)</f>
        <v>95.19</v>
      </c>
      <c r="D49" s="299">
        <f ca="1">VLOOKUP(D1,EMB!$B$27:$G$278,5,1)</f>
        <v>96.54</v>
      </c>
      <c r="E49" s="299">
        <f ca="1">VLOOKUP(E1,EMB!$B$27:$G$278,5,1)</f>
        <v>96.23</v>
      </c>
      <c r="F49" s="299">
        <f ca="1">VLOOKUP(F1,EMB!$B$27:$G$278,5,1)</f>
        <v>95.95</v>
      </c>
      <c r="G49" s="299">
        <f ca="1">VLOOKUP(G1,EMB!$B$27:$G$278,5,1)</f>
        <v>92.95</v>
      </c>
      <c r="H49" s="299">
        <f ca="1">VLOOKUP(H1,EMB!$B$27:$G$278,5,1)</f>
        <v>97.73</v>
      </c>
      <c r="I49" s="299">
        <f ca="1">VLOOKUP(I1,EMB!$B$27:$G$278,5,1)</f>
        <v>96.66</v>
      </c>
      <c r="J49" s="299">
        <f ca="1">VLOOKUP(J1,EMB!$B$27:$G$278,5,1)</f>
        <v>96.54</v>
      </c>
      <c r="K49" s="299">
        <f ca="1">VLOOKUP(K1,EMB!$B$27:$G$278,5,1)</f>
        <v>96.73</v>
      </c>
      <c r="L49" s="299">
        <f ca="1">VLOOKUP(L1,EMB!$B$27:$G$278,5,1)</f>
        <v>97.03</v>
      </c>
      <c r="M49" s="299">
        <f ca="1">VLOOKUP(M1,EMB!$B$27:$G$278,5,1)</f>
        <v>95.23</v>
      </c>
      <c r="N49" s="299">
        <f ca="1">VLOOKUP(N1,EMB!$B$27:$G$278,5,1)</f>
        <v>94.26</v>
      </c>
      <c r="O49" s="299">
        <f ca="1">VLOOKUP(O1,EMB!$B$27:$G$278,5,1)</f>
        <v>92.72</v>
      </c>
      <c r="P49" s="300">
        <f t="shared" ca="1" si="37"/>
        <v>95.714166666666685</v>
      </c>
      <c r="Q49" s="301">
        <f t="shared" ca="1" si="38"/>
        <v>0.9879415272904567</v>
      </c>
      <c r="R49" s="302">
        <f t="shared" ca="1" si="39"/>
        <v>-2.0509633312616571E-2</v>
      </c>
      <c r="S49" s="302">
        <f t="shared" ca="1" si="47"/>
        <v>-7.9207920792079278E-3</v>
      </c>
      <c r="T49" s="302">
        <f t="shared" ca="1" si="40"/>
        <v>-2.1725636250775837E-2</v>
      </c>
      <c r="U49" s="302">
        <f t="shared" ca="1" si="41"/>
        <v>1.9844693701466909E-2</v>
      </c>
      <c r="V49" s="303">
        <f t="shared" ca="1" si="42"/>
        <v>-0.24611559975139885</v>
      </c>
      <c r="W49" s="303">
        <f t="shared" ca="1" si="43"/>
        <v>-3.1683168316831711E-2</v>
      </c>
      <c r="X49" s="303">
        <f t="shared" ca="1" si="44"/>
        <v>-4.3451272501551674E-2</v>
      </c>
      <c r="Y49" s="303">
        <f t="shared" ca="1" si="45"/>
        <v>1.9844693701466909E-2</v>
      </c>
      <c r="Z49" s="304">
        <f t="shared" ca="1" si="46"/>
        <v>-0.30140534686831533</v>
      </c>
    </row>
    <row r="50" spans="1:26" ht="12.75" x14ac:dyDescent="0.2">
      <c r="A50" s="267"/>
    </row>
    <row r="51" spans="1:26" ht="12.75" x14ac:dyDescent="0.2">
      <c r="A51" s="267"/>
    </row>
    <row r="52" spans="1:26" ht="12.75" x14ac:dyDescent="0.2">
      <c r="A52" s="267"/>
    </row>
    <row r="53" spans="1:26" ht="12.75" x14ac:dyDescent="0.2">
      <c r="A53" s="267"/>
    </row>
    <row r="54" spans="1:26" ht="12.75" x14ac:dyDescent="0.2">
      <c r="A54" s="267">
        <f>관심종목!D51</f>
        <v>0</v>
      </c>
    </row>
    <row r="55" spans="1:26" ht="12.75" x14ac:dyDescent="0.2">
      <c r="A55" s="267">
        <f>관심종목!D52</f>
        <v>0</v>
      </c>
    </row>
    <row r="56" spans="1:26" ht="12.75" x14ac:dyDescent="0.2">
      <c r="A56" s="267">
        <f>관심종목!D53</f>
        <v>0</v>
      </c>
    </row>
    <row r="57" spans="1:26" ht="12.75" x14ac:dyDescent="0.2">
      <c r="A57" s="267">
        <f>관심종목!D54</f>
        <v>0</v>
      </c>
    </row>
    <row r="58" spans="1:26" ht="12.75" x14ac:dyDescent="0.2">
      <c r="A58" s="267"/>
    </row>
    <row r="59" spans="1:26" ht="12.75" x14ac:dyDescent="0.2">
      <c r="A59" s="267"/>
    </row>
    <row r="60" spans="1:26" ht="12.75" x14ac:dyDescent="0.2">
      <c r="A60" s="267"/>
    </row>
    <row r="61" spans="1:26" ht="12.75" x14ac:dyDescent="0.2">
      <c r="A61" s="267"/>
    </row>
    <row r="62" spans="1:26" ht="12.75" x14ac:dyDescent="0.2">
      <c r="A62" s="267"/>
    </row>
    <row r="63" spans="1:26" ht="12.75" x14ac:dyDescent="0.2">
      <c r="A63" s="267"/>
    </row>
    <row r="64" spans="1:26" ht="12.75" x14ac:dyDescent="0.2">
      <c r="A64" s="267"/>
    </row>
    <row r="65" spans="1:1" ht="12.75" x14ac:dyDescent="0.2">
      <c r="A65" s="267"/>
    </row>
    <row r="66" spans="1:1" ht="12.75" x14ac:dyDescent="0.2">
      <c r="A66" s="267"/>
    </row>
    <row r="67" spans="1:1" ht="12.75" x14ac:dyDescent="0.2">
      <c r="A67" s="267"/>
    </row>
    <row r="68" spans="1:1" ht="12.75" x14ac:dyDescent="0.2">
      <c r="A68" s="267"/>
    </row>
    <row r="69" spans="1:1" ht="12.75" x14ac:dyDescent="0.2">
      <c r="A69" s="267"/>
    </row>
    <row r="70" spans="1:1" ht="12.75" x14ac:dyDescent="0.2">
      <c r="A70" s="267"/>
    </row>
    <row r="71" spans="1:1" ht="12.75" x14ac:dyDescent="0.2">
      <c r="A71" s="267"/>
    </row>
    <row r="72" spans="1:1" ht="12.75" x14ac:dyDescent="0.2">
      <c r="A72" s="267"/>
    </row>
    <row r="73" spans="1:1" ht="12.75" x14ac:dyDescent="0.2">
      <c r="A73" s="267"/>
    </row>
    <row r="74" spans="1:1" ht="12.75" x14ac:dyDescent="0.2">
      <c r="A74" s="267"/>
    </row>
    <row r="75" spans="1:1" ht="12.75" x14ac:dyDescent="0.2">
      <c r="A75" s="267"/>
    </row>
    <row r="76" spans="1:1" ht="12.75" x14ac:dyDescent="0.2">
      <c r="A76" s="267"/>
    </row>
    <row r="77" spans="1:1" ht="12.75" x14ac:dyDescent="0.2">
      <c r="A77" s="267"/>
    </row>
    <row r="78" spans="1:1" ht="12.75" x14ac:dyDescent="0.2">
      <c r="A78" s="267"/>
    </row>
    <row r="79" spans="1:1" ht="12.75" x14ac:dyDescent="0.2">
      <c r="A79" s="267"/>
    </row>
    <row r="80" spans="1:1" ht="12.75" x14ac:dyDescent="0.2">
      <c r="A80" s="267"/>
    </row>
    <row r="81" spans="1:1" ht="12.75" x14ac:dyDescent="0.2">
      <c r="A81" s="267"/>
    </row>
    <row r="82" spans="1:1" ht="12.75" x14ac:dyDescent="0.2">
      <c r="A82" s="267"/>
    </row>
    <row r="83" spans="1:1" ht="12.75" x14ac:dyDescent="0.2">
      <c r="A83" s="267"/>
    </row>
    <row r="84" spans="1:1" ht="12.75" x14ac:dyDescent="0.2">
      <c r="A84" s="267"/>
    </row>
    <row r="85" spans="1:1" ht="12.75" x14ac:dyDescent="0.2">
      <c r="A85" s="267"/>
    </row>
    <row r="86" spans="1:1" ht="12.75" x14ac:dyDescent="0.2">
      <c r="A86" s="267"/>
    </row>
    <row r="87" spans="1:1" ht="12.75" x14ac:dyDescent="0.2">
      <c r="A87" s="267"/>
    </row>
    <row r="88" spans="1:1" ht="12.75" x14ac:dyDescent="0.2">
      <c r="A88" s="267"/>
    </row>
    <row r="89" spans="1:1" ht="12.75" x14ac:dyDescent="0.2">
      <c r="A89" s="267"/>
    </row>
    <row r="90" spans="1:1" ht="12.75" x14ac:dyDescent="0.2">
      <c r="A90" s="267"/>
    </row>
    <row r="91" spans="1:1" ht="12.75" x14ac:dyDescent="0.2">
      <c r="A91" s="267"/>
    </row>
    <row r="92" spans="1:1" ht="12.75" x14ac:dyDescent="0.2">
      <c r="A92" s="267"/>
    </row>
    <row r="93" spans="1:1" ht="12.75" x14ac:dyDescent="0.2">
      <c r="A93" s="267"/>
    </row>
    <row r="94" spans="1:1" ht="12.75" x14ac:dyDescent="0.2">
      <c r="A94" s="267"/>
    </row>
    <row r="95" spans="1:1" ht="12.75" x14ac:dyDescent="0.2">
      <c r="A95" s="267"/>
    </row>
    <row r="96" spans="1:1" ht="12.75" x14ac:dyDescent="0.2">
      <c r="A96" s="267"/>
    </row>
    <row r="97" spans="1:1" ht="12.75" x14ac:dyDescent="0.2">
      <c r="A97" s="267"/>
    </row>
    <row r="98" spans="1:1" ht="12.75" x14ac:dyDescent="0.2">
      <c r="A98" s="267"/>
    </row>
    <row r="99" spans="1:1" ht="12.75" x14ac:dyDescent="0.2">
      <c r="A99" s="267"/>
    </row>
    <row r="100" spans="1:1" ht="12.75" x14ac:dyDescent="0.2">
      <c r="A100" s="267"/>
    </row>
    <row r="101" spans="1:1" ht="12.75" x14ac:dyDescent="0.2">
      <c r="A101" s="267"/>
    </row>
    <row r="102" spans="1:1" ht="12.75" x14ac:dyDescent="0.2">
      <c r="A102" s="267"/>
    </row>
    <row r="103" spans="1:1" ht="12.75" x14ac:dyDescent="0.2">
      <c r="A103" s="267"/>
    </row>
    <row r="104" spans="1:1" ht="12.75" x14ac:dyDescent="0.2">
      <c r="A104" s="267"/>
    </row>
    <row r="105" spans="1:1" ht="12.75" x14ac:dyDescent="0.2">
      <c r="A105" s="267"/>
    </row>
    <row r="106" spans="1:1" ht="12.75" x14ac:dyDescent="0.2">
      <c r="A106" s="267"/>
    </row>
    <row r="107" spans="1:1" ht="12.75" x14ac:dyDescent="0.2">
      <c r="A107" s="267"/>
    </row>
    <row r="108" spans="1:1" ht="12.75" x14ac:dyDescent="0.2">
      <c r="A108" s="267"/>
    </row>
    <row r="109" spans="1:1" ht="12.75" x14ac:dyDescent="0.2">
      <c r="A109" s="267"/>
    </row>
    <row r="110" spans="1:1" ht="12.75" x14ac:dyDescent="0.2">
      <c r="A110" s="267"/>
    </row>
    <row r="111" spans="1:1" ht="12.75" x14ac:dyDescent="0.2">
      <c r="A111" s="267"/>
    </row>
    <row r="112" spans="1:1" ht="12.75" x14ac:dyDescent="0.2">
      <c r="A112" s="267"/>
    </row>
    <row r="113" spans="1:1" ht="12.75" x14ac:dyDescent="0.2">
      <c r="A113" s="267"/>
    </row>
    <row r="114" spans="1:1" ht="12.75" x14ac:dyDescent="0.2">
      <c r="A114" s="267"/>
    </row>
    <row r="115" spans="1:1" ht="12.75" x14ac:dyDescent="0.2">
      <c r="A115" s="267"/>
    </row>
    <row r="116" spans="1:1" ht="12.75" x14ac:dyDescent="0.2">
      <c r="A116" s="267"/>
    </row>
    <row r="117" spans="1:1" ht="12.75" x14ac:dyDescent="0.2">
      <c r="A117" s="267"/>
    </row>
    <row r="118" spans="1:1" ht="12.75" x14ac:dyDescent="0.2">
      <c r="A118" s="267"/>
    </row>
    <row r="119" spans="1:1" ht="12.75" x14ac:dyDescent="0.2">
      <c r="A119" s="267"/>
    </row>
    <row r="120" spans="1:1" ht="12.75" x14ac:dyDescent="0.2">
      <c r="A120" s="267"/>
    </row>
    <row r="121" spans="1:1" ht="12.75" x14ac:dyDescent="0.2">
      <c r="A121" s="267"/>
    </row>
    <row r="122" spans="1:1" ht="12.75" x14ac:dyDescent="0.2">
      <c r="A122" s="267"/>
    </row>
    <row r="123" spans="1:1" ht="12.75" x14ac:dyDescent="0.2">
      <c r="A123" s="267"/>
    </row>
    <row r="124" spans="1:1" ht="12.75" x14ac:dyDescent="0.2">
      <c r="A124" s="267"/>
    </row>
    <row r="125" spans="1:1" ht="12.75" x14ac:dyDescent="0.2">
      <c r="A125" s="267"/>
    </row>
    <row r="126" spans="1:1" ht="12.75" x14ac:dyDescent="0.2">
      <c r="A126" s="267"/>
    </row>
    <row r="127" spans="1:1" ht="12.75" x14ac:dyDescent="0.2">
      <c r="A127" s="267"/>
    </row>
    <row r="128" spans="1:1" ht="12.75" x14ac:dyDescent="0.2">
      <c r="A128" s="267"/>
    </row>
    <row r="129" spans="1:1" ht="12.75" x14ac:dyDescent="0.2">
      <c r="A129" s="267"/>
    </row>
    <row r="130" spans="1:1" ht="12.75" x14ac:dyDescent="0.2">
      <c r="A130" s="267"/>
    </row>
    <row r="131" spans="1:1" ht="12.75" x14ac:dyDescent="0.2">
      <c r="A131" s="267"/>
    </row>
    <row r="132" spans="1:1" ht="12.75" x14ac:dyDescent="0.2">
      <c r="A132" s="267"/>
    </row>
    <row r="133" spans="1:1" ht="12.75" x14ac:dyDescent="0.2">
      <c r="A133" s="267"/>
    </row>
    <row r="134" spans="1:1" ht="12.75" x14ac:dyDescent="0.2">
      <c r="A134" s="267"/>
    </row>
    <row r="135" spans="1:1" ht="12.75" x14ac:dyDescent="0.2">
      <c r="A135" s="267"/>
    </row>
    <row r="136" spans="1:1" ht="12.75" x14ac:dyDescent="0.2">
      <c r="A136" s="267"/>
    </row>
    <row r="137" spans="1:1" ht="12.75" x14ac:dyDescent="0.2">
      <c r="A137" s="267"/>
    </row>
    <row r="138" spans="1:1" ht="12.75" x14ac:dyDescent="0.2">
      <c r="A138" s="267"/>
    </row>
    <row r="139" spans="1:1" ht="12.75" x14ac:dyDescent="0.2">
      <c r="A139" s="267"/>
    </row>
    <row r="140" spans="1:1" ht="12.75" x14ac:dyDescent="0.2">
      <c r="A140" s="267"/>
    </row>
    <row r="141" spans="1:1" ht="12.75" x14ac:dyDescent="0.2">
      <c r="A141" s="267"/>
    </row>
    <row r="142" spans="1:1" ht="12.75" x14ac:dyDescent="0.2">
      <c r="A142" s="267"/>
    </row>
    <row r="143" spans="1:1" ht="12.75" x14ac:dyDescent="0.2">
      <c r="A143" s="267"/>
    </row>
    <row r="144" spans="1:1" ht="12.75" x14ac:dyDescent="0.2">
      <c r="A144" s="267"/>
    </row>
    <row r="145" spans="1:1" ht="12.75" x14ac:dyDescent="0.2">
      <c r="A145" s="267"/>
    </row>
    <row r="146" spans="1:1" ht="12.75" x14ac:dyDescent="0.2">
      <c r="A146" s="267"/>
    </row>
    <row r="147" spans="1:1" ht="12.75" x14ac:dyDescent="0.2">
      <c r="A147" s="267"/>
    </row>
    <row r="148" spans="1:1" ht="12.75" x14ac:dyDescent="0.2">
      <c r="A148" s="267"/>
    </row>
    <row r="149" spans="1:1" ht="12.75" x14ac:dyDescent="0.2">
      <c r="A149" s="267"/>
    </row>
    <row r="150" spans="1:1" ht="12.75" x14ac:dyDescent="0.2">
      <c r="A150" s="267"/>
    </row>
    <row r="151" spans="1:1" ht="12.75" x14ac:dyDescent="0.2">
      <c r="A151" s="267"/>
    </row>
    <row r="152" spans="1:1" ht="12.75" x14ac:dyDescent="0.2">
      <c r="A152" s="267"/>
    </row>
    <row r="153" spans="1:1" ht="12.75" x14ac:dyDescent="0.2">
      <c r="A153" s="267"/>
    </row>
    <row r="154" spans="1:1" ht="12.75" x14ac:dyDescent="0.2">
      <c r="A154" s="267"/>
    </row>
    <row r="155" spans="1:1" ht="12.75" x14ac:dyDescent="0.2">
      <c r="A155" s="267"/>
    </row>
    <row r="156" spans="1:1" ht="12.75" x14ac:dyDescent="0.2">
      <c r="A156" s="267"/>
    </row>
    <row r="157" spans="1:1" ht="12.75" x14ac:dyDescent="0.2">
      <c r="A157" s="267"/>
    </row>
    <row r="158" spans="1:1" ht="12.75" x14ac:dyDescent="0.2">
      <c r="A158" s="267"/>
    </row>
    <row r="159" spans="1:1" ht="12.75" x14ac:dyDescent="0.2">
      <c r="A159" s="267"/>
    </row>
    <row r="160" spans="1:1" ht="12.75" x14ac:dyDescent="0.2">
      <c r="A160" s="267"/>
    </row>
    <row r="161" spans="1:1" ht="12.75" x14ac:dyDescent="0.2">
      <c r="A161" s="267"/>
    </row>
    <row r="162" spans="1:1" ht="12.75" x14ac:dyDescent="0.2">
      <c r="A162" s="267"/>
    </row>
    <row r="163" spans="1:1" ht="12.75" x14ac:dyDescent="0.2">
      <c r="A163" s="267"/>
    </row>
    <row r="164" spans="1:1" ht="12.75" x14ac:dyDescent="0.2">
      <c r="A164" s="267"/>
    </row>
    <row r="165" spans="1:1" ht="12.75" x14ac:dyDescent="0.2">
      <c r="A165" s="267"/>
    </row>
    <row r="166" spans="1:1" ht="12.75" x14ac:dyDescent="0.2">
      <c r="A166" s="267"/>
    </row>
    <row r="167" spans="1:1" ht="12.75" x14ac:dyDescent="0.2">
      <c r="A167" s="267"/>
    </row>
    <row r="168" spans="1:1" ht="12.75" x14ac:dyDescent="0.2">
      <c r="A168" s="267"/>
    </row>
    <row r="169" spans="1:1" ht="12.75" x14ac:dyDescent="0.2">
      <c r="A169" s="267"/>
    </row>
    <row r="170" spans="1:1" ht="12.75" x14ac:dyDescent="0.2">
      <c r="A170" s="267"/>
    </row>
    <row r="171" spans="1:1" ht="12.75" x14ac:dyDescent="0.2">
      <c r="A171" s="267"/>
    </row>
    <row r="172" spans="1:1" ht="12.75" x14ac:dyDescent="0.2">
      <c r="A172" s="267"/>
    </row>
    <row r="173" spans="1:1" ht="12.75" x14ac:dyDescent="0.2">
      <c r="A173" s="267"/>
    </row>
    <row r="174" spans="1:1" ht="12.75" x14ac:dyDescent="0.2">
      <c r="A174" s="267"/>
    </row>
    <row r="175" spans="1:1" ht="12.75" x14ac:dyDescent="0.2">
      <c r="A175" s="267"/>
    </row>
    <row r="176" spans="1:1" ht="12.75" x14ac:dyDescent="0.2">
      <c r="A176" s="267"/>
    </row>
    <row r="177" spans="1:1" ht="12.75" x14ac:dyDescent="0.2">
      <c r="A177" s="267"/>
    </row>
    <row r="178" spans="1:1" ht="12.75" x14ac:dyDescent="0.2">
      <c r="A178" s="267"/>
    </row>
    <row r="179" spans="1:1" ht="12.75" x14ac:dyDescent="0.2">
      <c r="A179" s="267"/>
    </row>
    <row r="180" spans="1:1" ht="12.75" x14ac:dyDescent="0.2">
      <c r="A180" s="267"/>
    </row>
    <row r="181" spans="1:1" ht="12.75" x14ac:dyDescent="0.2">
      <c r="A181" s="267"/>
    </row>
    <row r="182" spans="1:1" ht="12.75" x14ac:dyDescent="0.2">
      <c r="A182" s="267"/>
    </row>
    <row r="183" spans="1:1" ht="12.75" x14ac:dyDescent="0.2">
      <c r="A183" s="267"/>
    </row>
    <row r="184" spans="1:1" ht="12.75" x14ac:dyDescent="0.2">
      <c r="A184" s="267"/>
    </row>
    <row r="185" spans="1:1" ht="12.75" x14ac:dyDescent="0.2">
      <c r="A185" s="267"/>
    </row>
    <row r="186" spans="1:1" ht="12.75" x14ac:dyDescent="0.2">
      <c r="A186" s="267"/>
    </row>
    <row r="187" spans="1:1" ht="12.75" x14ac:dyDescent="0.2">
      <c r="A187" s="267"/>
    </row>
    <row r="188" spans="1:1" ht="12.75" x14ac:dyDescent="0.2">
      <c r="A188" s="267"/>
    </row>
    <row r="189" spans="1:1" ht="12.75" x14ac:dyDescent="0.2">
      <c r="A189" s="267"/>
    </row>
    <row r="190" spans="1:1" ht="12.75" x14ac:dyDescent="0.2">
      <c r="A190" s="267"/>
    </row>
    <row r="191" spans="1:1" ht="12.75" x14ac:dyDescent="0.2">
      <c r="A191" s="267"/>
    </row>
    <row r="192" spans="1:1" ht="12.75" x14ac:dyDescent="0.2">
      <c r="A192" s="267"/>
    </row>
    <row r="193" spans="1:1" ht="12.75" x14ac:dyDescent="0.2">
      <c r="A193" s="267"/>
    </row>
    <row r="194" spans="1:1" ht="12.75" x14ac:dyDescent="0.2">
      <c r="A194" s="267"/>
    </row>
    <row r="195" spans="1:1" ht="12.75" x14ac:dyDescent="0.2">
      <c r="A195" s="267"/>
    </row>
    <row r="196" spans="1:1" ht="12.75" x14ac:dyDescent="0.2">
      <c r="A196" s="267"/>
    </row>
    <row r="197" spans="1:1" ht="12.75" x14ac:dyDescent="0.2">
      <c r="A197" s="267"/>
    </row>
    <row r="198" spans="1:1" ht="12.75" x14ac:dyDescent="0.2">
      <c r="A198" s="267"/>
    </row>
    <row r="199" spans="1:1" ht="12.75" x14ac:dyDescent="0.2">
      <c r="A199" s="267"/>
    </row>
    <row r="200" spans="1:1" ht="12.75" x14ac:dyDescent="0.2">
      <c r="A200" s="267"/>
    </row>
    <row r="201" spans="1:1" ht="12.75" x14ac:dyDescent="0.2">
      <c r="A201" s="267"/>
    </row>
    <row r="202" spans="1:1" ht="12.75" x14ac:dyDescent="0.2">
      <c r="A202" s="267"/>
    </row>
    <row r="203" spans="1:1" ht="12.75" x14ac:dyDescent="0.2">
      <c r="A203" s="267"/>
    </row>
    <row r="204" spans="1:1" ht="12.75" x14ac:dyDescent="0.2">
      <c r="A204" s="267"/>
    </row>
    <row r="205" spans="1:1" ht="12.75" x14ac:dyDescent="0.2">
      <c r="A205" s="267"/>
    </row>
    <row r="206" spans="1:1" ht="12.75" x14ac:dyDescent="0.2">
      <c r="A206" s="267"/>
    </row>
    <row r="207" spans="1:1" ht="12.75" x14ac:dyDescent="0.2">
      <c r="A207" s="267"/>
    </row>
    <row r="208" spans="1:1" ht="12.75" x14ac:dyDescent="0.2">
      <c r="A208" s="267"/>
    </row>
    <row r="209" spans="1:1" ht="12.75" x14ac:dyDescent="0.2">
      <c r="A209" s="267"/>
    </row>
    <row r="210" spans="1:1" ht="12.75" x14ac:dyDescent="0.2">
      <c r="A210" s="267"/>
    </row>
    <row r="211" spans="1:1" ht="12.75" x14ac:dyDescent="0.2">
      <c r="A211" s="267"/>
    </row>
    <row r="212" spans="1:1" ht="12.75" x14ac:dyDescent="0.2">
      <c r="A212" s="267"/>
    </row>
    <row r="213" spans="1:1" ht="12.75" x14ac:dyDescent="0.2">
      <c r="A213" s="267"/>
    </row>
    <row r="214" spans="1:1" ht="12.75" x14ac:dyDescent="0.2">
      <c r="A214" s="267"/>
    </row>
    <row r="215" spans="1:1" ht="12.75" x14ac:dyDescent="0.2">
      <c r="A215" s="267"/>
    </row>
    <row r="216" spans="1:1" ht="12.75" x14ac:dyDescent="0.2">
      <c r="A216" s="267"/>
    </row>
    <row r="217" spans="1:1" ht="12.75" x14ac:dyDescent="0.2">
      <c r="A217" s="267"/>
    </row>
    <row r="218" spans="1:1" ht="12.75" x14ac:dyDescent="0.2">
      <c r="A218" s="267"/>
    </row>
    <row r="219" spans="1:1" ht="12.75" x14ac:dyDescent="0.2">
      <c r="A219" s="267"/>
    </row>
    <row r="220" spans="1:1" ht="12.75" x14ac:dyDescent="0.2">
      <c r="A220" s="267"/>
    </row>
    <row r="221" spans="1:1" ht="12.75" x14ac:dyDescent="0.2">
      <c r="A221" s="267"/>
    </row>
    <row r="222" spans="1:1" ht="12.75" x14ac:dyDescent="0.2">
      <c r="A222" s="267"/>
    </row>
    <row r="223" spans="1:1" ht="12.75" x14ac:dyDescent="0.2">
      <c r="A223" s="267"/>
    </row>
    <row r="224" spans="1:1" ht="12.75" x14ac:dyDescent="0.2">
      <c r="A224" s="267"/>
    </row>
    <row r="225" spans="1:1" ht="12.75" x14ac:dyDescent="0.2">
      <c r="A225" s="267"/>
    </row>
    <row r="226" spans="1:1" ht="12.75" x14ac:dyDescent="0.2">
      <c r="A226" s="267"/>
    </row>
    <row r="227" spans="1:1" ht="12.75" x14ac:dyDescent="0.2">
      <c r="A227" s="267"/>
    </row>
    <row r="228" spans="1:1" ht="12.75" x14ac:dyDescent="0.2">
      <c r="A228" s="267"/>
    </row>
    <row r="229" spans="1:1" ht="12.75" x14ac:dyDescent="0.2">
      <c r="A229" s="267"/>
    </row>
    <row r="230" spans="1:1" ht="12.75" x14ac:dyDescent="0.2">
      <c r="A230" s="267"/>
    </row>
    <row r="231" spans="1:1" ht="12.75" x14ac:dyDescent="0.2">
      <c r="A231" s="267"/>
    </row>
    <row r="232" spans="1:1" ht="12.75" x14ac:dyDescent="0.2">
      <c r="A232" s="267"/>
    </row>
    <row r="233" spans="1:1" ht="12.75" x14ac:dyDescent="0.2">
      <c r="A233" s="267"/>
    </row>
    <row r="234" spans="1:1" ht="12.75" x14ac:dyDescent="0.2">
      <c r="A234" s="267"/>
    </row>
    <row r="235" spans="1:1" ht="12.75" x14ac:dyDescent="0.2">
      <c r="A235" s="267"/>
    </row>
    <row r="236" spans="1:1" ht="12.75" x14ac:dyDescent="0.2">
      <c r="A236" s="267"/>
    </row>
    <row r="237" spans="1:1" ht="12.75" x14ac:dyDescent="0.2">
      <c r="A237" s="267"/>
    </row>
    <row r="238" spans="1:1" ht="12.75" x14ac:dyDescent="0.2">
      <c r="A238" s="267"/>
    </row>
    <row r="239" spans="1:1" ht="12.75" x14ac:dyDescent="0.2">
      <c r="A239" s="267"/>
    </row>
    <row r="240" spans="1:1" ht="12.75" x14ac:dyDescent="0.2">
      <c r="A240" s="267"/>
    </row>
    <row r="241" spans="1:1" ht="12.75" x14ac:dyDescent="0.2">
      <c r="A241" s="267"/>
    </row>
    <row r="242" spans="1:1" ht="12.75" x14ac:dyDescent="0.2">
      <c r="A242" s="267"/>
    </row>
    <row r="243" spans="1:1" ht="12.75" x14ac:dyDescent="0.2">
      <c r="A243" s="267"/>
    </row>
    <row r="244" spans="1:1" ht="12.75" x14ac:dyDescent="0.2">
      <c r="A244" s="267"/>
    </row>
    <row r="245" spans="1:1" ht="12.75" x14ac:dyDescent="0.2">
      <c r="A245" s="267"/>
    </row>
    <row r="246" spans="1:1" ht="12.75" x14ac:dyDescent="0.2">
      <c r="A246" s="267"/>
    </row>
    <row r="247" spans="1:1" ht="12.75" x14ac:dyDescent="0.2">
      <c r="A247" s="267"/>
    </row>
    <row r="248" spans="1:1" ht="12.75" x14ac:dyDescent="0.2">
      <c r="A248" s="267"/>
    </row>
    <row r="249" spans="1:1" ht="12.75" x14ac:dyDescent="0.2">
      <c r="A249" s="267"/>
    </row>
    <row r="250" spans="1:1" ht="12.75" x14ac:dyDescent="0.2">
      <c r="A250" s="267"/>
    </row>
    <row r="251" spans="1:1" ht="12.75" x14ac:dyDescent="0.2">
      <c r="A251" s="267"/>
    </row>
    <row r="252" spans="1:1" ht="12.75" x14ac:dyDescent="0.2">
      <c r="A252" s="267"/>
    </row>
    <row r="253" spans="1:1" ht="12.75" x14ac:dyDescent="0.2">
      <c r="A253" s="267"/>
    </row>
    <row r="254" spans="1:1" ht="12.75" x14ac:dyDescent="0.2">
      <c r="A254" s="267"/>
    </row>
    <row r="255" spans="1:1" ht="12.75" x14ac:dyDescent="0.2">
      <c r="A255" s="267"/>
    </row>
    <row r="256" spans="1:1" ht="12.75" x14ac:dyDescent="0.2">
      <c r="A256" s="267"/>
    </row>
    <row r="257" spans="1:1" ht="12.75" x14ac:dyDescent="0.2">
      <c r="A257" s="267"/>
    </row>
    <row r="258" spans="1:1" ht="12.75" x14ac:dyDescent="0.2">
      <c r="A258" s="267"/>
    </row>
    <row r="259" spans="1:1" ht="12.75" x14ac:dyDescent="0.2">
      <c r="A259" s="267"/>
    </row>
    <row r="260" spans="1:1" ht="12.75" x14ac:dyDescent="0.2">
      <c r="A260" s="267"/>
    </row>
    <row r="261" spans="1:1" ht="12.75" x14ac:dyDescent="0.2">
      <c r="A261" s="267"/>
    </row>
    <row r="262" spans="1:1" ht="12.75" x14ac:dyDescent="0.2">
      <c r="A262" s="267"/>
    </row>
    <row r="263" spans="1:1" ht="12.75" x14ac:dyDescent="0.2">
      <c r="A263" s="267"/>
    </row>
    <row r="264" spans="1:1" ht="12.75" x14ac:dyDescent="0.2">
      <c r="A264" s="267"/>
    </row>
    <row r="265" spans="1:1" ht="12.75" x14ac:dyDescent="0.2">
      <c r="A265" s="267"/>
    </row>
    <row r="266" spans="1:1" ht="12.75" x14ac:dyDescent="0.2">
      <c r="A266" s="267"/>
    </row>
    <row r="267" spans="1:1" ht="12.75" x14ac:dyDescent="0.2">
      <c r="A267" s="267"/>
    </row>
    <row r="268" spans="1:1" ht="12.75" x14ac:dyDescent="0.2">
      <c r="A268" s="267"/>
    </row>
    <row r="269" spans="1:1" ht="12.75" x14ac:dyDescent="0.2">
      <c r="A269" s="267"/>
    </row>
    <row r="270" spans="1:1" ht="12.75" x14ac:dyDescent="0.2">
      <c r="A270" s="267"/>
    </row>
    <row r="271" spans="1:1" ht="12.75" x14ac:dyDescent="0.2">
      <c r="A271" s="267"/>
    </row>
    <row r="272" spans="1:1" ht="12.75" x14ac:dyDescent="0.2">
      <c r="A272" s="267"/>
    </row>
    <row r="273" spans="1:1" ht="12.75" x14ac:dyDescent="0.2">
      <c r="A273" s="267"/>
    </row>
    <row r="274" spans="1:1" ht="12.75" x14ac:dyDescent="0.2">
      <c r="A274" s="267"/>
    </row>
    <row r="275" spans="1:1" ht="12.75" x14ac:dyDescent="0.2">
      <c r="A275" s="267"/>
    </row>
    <row r="276" spans="1:1" ht="12.75" x14ac:dyDescent="0.2">
      <c r="A276" s="267"/>
    </row>
    <row r="277" spans="1:1" ht="12.75" x14ac:dyDescent="0.2">
      <c r="A277" s="267"/>
    </row>
    <row r="278" spans="1:1" ht="12.75" x14ac:dyDescent="0.2">
      <c r="A278" s="267"/>
    </row>
    <row r="279" spans="1:1" ht="12.75" x14ac:dyDescent="0.2">
      <c r="A279" s="267"/>
    </row>
    <row r="280" spans="1:1" ht="12.75" x14ac:dyDescent="0.2">
      <c r="A280" s="267"/>
    </row>
    <row r="281" spans="1:1" ht="12.75" x14ac:dyDescent="0.2">
      <c r="A281" s="267"/>
    </row>
    <row r="282" spans="1:1" ht="12.75" x14ac:dyDescent="0.2">
      <c r="A282" s="267"/>
    </row>
    <row r="283" spans="1:1" ht="12.75" x14ac:dyDescent="0.2">
      <c r="A283" s="267"/>
    </row>
    <row r="284" spans="1:1" ht="12.75" x14ac:dyDescent="0.2">
      <c r="A284" s="267"/>
    </row>
    <row r="285" spans="1:1" ht="12.75" x14ac:dyDescent="0.2">
      <c r="A285" s="267"/>
    </row>
    <row r="286" spans="1:1" ht="12.75" x14ac:dyDescent="0.2">
      <c r="A286" s="267"/>
    </row>
    <row r="287" spans="1:1" ht="12.75" x14ac:dyDescent="0.2">
      <c r="A287" s="267"/>
    </row>
    <row r="288" spans="1:1" ht="12.75" x14ac:dyDescent="0.2">
      <c r="A288" s="267"/>
    </row>
    <row r="289" spans="1:1" ht="12.75" x14ac:dyDescent="0.2">
      <c r="A289" s="267"/>
    </row>
    <row r="290" spans="1:1" ht="12.75" x14ac:dyDescent="0.2">
      <c r="A290" s="267"/>
    </row>
    <row r="291" spans="1:1" ht="12.75" x14ac:dyDescent="0.2">
      <c r="A291" s="267"/>
    </row>
    <row r="292" spans="1:1" ht="12.75" x14ac:dyDescent="0.2">
      <c r="A292" s="267"/>
    </row>
    <row r="293" spans="1:1" ht="12.75" x14ac:dyDescent="0.2">
      <c r="A293" s="267"/>
    </row>
    <row r="294" spans="1:1" ht="12.75" x14ac:dyDescent="0.2">
      <c r="A294" s="267"/>
    </row>
    <row r="295" spans="1:1" ht="12.75" x14ac:dyDescent="0.2">
      <c r="A295" s="267"/>
    </row>
    <row r="296" spans="1:1" ht="12.75" x14ac:dyDescent="0.2">
      <c r="A296" s="267"/>
    </row>
    <row r="297" spans="1:1" ht="12.75" x14ac:dyDescent="0.2">
      <c r="A297" s="267"/>
    </row>
    <row r="298" spans="1:1" ht="12.75" x14ac:dyDescent="0.2">
      <c r="A298" s="267"/>
    </row>
    <row r="299" spans="1:1" ht="12.75" x14ac:dyDescent="0.2">
      <c r="A299" s="267"/>
    </row>
    <row r="300" spans="1:1" ht="12.75" x14ac:dyDescent="0.2">
      <c r="A300" s="267"/>
    </row>
    <row r="301" spans="1:1" ht="12.75" x14ac:dyDescent="0.2">
      <c r="A301" s="267"/>
    </row>
    <row r="302" spans="1:1" ht="12.75" x14ac:dyDescent="0.2">
      <c r="A302" s="267"/>
    </row>
    <row r="303" spans="1:1" ht="12.75" x14ac:dyDescent="0.2">
      <c r="A303" s="267"/>
    </row>
    <row r="304" spans="1:1" ht="12.75" x14ac:dyDescent="0.2">
      <c r="A304" s="267"/>
    </row>
    <row r="305" spans="1:1" ht="12.75" x14ac:dyDescent="0.2">
      <c r="A305" s="267"/>
    </row>
    <row r="306" spans="1:1" ht="12.75" x14ac:dyDescent="0.2">
      <c r="A306" s="267"/>
    </row>
    <row r="307" spans="1:1" ht="12.75" x14ac:dyDescent="0.2">
      <c r="A307" s="267"/>
    </row>
    <row r="308" spans="1:1" ht="12.75" x14ac:dyDescent="0.2">
      <c r="A308" s="267"/>
    </row>
    <row r="309" spans="1:1" ht="12.75" x14ac:dyDescent="0.2">
      <c r="A309" s="267"/>
    </row>
    <row r="310" spans="1:1" ht="12.75" x14ac:dyDescent="0.2">
      <c r="A310" s="267"/>
    </row>
    <row r="311" spans="1:1" ht="12.75" x14ac:dyDescent="0.2">
      <c r="A311" s="267"/>
    </row>
    <row r="312" spans="1:1" ht="12.75" x14ac:dyDescent="0.2">
      <c r="A312" s="267"/>
    </row>
    <row r="313" spans="1:1" ht="12.75" x14ac:dyDescent="0.2">
      <c r="A313" s="267"/>
    </row>
    <row r="314" spans="1:1" ht="12.75" x14ac:dyDescent="0.2">
      <c r="A314" s="267"/>
    </row>
    <row r="315" spans="1:1" ht="12.75" x14ac:dyDescent="0.2">
      <c r="A315" s="267"/>
    </row>
    <row r="316" spans="1:1" ht="12.75" x14ac:dyDescent="0.2">
      <c r="A316" s="267"/>
    </row>
    <row r="317" spans="1:1" ht="12.75" x14ac:dyDescent="0.2">
      <c r="A317" s="267"/>
    </row>
    <row r="318" spans="1:1" ht="12.75" x14ac:dyDescent="0.2">
      <c r="A318" s="267"/>
    </row>
    <row r="319" spans="1:1" ht="12.75" x14ac:dyDescent="0.2">
      <c r="A319" s="267"/>
    </row>
    <row r="320" spans="1:1" ht="12.75" x14ac:dyDescent="0.2">
      <c r="A320" s="267"/>
    </row>
    <row r="321" spans="1:1" ht="12.75" x14ac:dyDescent="0.2">
      <c r="A321" s="267"/>
    </row>
    <row r="322" spans="1:1" ht="12.75" x14ac:dyDescent="0.2">
      <c r="A322" s="267"/>
    </row>
    <row r="323" spans="1:1" ht="12.75" x14ac:dyDescent="0.2">
      <c r="A323" s="267"/>
    </row>
    <row r="324" spans="1:1" ht="12.75" x14ac:dyDescent="0.2">
      <c r="A324" s="267"/>
    </row>
    <row r="325" spans="1:1" ht="12.75" x14ac:dyDescent="0.2">
      <c r="A325" s="267"/>
    </row>
    <row r="326" spans="1:1" ht="12.75" x14ac:dyDescent="0.2">
      <c r="A326" s="267"/>
    </row>
    <row r="327" spans="1:1" ht="12.75" x14ac:dyDescent="0.2">
      <c r="A327" s="267"/>
    </row>
    <row r="328" spans="1:1" ht="12.75" x14ac:dyDescent="0.2">
      <c r="A328" s="267"/>
    </row>
    <row r="329" spans="1:1" ht="12.75" x14ac:dyDescent="0.2">
      <c r="A329" s="267"/>
    </row>
    <row r="330" spans="1:1" ht="12.75" x14ac:dyDescent="0.2">
      <c r="A330" s="267"/>
    </row>
    <row r="331" spans="1:1" ht="12.75" x14ac:dyDescent="0.2">
      <c r="A331" s="267"/>
    </row>
    <row r="332" spans="1:1" ht="12.75" x14ac:dyDescent="0.2">
      <c r="A332" s="267"/>
    </row>
    <row r="333" spans="1:1" ht="12.75" x14ac:dyDescent="0.2">
      <c r="A333" s="267"/>
    </row>
    <row r="334" spans="1:1" ht="12.75" x14ac:dyDescent="0.2">
      <c r="A334" s="267"/>
    </row>
    <row r="335" spans="1:1" ht="12.75" x14ac:dyDescent="0.2">
      <c r="A335" s="267"/>
    </row>
    <row r="336" spans="1:1" ht="12.75" x14ac:dyDescent="0.2">
      <c r="A336" s="267"/>
    </row>
    <row r="337" spans="1:1" ht="12.75" x14ac:dyDescent="0.2">
      <c r="A337" s="267"/>
    </row>
    <row r="338" spans="1:1" ht="12.75" x14ac:dyDescent="0.2">
      <c r="A338" s="267"/>
    </row>
    <row r="339" spans="1:1" ht="12.75" x14ac:dyDescent="0.2">
      <c r="A339" s="267"/>
    </row>
    <row r="340" spans="1:1" ht="12.75" x14ac:dyDescent="0.2">
      <c r="A340" s="267"/>
    </row>
    <row r="341" spans="1:1" ht="12.75" x14ac:dyDescent="0.2">
      <c r="A341" s="267"/>
    </row>
    <row r="342" spans="1:1" ht="12.75" x14ac:dyDescent="0.2">
      <c r="A342" s="267"/>
    </row>
    <row r="343" spans="1:1" ht="12.75" x14ac:dyDescent="0.2">
      <c r="A343" s="267"/>
    </row>
    <row r="344" spans="1:1" ht="12.75" x14ac:dyDescent="0.2">
      <c r="A344" s="267"/>
    </row>
    <row r="345" spans="1:1" ht="12.75" x14ac:dyDescent="0.2">
      <c r="A345" s="267"/>
    </row>
    <row r="346" spans="1:1" ht="12.75" x14ac:dyDescent="0.2">
      <c r="A346" s="267"/>
    </row>
    <row r="347" spans="1:1" ht="12.75" x14ac:dyDescent="0.2">
      <c r="A347" s="267"/>
    </row>
    <row r="348" spans="1:1" ht="12.75" x14ac:dyDescent="0.2">
      <c r="A348" s="267"/>
    </row>
    <row r="349" spans="1:1" ht="12.75" x14ac:dyDescent="0.2">
      <c r="A349" s="267"/>
    </row>
    <row r="350" spans="1:1" ht="12.75" x14ac:dyDescent="0.2">
      <c r="A350" s="267"/>
    </row>
    <row r="351" spans="1:1" ht="12.75" x14ac:dyDescent="0.2">
      <c r="A351" s="267"/>
    </row>
    <row r="352" spans="1:1" ht="12.75" x14ac:dyDescent="0.2">
      <c r="A352" s="267"/>
    </row>
    <row r="353" spans="1:1" ht="12.75" x14ac:dyDescent="0.2">
      <c r="A353" s="267"/>
    </row>
    <row r="354" spans="1:1" ht="12.75" x14ac:dyDescent="0.2">
      <c r="A354" s="267"/>
    </row>
    <row r="355" spans="1:1" ht="12.75" x14ac:dyDescent="0.2">
      <c r="A355" s="267"/>
    </row>
    <row r="356" spans="1:1" ht="12.75" x14ac:dyDescent="0.2">
      <c r="A356" s="267"/>
    </row>
    <row r="357" spans="1:1" ht="12.75" x14ac:dyDescent="0.2">
      <c r="A357" s="267"/>
    </row>
    <row r="358" spans="1:1" ht="12.75" x14ac:dyDescent="0.2">
      <c r="A358" s="267"/>
    </row>
    <row r="359" spans="1:1" ht="12.75" x14ac:dyDescent="0.2">
      <c r="A359" s="267"/>
    </row>
    <row r="360" spans="1:1" ht="12.75" x14ac:dyDescent="0.2">
      <c r="A360" s="267"/>
    </row>
    <row r="361" spans="1:1" ht="12.75" x14ac:dyDescent="0.2">
      <c r="A361" s="267"/>
    </row>
    <row r="362" spans="1:1" ht="12.75" x14ac:dyDescent="0.2">
      <c r="A362" s="267"/>
    </row>
    <row r="363" spans="1:1" ht="12.75" x14ac:dyDescent="0.2">
      <c r="A363" s="267"/>
    </row>
    <row r="364" spans="1:1" ht="12.75" x14ac:dyDescent="0.2">
      <c r="A364" s="267"/>
    </row>
    <row r="365" spans="1:1" ht="12.75" x14ac:dyDescent="0.2">
      <c r="A365" s="267"/>
    </row>
    <row r="366" spans="1:1" ht="12.75" x14ac:dyDescent="0.2">
      <c r="A366" s="267"/>
    </row>
    <row r="367" spans="1:1" ht="12.75" x14ac:dyDescent="0.2">
      <c r="A367" s="267"/>
    </row>
    <row r="368" spans="1:1" ht="12.75" x14ac:dyDescent="0.2">
      <c r="A368" s="267"/>
    </row>
    <row r="369" spans="1:1" ht="12.75" x14ac:dyDescent="0.2">
      <c r="A369" s="267"/>
    </row>
    <row r="370" spans="1:1" ht="12.75" x14ac:dyDescent="0.2">
      <c r="A370" s="267"/>
    </row>
    <row r="371" spans="1:1" ht="12.75" x14ac:dyDescent="0.2">
      <c r="A371" s="267"/>
    </row>
    <row r="372" spans="1:1" ht="12.75" x14ac:dyDescent="0.2">
      <c r="A372" s="267"/>
    </row>
    <row r="373" spans="1:1" ht="12.75" x14ac:dyDescent="0.2">
      <c r="A373" s="267"/>
    </row>
    <row r="374" spans="1:1" ht="12.75" x14ac:dyDescent="0.2">
      <c r="A374" s="267"/>
    </row>
    <row r="375" spans="1:1" ht="12.75" x14ac:dyDescent="0.2">
      <c r="A375" s="267"/>
    </row>
    <row r="376" spans="1:1" ht="12.75" x14ac:dyDescent="0.2">
      <c r="A376" s="267"/>
    </row>
    <row r="377" spans="1:1" ht="12.75" x14ac:dyDescent="0.2">
      <c r="A377" s="267"/>
    </row>
    <row r="378" spans="1:1" ht="12.75" x14ac:dyDescent="0.2">
      <c r="A378" s="267"/>
    </row>
    <row r="379" spans="1:1" ht="12.75" x14ac:dyDescent="0.2">
      <c r="A379" s="267"/>
    </row>
    <row r="380" spans="1:1" ht="12.75" x14ac:dyDescent="0.2">
      <c r="A380" s="267"/>
    </row>
    <row r="381" spans="1:1" ht="12.75" x14ac:dyDescent="0.2">
      <c r="A381" s="267"/>
    </row>
    <row r="382" spans="1:1" ht="12.75" x14ac:dyDescent="0.2">
      <c r="A382" s="267"/>
    </row>
    <row r="383" spans="1:1" ht="12.75" x14ac:dyDescent="0.2">
      <c r="A383" s="267"/>
    </row>
    <row r="384" spans="1:1" ht="12.75" x14ac:dyDescent="0.2">
      <c r="A384" s="267"/>
    </row>
    <row r="385" spans="1:1" ht="12.75" x14ac:dyDescent="0.2">
      <c r="A385" s="267"/>
    </row>
    <row r="386" spans="1:1" ht="12.75" x14ac:dyDescent="0.2">
      <c r="A386" s="267"/>
    </row>
    <row r="387" spans="1:1" ht="12.75" x14ac:dyDescent="0.2">
      <c r="A387" s="267"/>
    </row>
    <row r="388" spans="1:1" ht="12.75" x14ac:dyDescent="0.2">
      <c r="A388" s="267"/>
    </row>
    <row r="389" spans="1:1" ht="12.75" x14ac:dyDescent="0.2">
      <c r="A389" s="267"/>
    </row>
    <row r="390" spans="1:1" ht="12.75" x14ac:dyDescent="0.2">
      <c r="A390" s="267"/>
    </row>
    <row r="391" spans="1:1" ht="12.75" x14ac:dyDescent="0.2">
      <c r="A391" s="267"/>
    </row>
    <row r="392" spans="1:1" ht="12.75" x14ac:dyDescent="0.2">
      <c r="A392" s="267"/>
    </row>
    <row r="393" spans="1:1" ht="12.75" x14ac:dyDescent="0.2">
      <c r="A393" s="267"/>
    </row>
    <row r="394" spans="1:1" ht="12.75" x14ac:dyDescent="0.2">
      <c r="A394" s="267"/>
    </row>
    <row r="395" spans="1:1" ht="12.75" x14ac:dyDescent="0.2">
      <c r="A395" s="267"/>
    </row>
    <row r="396" spans="1:1" ht="12.75" x14ac:dyDescent="0.2">
      <c r="A396" s="267"/>
    </row>
    <row r="397" spans="1:1" ht="12.75" x14ac:dyDescent="0.2">
      <c r="A397" s="267"/>
    </row>
    <row r="398" spans="1:1" ht="12.75" x14ac:dyDescent="0.2">
      <c r="A398" s="267"/>
    </row>
    <row r="399" spans="1:1" ht="12.75" x14ac:dyDescent="0.2">
      <c r="A399" s="267"/>
    </row>
    <row r="400" spans="1:1" ht="12.75" x14ac:dyDescent="0.2">
      <c r="A400" s="267"/>
    </row>
    <row r="401" spans="1:1" ht="12.75" x14ac:dyDescent="0.2">
      <c r="A401" s="267"/>
    </row>
    <row r="402" spans="1:1" ht="12.75" x14ac:dyDescent="0.2">
      <c r="A402" s="267"/>
    </row>
    <row r="403" spans="1:1" ht="12.75" x14ac:dyDescent="0.2">
      <c r="A403" s="267"/>
    </row>
    <row r="404" spans="1:1" ht="12.75" x14ac:dyDescent="0.2">
      <c r="A404" s="267"/>
    </row>
    <row r="405" spans="1:1" ht="12.75" x14ac:dyDescent="0.2">
      <c r="A405" s="267"/>
    </row>
    <row r="406" spans="1:1" ht="12.75" x14ac:dyDescent="0.2">
      <c r="A406" s="267"/>
    </row>
    <row r="407" spans="1:1" ht="12.75" x14ac:dyDescent="0.2">
      <c r="A407" s="267"/>
    </row>
    <row r="408" spans="1:1" ht="12.75" x14ac:dyDescent="0.2">
      <c r="A408" s="267"/>
    </row>
    <row r="409" spans="1:1" ht="12.75" x14ac:dyDescent="0.2">
      <c r="A409" s="267"/>
    </row>
    <row r="410" spans="1:1" ht="12.75" x14ac:dyDescent="0.2">
      <c r="A410" s="267"/>
    </row>
    <row r="411" spans="1:1" ht="12.75" x14ac:dyDescent="0.2">
      <c r="A411" s="267"/>
    </row>
    <row r="412" spans="1:1" ht="12.75" x14ac:dyDescent="0.2">
      <c r="A412" s="267"/>
    </row>
    <row r="413" spans="1:1" ht="12.75" x14ac:dyDescent="0.2">
      <c r="A413" s="267"/>
    </row>
    <row r="414" spans="1:1" ht="12.75" x14ac:dyDescent="0.2">
      <c r="A414" s="267"/>
    </row>
    <row r="415" spans="1:1" ht="12.75" x14ac:dyDescent="0.2">
      <c r="A415" s="267"/>
    </row>
    <row r="416" spans="1:1" ht="12.75" x14ac:dyDescent="0.2">
      <c r="A416" s="267"/>
    </row>
    <row r="417" spans="1:1" ht="12.75" x14ac:dyDescent="0.2">
      <c r="A417" s="267"/>
    </row>
    <row r="418" spans="1:1" ht="12.75" x14ac:dyDescent="0.2">
      <c r="A418" s="267"/>
    </row>
    <row r="419" spans="1:1" ht="12.75" x14ac:dyDescent="0.2">
      <c r="A419" s="267"/>
    </row>
    <row r="420" spans="1:1" ht="12.75" x14ac:dyDescent="0.2">
      <c r="A420" s="267"/>
    </row>
    <row r="421" spans="1:1" ht="12.75" x14ac:dyDescent="0.2">
      <c r="A421" s="267"/>
    </row>
    <row r="422" spans="1:1" ht="12.75" x14ac:dyDescent="0.2">
      <c r="A422" s="267"/>
    </row>
    <row r="423" spans="1:1" ht="12.75" x14ac:dyDescent="0.2">
      <c r="A423" s="267"/>
    </row>
    <row r="424" spans="1:1" ht="12.75" x14ac:dyDescent="0.2">
      <c r="A424" s="267"/>
    </row>
    <row r="425" spans="1:1" ht="12.75" x14ac:dyDescent="0.2">
      <c r="A425" s="267"/>
    </row>
    <row r="426" spans="1:1" ht="12.75" x14ac:dyDescent="0.2">
      <c r="A426" s="267"/>
    </row>
    <row r="427" spans="1:1" ht="12.75" x14ac:dyDescent="0.2">
      <c r="A427" s="267"/>
    </row>
    <row r="428" spans="1:1" ht="12.75" x14ac:dyDescent="0.2">
      <c r="A428" s="267"/>
    </row>
    <row r="429" spans="1:1" ht="12.75" x14ac:dyDescent="0.2">
      <c r="A429" s="267"/>
    </row>
    <row r="430" spans="1:1" ht="12.75" x14ac:dyDescent="0.2">
      <c r="A430" s="267"/>
    </row>
    <row r="431" spans="1:1" ht="12.75" x14ac:dyDescent="0.2">
      <c r="A431" s="267"/>
    </row>
    <row r="432" spans="1:1" ht="12.75" x14ac:dyDescent="0.2">
      <c r="A432" s="267"/>
    </row>
    <row r="433" spans="1:1" ht="12.75" x14ac:dyDescent="0.2">
      <c r="A433" s="267"/>
    </row>
    <row r="434" spans="1:1" ht="12.75" x14ac:dyDescent="0.2">
      <c r="A434" s="267"/>
    </row>
    <row r="435" spans="1:1" ht="12.75" x14ac:dyDescent="0.2">
      <c r="A435" s="267"/>
    </row>
    <row r="436" spans="1:1" ht="12.75" x14ac:dyDescent="0.2">
      <c r="A436" s="267"/>
    </row>
    <row r="437" spans="1:1" ht="12.75" x14ac:dyDescent="0.2">
      <c r="A437" s="267"/>
    </row>
    <row r="438" spans="1:1" ht="12.75" x14ac:dyDescent="0.2">
      <c r="A438" s="267"/>
    </row>
    <row r="439" spans="1:1" ht="12.75" x14ac:dyDescent="0.2">
      <c r="A439" s="267"/>
    </row>
    <row r="440" spans="1:1" ht="12.75" x14ac:dyDescent="0.2">
      <c r="A440" s="267"/>
    </row>
    <row r="441" spans="1:1" ht="12.75" x14ac:dyDescent="0.2">
      <c r="A441" s="267"/>
    </row>
    <row r="442" spans="1:1" ht="12.75" x14ac:dyDescent="0.2">
      <c r="A442" s="267"/>
    </row>
    <row r="443" spans="1:1" ht="12.75" x14ac:dyDescent="0.2">
      <c r="A443" s="267"/>
    </row>
    <row r="444" spans="1:1" ht="12.75" x14ac:dyDescent="0.2">
      <c r="A444" s="267"/>
    </row>
    <row r="445" spans="1:1" ht="12.75" x14ac:dyDescent="0.2">
      <c r="A445" s="267"/>
    </row>
    <row r="446" spans="1:1" ht="12.75" x14ac:dyDescent="0.2">
      <c r="A446" s="267"/>
    </row>
    <row r="447" spans="1:1" ht="12.75" x14ac:dyDescent="0.2">
      <c r="A447" s="267"/>
    </row>
    <row r="448" spans="1:1" ht="12.75" x14ac:dyDescent="0.2">
      <c r="A448" s="267"/>
    </row>
    <row r="449" spans="1:1" ht="12.75" x14ac:dyDescent="0.2">
      <c r="A449" s="267"/>
    </row>
    <row r="450" spans="1:1" ht="12.75" x14ac:dyDescent="0.2">
      <c r="A450" s="267"/>
    </row>
    <row r="451" spans="1:1" ht="12.75" x14ac:dyDescent="0.2">
      <c r="A451" s="267"/>
    </row>
    <row r="452" spans="1:1" ht="12.75" x14ac:dyDescent="0.2">
      <c r="A452" s="267"/>
    </row>
    <row r="453" spans="1:1" ht="12.75" x14ac:dyDescent="0.2">
      <c r="A453" s="267"/>
    </row>
    <row r="454" spans="1:1" ht="12.75" x14ac:dyDescent="0.2">
      <c r="A454" s="267"/>
    </row>
    <row r="455" spans="1:1" ht="12.75" x14ac:dyDescent="0.2">
      <c r="A455" s="267"/>
    </row>
    <row r="456" spans="1:1" ht="12.75" x14ac:dyDescent="0.2">
      <c r="A456" s="267"/>
    </row>
    <row r="457" spans="1:1" ht="12.75" x14ac:dyDescent="0.2">
      <c r="A457" s="267"/>
    </row>
    <row r="458" spans="1:1" ht="12.75" x14ac:dyDescent="0.2">
      <c r="A458" s="267"/>
    </row>
    <row r="459" spans="1:1" ht="12.75" x14ac:dyDescent="0.2">
      <c r="A459" s="267"/>
    </row>
    <row r="460" spans="1:1" ht="12.75" x14ac:dyDescent="0.2">
      <c r="A460" s="267"/>
    </row>
    <row r="461" spans="1:1" ht="12.75" x14ac:dyDescent="0.2">
      <c r="A461" s="267"/>
    </row>
    <row r="462" spans="1:1" ht="12.75" x14ac:dyDescent="0.2">
      <c r="A462" s="267"/>
    </row>
    <row r="463" spans="1:1" ht="12.75" x14ac:dyDescent="0.2">
      <c r="A463" s="267"/>
    </row>
    <row r="464" spans="1:1" ht="12.75" x14ac:dyDescent="0.2">
      <c r="A464" s="267"/>
    </row>
    <row r="465" spans="1:1" ht="12.75" x14ac:dyDescent="0.2">
      <c r="A465" s="267"/>
    </row>
    <row r="466" spans="1:1" ht="12.75" x14ac:dyDescent="0.2">
      <c r="A466" s="267"/>
    </row>
    <row r="467" spans="1:1" ht="12.75" x14ac:dyDescent="0.2">
      <c r="A467" s="267"/>
    </row>
    <row r="468" spans="1:1" ht="12.75" x14ac:dyDescent="0.2">
      <c r="A468" s="267"/>
    </row>
    <row r="469" spans="1:1" ht="12.75" x14ac:dyDescent="0.2">
      <c r="A469" s="267"/>
    </row>
    <row r="470" spans="1:1" ht="12.75" x14ac:dyDescent="0.2">
      <c r="A470" s="267"/>
    </row>
    <row r="471" spans="1:1" ht="12.75" x14ac:dyDescent="0.2">
      <c r="A471" s="267"/>
    </row>
    <row r="472" spans="1:1" ht="12.75" x14ac:dyDescent="0.2">
      <c r="A472" s="267"/>
    </row>
    <row r="473" spans="1:1" ht="12.75" x14ac:dyDescent="0.2">
      <c r="A473" s="267"/>
    </row>
    <row r="474" spans="1:1" ht="12.75" x14ac:dyDescent="0.2">
      <c r="A474" s="267"/>
    </row>
    <row r="475" spans="1:1" ht="12.75" x14ac:dyDescent="0.2">
      <c r="A475" s="267"/>
    </row>
    <row r="476" spans="1:1" ht="12.75" x14ac:dyDescent="0.2">
      <c r="A476" s="267"/>
    </row>
    <row r="477" spans="1:1" ht="12.75" x14ac:dyDescent="0.2">
      <c r="A477" s="267"/>
    </row>
    <row r="478" spans="1:1" ht="12.75" x14ac:dyDescent="0.2">
      <c r="A478" s="267"/>
    </row>
    <row r="479" spans="1:1" ht="12.75" x14ac:dyDescent="0.2">
      <c r="A479" s="267"/>
    </row>
    <row r="480" spans="1:1" ht="12.75" x14ac:dyDescent="0.2">
      <c r="A480" s="267"/>
    </row>
    <row r="481" spans="1:1" ht="12.75" x14ac:dyDescent="0.2">
      <c r="A481" s="267"/>
    </row>
    <row r="482" spans="1:1" ht="12.75" x14ac:dyDescent="0.2">
      <c r="A482" s="267"/>
    </row>
    <row r="483" spans="1:1" ht="12.75" x14ac:dyDescent="0.2">
      <c r="A483" s="267"/>
    </row>
    <row r="484" spans="1:1" ht="12.75" x14ac:dyDescent="0.2">
      <c r="A484" s="267"/>
    </row>
    <row r="485" spans="1:1" ht="12.75" x14ac:dyDescent="0.2">
      <c r="A485" s="267"/>
    </row>
    <row r="486" spans="1:1" ht="12.75" x14ac:dyDescent="0.2">
      <c r="A486" s="267"/>
    </row>
    <row r="487" spans="1:1" ht="12.75" x14ac:dyDescent="0.2">
      <c r="A487" s="267"/>
    </row>
    <row r="488" spans="1:1" ht="12.75" x14ac:dyDescent="0.2">
      <c r="A488" s="267"/>
    </row>
    <row r="489" spans="1:1" ht="12.75" x14ac:dyDescent="0.2">
      <c r="A489" s="267"/>
    </row>
    <row r="490" spans="1:1" ht="12.75" x14ac:dyDescent="0.2">
      <c r="A490" s="267"/>
    </row>
    <row r="491" spans="1:1" ht="12.75" x14ac:dyDescent="0.2">
      <c r="A491" s="267"/>
    </row>
    <row r="492" spans="1:1" ht="12.75" x14ac:dyDescent="0.2">
      <c r="A492" s="267"/>
    </row>
    <row r="493" spans="1:1" ht="12.75" x14ac:dyDescent="0.2">
      <c r="A493" s="267"/>
    </row>
    <row r="494" spans="1:1" ht="12.75" x14ac:dyDescent="0.2">
      <c r="A494" s="267"/>
    </row>
    <row r="495" spans="1:1" ht="12.75" x14ac:dyDescent="0.2">
      <c r="A495" s="267"/>
    </row>
    <row r="496" spans="1:1" ht="12.75" x14ac:dyDescent="0.2">
      <c r="A496" s="267"/>
    </row>
    <row r="497" spans="1:1" ht="12.75" x14ac:dyDescent="0.2">
      <c r="A497" s="267"/>
    </row>
    <row r="498" spans="1:1" ht="12.75" x14ac:dyDescent="0.2">
      <c r="A498" s="267"/>
    </row>
    <row r="499" spans="1:1" ht="12.75" x14ac:dyDescent="0.2">
      <c r="A499" s="267"/>
    </row>
    <row r="500" spans="1:1" ht="12.75" x14ac:dyDescent="0.2">
      <c r="A500" s="267"/>
    </row>
    <row r="501" spans="1:1" ht="12.75" x14ac:dyDescent="0.2">
      <c r="A501" s="267"/>
    </row>
    <row r="502" spans="1:1" ht="12.75" x14ac:dyDescent="0.2">
      <c r="A502" s="267"/>
    </row>
    <row r="503" spans="1:1" ht="12.75" x14ac:dyDescent="0.2">
      <c r="A503" s="267"/>
    </row>
    <row r="504" spans="1:1" ht="12.75" x14ac:dyDescent="0.2">
      <c r="A504" s="267"/>
    </row>
    <row r="505" spans="1:1" ht="12.75" x14ac:dyDescent="0.2">
      <c r="A505" s="267"/>
    </row>
    <row r="506" spans="1:1" ht="12.75" x14ac:dyDescent="0.2">
      <c r="A506" s="267"/>
    </row>
    <row r="507" spans="1:1" ht="12.75" x14ac:dyDescent="0.2">
      <c r="A507" s="267"/>
    </row>
    <row r="508" spans="1:1" ht="12.75" x14ac:dyDescent="0.2">
      <c r="A508" s="267"/>
    </row>
    <row r="509" spans="1:1" ht="12.75" x14ac:dyDescent="0.2">
      <c r="A509" s="267"/>
    </row>
    <row r="510" spans="1:1" ht="12.75" x14ac:dyDescent="0.2">
      <c r="A510" s="267"/>
    </row>
    <row r="511" spans="1:1" ht="12.75" x14ac:dyDescent="0.2">
      <c r="A511" s="267"/>
    </row>
    <row r="512" spans="1:1" ht="12.75" x14ac:dyDescent="0.2">
      <c r="A512" s="267"/>
    </row>
    <row r="513" spans="1:1" ht="12.75" x14ac:dyDescent="0.2">
      <c r="A513" s="267"/>
    </row>
    <row r="514" spans="1:1" ht="12.75" x14ac:dyDescent="0.2">
      <c r="A514" s="267"/>
    </row>
    <row r="515" spans="1:1" ht="12.75" x14ac:dyDescent="0.2">
      <c r="A515" s="267"/>
    </row>
    <row r="516" spans="1:1" ht="12.75" x14ac:dyDescent="0.2">
      <c r="A516" s="267"/>
    </row>
    <row r="517" spans="1:1" ht="12.75" x14ac:dyDescent="0.2">
      <c r="A517" s="267"/>
    </row>
    <row r="518" spans="1:1" ht="12.75" x14ac:dyDescent="0.2">
      <c r="A518" s="267"/>
    </row>
    <row r="519" spans="1:1" ht="12.75" x14ac:dyDescent="0.2">
      <c r="A519" s="267"/>
    </row>
    <row r="520" spans="1:1" ht="12.75" x14ac:dyDescent="0.2">
      <c r="A520" s="267"/>
    </row>
    <row r="521" spans="1:1" ht="12.75" x14ac:dyDescent="0.2">
      <c r="A521" s="267"/>
    </row>
    <row r="522" spans="1:1" ht="12.75" x14ac:dyDescent="0.2">
      <c r="A522" s="267"/>
    </row>
    <row r="523" spans="1:1" ht="12.75" x14ac:dyDescent="0.2">
      <c r="A523" s="267"/>
    </row>
    <row r="524" spans="1:1" ht="12.75" x14ac:dyDescent="0.2">
      <c r="A524" s="267"/>
    </row>
    <row r="525" spans="1:1" ht="12.75" x14ac:dyDescent="0.2">
      <c r="A525" s="267"/>
    </row>
    <row r="526" spans="1:1" ht="12.75" x14ac:dyDescent="0.2">
      <c r="A526" s="267"/>
    </row>
    <row r="527" spans="1:1" ht="12.75" x14ac:dyDescent="0.2">
      <c r="A527" s="267"/>
    </row>
    <row r="528" spans="1:1" ht="12.75" x14ac:dyDescent="0.2">
      <c r="A528" s="267"/>
    </row>
    <row r="529" spans="1:1" ht="12.75" x14ac:dyDescent="0.2">
      <c r="A529" s="267"/>
    </row>
    <row r="530" spans="1:1" ht="12.75" x14ac:dyDescent="0.2">
      <c r="A530" s="267"/>
    </row>
    <row r="531" spans="1:1" ht="12.75" x14ac:dyDescent="0.2">
      <c r="A531" s="267"/>
    </row>
    <row r="532" spans="1:1" ht="12.75" x14ac:dyDescent="0.2">
      <c r="A532" s="267"/>
    </row>
    <row r="533" spans="1:1" ht="12.75" x14ac:dyDescent="0.2">
      <c r="A533" s="267"/>
    </row>
    <row r="534" spans="1:1" ht="12.75" x14ac:dyDescent="0.2">
      <c r="A534" s="267"/>
    </row>
    <row r="535" spans="1:1" ht="12.75" x14ac:dyDescent="0.2">
      <c r="A535" s="267"/>
    </row>
    <row r="536" spans="1:1" ht="12.75" x14ac:dyDescent="0.2">
      <c r="A536" s="267"/>
    </row>
    <row r="537" spans="1:1" ht="12.75" x14ac:dyDescent="0.2">
      <c r="A537" s="267"/>
    </row>
    <row r="538" spans="1:1" ht="12.75" x14ac:dyDescent="0.2">
      <c r="A538" s="267"/>
    </row>
    <row r="539" spans="1:1" ht="12.75" x14ac:dyDescent="0.2">
      <c r="A539" s="267"/>
    </row>
    <row r="540" spans="1:1" ht="12.75" x14ac:dyDescent="0.2">
      <c r="A540" s="267"/>
    </row>
    <row r="541" spans="1:1" ht="12.75" x14ac:dyDescent="0.2">
      <c r="A541" s="267"/>
    </row>
    <row r="542" spans="1:1" ht="12.75" x14ac:dyDescent="0.2">
      <c r="A542" s="267"/>
    </row>
    <row r="543" spans="1:1" ht="12.75" x14ac:dyDescent="0.2">
      <c r="A543" s="267"/>
    </row>
    <row r="544" spans="1:1" ht="12.75" x14ac:dyDescent="0.2">
      <c r="A544" s="267"/>
    </row>
    <row r="545" spans="1:1" ht="12.75" x14ac:dyDescent="0.2">
      <c r="A545" s="267"/>
    </row>
    <row r="546" spans="1:1" ht="12.75" x14ac:dyDescent="0.2">
      <c r="A546" s="267"/>
    </row>
    <row r="547" spans="1:1" ht="12.75" x14ac:dyDescent="0.2">
      <c r="A547" s="267"/>
    </row>
    <row r="548" spans="1:1" ht="12.75" x14ac:dyDescent="0.2">
      <c r="A548" s="267"/>
    </row>
    <row r="549" spans="1:1" ht="12.75" x14ac:dyDescent="0.2">
      <c r="A549" s="267"/>
    </row>
    <row r="550" spans="1:1" ht="12.75" x14ac:dyDescent="0.2">
      <c r="A550" s="267"/>
    </row>
    <row r="551" spans="1:1" ht="12.75" x14ac:dyDescent="0.2">
      <c r="A551" s="267"/>
    </row>
    <row r="552" spans="1:1" ht="12.75" x14ac:dyDescent="0.2">
      <c r="A552" s="267"/>
    </row>
    <row r="553" spans="1:1" ht="12.75" x14ac:dyDescent="0.2">
      <c r="A553" s="267"/>
    </row>
    <row r="554" spans="1:1" ht="12.75" x14ac:dyDescent="0.2">
      <c r="A554" s="267"/>
    </row>
    <row r="555" spans="1:1" ht="12.75" x14ac:dyDescent="0.2">
      <c r="A555" s="267"/>
    </row>
    <row r="556" spans="1:1" ht="12.75" x14ac:dyDescent="0.2">
      <c r="A556" s="267"/>
    </row>
    <row r="557" spans="1:1" ht="12.75" x14ac:dyDescent="0.2">
      <c r="A557" s="267"/>
    </row>
    <row r="558" spans="1:1" ht="12.75" x14ac:dyDescent="0.2">
      <c r="A558" s="267"/>
    </row>
    <row r="559" spans="1:1" ht="12.75" x14ac:dyDescent="0.2">
      <c r="A559" s="267"/>
    </row>
    <row r="560" spans="1:1" ht="12.75" x14ac:dyDescent="0.2">
      <c r="A560" s="267"/>
    </row>
    <row r="561" spans="1:1" ht="12.75" x14ac:dyDescent="0.2">
      <c r="A561" s="267"/>
    </row>
    <row r="562" spans="1:1" ht="12.75" x14ac:dyDescent="0.2">
      <c r="A562" s="267"/>
    </row>
    <row r="563" spans="1:1" ht="12.75" x14ac:dyDescent="0.2">
      <c r="A563" s="267"/>
    </row>
    <row r="564" spans="1:1" ht="12.75" x14ac:dyDescent="0.2">
      <c r="A564" s="267"/>
    </row>
    <row r="565" spans="1:1" ht="12.75" x14ac:dyDescent="0.2">
      <c r="A565" s="267"/>
    </row>
    <row r="566" spans="1:1" ht="12.75" x14ac:dyDescent="0.2">
      <c r="A566" s="267"/>
    </row>
    <row r="567" spans="1:1" ht="12.75" x14ac:dyDescent="0.2">
      <c r="A567" s="267"/>
    </row>
    <row r="568" spans="1:1" ht="12.75" x14ac:dyDescent="0.2">
      <c r="A568" s="267"/>
    </row>
    <row r="569" spans="1:1" ht="12.75" x14ac:dyDescent="0.2">
      <c r="A569" s="267"/>
    </row>
    <row r="570" spans="1:1" ht="12.75" x14ac:dyDescent="0.2">
      <c r="A570" s="267"/>
    </row>
    <row r="571" spans="1:1" ht="12.75" x14ac:dyDescent="0.2">
      <c r="A571" s="267"/>
    </row>
    <row r="572" spans="1:1" ht="12.75" x14ac:dyDescent="0.2">
      <c r="A572" s="267"/>
    </row>
    <row r="573" spans="1:1" ht="12.75" x14ac:dyDescent="0.2">
      <c r="A573" s="267"/>
    </row>
    <row r="574" spans="1:1" ht="12.75" x14ac:dyDescent="0.2">
      <c r="A574" s="267"/>
    </row>
    <row r="575" spans="1:1" ht="12.75" x14ac:dyDescent="0.2">
      <c r="A575" s="267"/>
    </row>
    <row r="576" spans="1:1" ht="12.75" x14ac:dyDescent="0.2">
      <c r="A576" s="267"/>
    </row>
    <row r="577" spans="1:1" ht="12.75" x14ac:dyDescent="0.2">
      <c r="A577" s="267"/>
    </row>
    <row r="578" spans="1:1" ht="12.75" x14ac:dyDescent="0.2">
      <c r="A578" s="267"/>
    </row>
    <row r="579" spans="1:1" ht="12.75" x14ac:dyDescent="0.2">
      <c r="A579" s="267"/>
    </row>
    <row r="580" spans="1:1" ht="12.75" x14ac:dyDescent="0.2">
      <c r="A580" s="267"/>
    </row>
    <row r="581" spans="1:1" ht="12.75" x14ac:dyDescent="0.2">
      <c r="A581" s="267"/>
    </row>
    <row r="582" spans="1:1" ht="12.75" x14ac:dyDescent="0.2">
      <c r="A582" s="267"/>
    </row>
    <row r="583" spans="1:1" ht="12.75" x14ac:dyDescent="0.2">
      <c r="A583" s="267"/>
    </row>
    <row r="584" spans="1:1" ht="12.75" x14ac:dyDescent="0.2">
      <c r="A584" s="267"/>
    </row>
    <row r="585" spans="1:1" ht="12.75" x14ac:dyDescent="0.2">
      <c r="A585" s="267"/>
    </row>
    <row r="586" spans="1:1" ht="12.75" x14ac:dyDescent="0.2">
      <c r="A586" s="267"/>
    </row>
    <row r="587" spans="1:1" ht="12.75" x14ac:dyDescent="0.2">
      <c r="A587" s="267"/>
    </row>
    <row r="588" spans="1:1" ht="12.75" x14ac:dyDescent="0.2">
      <c r="A588" s="267"/>
    </row>
    <row r="589" spans="1:1" ht="12.75" x14ac:dyDescent="0.2">
      <c r="A589" s="267"/>
    </row>
    <row r="590" spans="1:1" ht="12.75" x14ac:dyDescent="0.2">
      <c r="A590" s="267"/>
    </row>
    <row r="591" spans="1:1" ht="12.75" x14ac:dyDescent="0.2">
      <c r="A591" s="267"/>
    </row>
    <row r="592" spans="1:1" ht="12.75" x14ac:dyDescent="0.2">
      <c r="A592" s="267"/>
    </row>
    <row r="593" spans="1:1" ht="12.75" x14ac:dyDescent="0.2">
      <c r="A593" s="267"/>
    </row>
    <row r="594" spans="1:1" ht="12.75" x14ac:dyDescent="0.2">
      <c r="A594" s="267"/>
    </row>
    <row r="595" spans="1:1" ht="12.75" x14ac:dyDescent="0.2">
      <c r="A595" s="267"/>
    </row>
    <row r="596" spans="1:1" ht="12.75" x14ac:dyDescent="0.2">
      <c r="A596" s="267"/>
    </row>
    <row r="597" spans="1:1" ht="12.75" x14ac:dyDescent="0.2">
      <c r="A597" s="267"/>
    </row>
    <row r="598" spans="1:1" ht="12.75" x14ac:dyDescent="0.2">
      <c r="A598" s="267"/>
    </row>
    <row r="599" spans="1:1" ht="12.75" x14ac:dyDescent="0.2">
      <c r="A599" s="267"/>
    </row>
    <row r="600" spans="1:1" ht="12.75" x14ac:dyDescent="0.2">
      <c r="A600" s="267"/>
    </row>
    <row r="601" spans="1:1" ht="12.75" x14ac:dyDescent="0.2">
      <c r="A601" s="267"/>
    </row>
    <row r="602" spans="1:1" ht="12.75" x14ac:dyDescent="0.2">
      <c r="A602" s="267"/>
    </row>
    <row r="603" spans="1:1" ht="12.75" x14ac:dyDescent="0.2">
      <c r="A603" s="267"/>
    </row>
    <row r="604" spans="1:1" ht="12.75" x14ac:dyDescent="0.2">
      <c r="A604" s="267"/>
    </row>
    <row r="605" spans="1:1" ht="12.75" x14ac:dyDescent="0.2">
      <c r="A605" s="267"/>
    </row>
    <row r="606" spans="1:1" ht="12.75" x14ac:dyDescent="0.2">
      <c r="A606" s="267"/>
    </row>
    <row r="607" spans="1:1" ht="12.75" x14ac:dyDescent="0.2">
      <c r="A607" s="267"/>
    </row>
    <row r="608" spans="1:1" ht="12.75" x14ac:dyDescent="0.2">
      <c r="A608" s="267"/>
    </row>
    <row r="609" spans="1:1" ht="12.75" x14ac:dyDescent="0.2">
      <c r="A609" s="267"/>
    </row>
    <row r="610" spans="1:1" ht="12.75" x14ac:dyDescent="0.2">
      <c r="A610" s="267"/>
    </row>
    <row r="611" spans="1:1" ht="12.75" x14ac:dyDescent="0.2">
      <c r="A611" s="267"/>
    </row>
    <row r="612" spans="1:1" ht="12.75" x14ac:dyDescent="0.2">
      <c r="A612" s="267"/>
    </row>
    <row r="613" spans="1:1" ht="12.75" x14ac:dyDescent="0.2">
      <c r="A613" s="267"/>
    </row>
    <row r="614" spans="1:1" ht="12.75" x14ac:dyDescent="0.2">
      <c r="A614" s="267"/>
    </row>
    <row r="615" spans="1:1" ht="12.75" x14ac:dyDescent="0.2">
      <c r="A615" s="267"/>
    </row>
    <row r="616" spans="1:1" ht="12.75" x14ac:dyDescent="0.2">
      <c r="A616" s="267"/>
    </row>
    <row r="617" spans="1:1" ht="12.75" x14ac:dyDescent="0.2">
      <c r="A617" s="267"/>
    </row>
    <row r="618" spans="1:1" ht="12.75" x14ac:dyDescent="0.2">
      <c r="A618" s="267"/>
    </row>
    <row r="619" spans="1:1" ht="12.75" x14ac:dyDescent="0.2">
      <c r="A619" s="267"/>
    </row>
    <row r="620" spans="1:1" ht="12.75" x14ac:dyDescent="0.2">
      <c r="A620" s="267"/>
    </row>
    <row r="621" spans="1:1" ht="12.75" x14ac:dyDescent="0.2">
      <c r="A621" s="267"/>
    </row>
    <row r="622" spans="1:1" ht="12.75" x14ac:dyDescent="0.2">
      <c r="A622" s="267"/>
    </row>
    <row r="623" spans="1:1" ht="12.75" x14ac:dyDescent="0.2">
      <c r="A623" s="267"/>
    </row>
    <row r="624" spans="1:1" ht="12.75" x14ac:dyDescent="0.2">
      <c r="A624" s="267"/>
    </row>
    <row r="625" spans="1:1" ht="12.75" x14ac:dyDescent="0.2">
      <c r="A625" s="267"/>
    </row>
    <row r="626" spans="1:1" ht="12.75" x14ac:dyDescent="0.2">
      <c r="A626" s="267"/>
    </row>
    <row r="627" spans="1:1" ht="12.75" x14ac:dyDescent="0.2">
      <c r="A627" s="267"/>
    </row>
    <row r="628" spans="1:1" ht="12.75" x14ac:dyDescent="0.2">
      <c r="A628" s="267"/>
    </row>
    <row r="629" spans="1:1" ht="12.75" x14ac:dyDescent="0.2">
      <c r="A629" s="267"/>
    </row>
    <row r="630" spans="1:1" ht="12.75" x14ac:dyDescent="0.2">
      <c r="A630" s="267"/>
    </row>
    <row r="631" spans="1:1" ht="12.75" x14ac:dyDescent="0.2">
      <c r="A631" s="267"/>
    </row>
    <row r="632" spans="1:1" ht="12.75" x14ac:dyDescent="0.2">
      <c r="A632" s="267"/>
    </row>
    <row r="633" spans="1:1" ht="12.75" x14ac:dyDescent="0.2">
      <c r="A633" s="267"/>
    </row>
    <row r="634" spans="1:1" ht="12.75" x14ac:dyDescent="0.2">
      <c r="A634" s="267"/>
    </row>
    <row r="635" spans="1:1" ht="12.75" x14ac:dyDescent="0.2">
      <c r="A635" s="267"/>
    </row>
    <row r="636" spans="1:1" ht="12.75" x14ac:dyDescent="0.2">
      <c r="A636" s="267"/>
    </row>
    <row r="637" spans="1:1" ht="12.75" x14ac:dyDescent="0.2">
      <c r="A637" s="267"/>
    </row>
    <row r="638" spans="1:1" ht="12.75" x14ac:dyDescent="0.2">
      <c r="A638" s="267"/>
    </row>
    <row r="639" spans="1:1" ht="12.75" x14ac:dyDescent="0.2">
      <c r="A639" s="267"/>
    </row>
    <row r="640" spans="1:1" ht="12.75" x14ac:dyDescent="0.2">
      <c r="A640" s="267"/>
    </row>
    <row r="641" spans="1:1" ht="12.75" x14ac:dyDescent="0.2">
      <c r="A641" s="267"/>
    </row>
    <row r="642" spans="1:1" ht="12.75" x14ac:dyDescent="0.2">
      <c r="A642" s="267"/>
    </row>
    <row r="643" spans="1:1" ht="12.75" x14ac:dyDescent="0.2">
      <c r="A643" s="267"/>
    </row>
    <row r="644" spans="1:1" ht="12.75" x14ac:dyDescent="0.2">
      <c r="A644" s="267"/>
    </row>
    <row r="645" spans="1:1" ht="12.75" x14ac:dyDescent="0.2">
      <c r="A645" s="267"/>
    </row>
    <row r="646" spans="1:1" ht="12.75" x14ac:dyDescent="0.2">
      <c r="A646" s="267"/>
    </row>
    <row r="647" spans="1:1" ht="12.75" x14ac:dyDescent="0.2">
      <c r="A647" s="267"/>
    </row>
    <row r="648" spans="1:1" ht="12.75" x14ac:dyDescent="0.2">
      <c r="A648" s="267"/>
    </row>
    <row r="649" spans="1:1" ht="12.75" x14ac:dyDescent="0.2">
      <c r="A649" s="267"/>
    </row>
    <row r="650" spans="1:1" ht="12.75" x14ac:dyDescent="0.2">
      <c r="A650" s="267"/>
    </row>
    <row r="651" spans="1:1" ht="12.75" x14ac:dyDescent="0.2">
      <c r="A651" s="267"/>
    </row>
    <row r="652" spans="1:1" ht="12.75" x14ac:dyDescent="0.2">
      <c r="A652" s="267"/>
    </row>
    <row r="653" spans="1:1" ht="12.75" x14ac:dyDescent="0.2">
      <c r="A653" s="267"/>
    </row>
    <row r="654" spans="1:1" ht="12.75" x14ac:dyDescent="0.2">
      <c r="A654" s="267"/>
    </row>
    <row r="655" spans="1:1" ht="12.75" x14ac:dyDescent="0.2">
      <c r="A655" s="267"/>
    </row>
    <row r="656" spans="1:1" ht="12.75" x14ac:dyDescent="0.2">
      <c r="A656" s="267"/>
    </row>
    <row r="657" spans="1:1" ht="12.75" x14ac:dyDescent="0.2">
      <c r="A657" s="267"/>
    </row>
    <row r="658" spans="1:1" ht="12.75" x14ac:dyDescent="0.2">
      <c r="A658" s="267"/>
    </row>
    <row r="659" spans="1:1" ht="12.75" x14ac:dyDescent="0.2">
      <c r="A659" s="267"/>
    </row>
    <row r="660" spans="1:1" ht="12.75" x14ac:dyDescent="0.2">
      <c r="A660" s="267"/>
    </row>
    <row r="661" spans="1:1" ht="12.75" x14ac:dyDescent="0.2">
      <c r="A661" s="267"/>
    </row>
    <row r="662" spans="1:1" ht="12.75" x14ac:dyDescent="0.2">
      <c r="A662" s="267"/>
    </row>
    <row r="663" spans="1:1" ht="12.75" x14ac:dyDescent="0.2">
      <c r="A663" s="267"/>
    </row>
    <row r="664" spans="1:1" ht="12.75" x14ac:dyDescent="0.2">
      <c r="A664" s="267"/>
    </row>
    <row r="665" spans="1:1" ht="12.75" x14ac:dyDescent="0.2">
      <c r="A665" s="267"/>
    </row>
    <row r="666" spans="1:1" ht="12.75" x14ac:dyDescent="0.2">
      <c r="A666" s="267"/>
    </row>
    <row r="667" spans="1:1" ht="12.75" x14ac:dyDescent="0.2">
      <c r="A667" s="267"/>
    </row>
    <row r="668" spans="1:1" ht="12.75" x14ac:dyDescent="0.2">
      <c r="A668" s="267"/>
    </row>
    <row r="669" spans="1:1" ht="12.75" x14ac:dyDescent="0.2">
      <c r="A669" s="267"/>
    </row>
    <row r="670" spans="1:1" ht="12.75" x14ac:dyDescent="0.2">
      <c r="A670" s="267"/>
    </row>
    <row r="671" spans="1:1" ht="12.75" x14ac:dyDescent="0.2">
      <c r="A671" s="267"/>
    </row>
    <row r="672" spans="1:1" ht="12.75" x14ac:dyDescent="0.2">
      <c r="A672" s="267"/>
    </row>
    <row r="673" spans="1:1" ht="12.75" x14ac:dyDescent="0.2">
      <c r="A673" s="267"/>
    </row>
    <row r="674" spans="1:1" ht="12.75" x14ac:dyDescent="0.2">
      <c r="A674" s="267"/>
    </row>
    <row r="675" spans="1:1" ht="12.75" x14ac:dyDescent="0.2">
      <c r="A675" s="267"/>
    </row>
    <row r="676" spans="1:1" ht="12.75" x14ac:dyDescent="0.2">
      <c r="A676" s="267"/>
    </row>
    <row r="677" spans="1:1" ht="12.75" x14ac:dyDescent="0.2">
      <c r="A677" s="267"/>
    </row>
    <row r="678" spans="1:1" ht="12.75" x14ac:dyDescent="0.2">
      <c r="A678" s="267"/>
    </row>
    <row r="679" spans="1:1" ht="12.75" x14ac:dyDescent="0.2">
      <c r="A679" s="267"/>
    </row>
    <row r="680" spans="1:1" ht="12.75" x14ac:dyDescent="0.2">
      <c r="A680" s="267"/>
    </row>
    <row r="681" spans="1:1" ht="12.75" x14ac:dyDescent="0.2">
      <c r="A681" s="267"/>
    </row>
    <row r="682" spans="1:1" ht="12.75" x14ac:dyDescent="0.2">
      <c r="A682" s="267"/>
    </row>
    <row r="683" spans="1:1" ht="12.75" x14ac:dyDescent="0.2">
      <c r="A683" s="267"/>
    </row>
    <row r="684" spans="1:1" ht="12.75" x14ac:dyDescent="0.2">
      <c r="A684" s="267"/>
    </row>
    <row r="685" spans="1:1" ht="12.75" x14ac:dyDescent="0.2">
      <c r="A685" s="267"/>
    </row>
    <row r="686" spans="1:1" ht="12.75" x14ac:dyDescent="0.2">
      <c r="A686" s="267"/>
    </row>
    <row r="687" spans="1:1" ht="12.75" x14ac:dyDescent="0.2">
      <c r="A687" s="267"/>
    </row>
    <row r="688" spans="1:1" ht="12.75" x14ac:dyDescent="0.2">
      <c r="A688" s="267"/>
    </row>
    <row r="689" spans="1:1" ht="12.75" x14ac:dyDescent="0.2">
      <c r="A689" s="267"/>
    </row>
    <row r="690" spans="1:1" ht="12.75" x14ac:dyDescent="0.2">
      <c r="A690" s="267"/>
    </row>
    <row r="691" spans="1:1" ht="12.75" x14ac:dyDescent="0.2">
      <c r="A691" s="267"/>
    </row>
    <row r="692" spans="1:1" ht="12.75" x14ac:dyDescent="0.2">
      <c r="A692" s="267"/>
    </row>
    <row r="693" spans="1:1" ht="12.75" x14ac:dyDescent="0.2">
      <c r="A693" s="267"/>
    </row>
    <row r="694" spans="1:1" ht="12.75" x14ac:dyDescent="0.2">
      <c r="A694" s="267"/>
    </row>
    <row r="695" spans="1:1" ht="12.75" x14ac:dyDescent="0.2">
      <c r="A695" s="267"/>
    </row>
    <row r="696" spans="1:1" ht="12.75" x14ac:dyDescent="0.2">
      <c r="A696" s="267"/>
    </row>
    <row r="697" spans="1:1" ht="12.75" x14ac:dyDescent="0.2">
      <c r="A697" s="267"/>
    </row>
    <row r="698" spans="1:1" ht="12.75" x14ac:dyDescent="0.2">
      <c r="A698" s="267"/>
    </row>
    <row r="699" spans="1:1" ht="12.75" x14ac:dyDescent="0.2">
      <c r="A699" s="267"/>
    </row>
    <row r="700" spans="1:1" ht="12.75" x14ac:dyDescent="0.2">
      <c r="A700" s="267"/>
    </row>
    <row r="701" spans="1:1" ht="12.75" x14ac:dyDescent="0.2">
      <c r="A701" s="267"/>
    </row>
    <row r="702" spans="1:1" ht="12.75" x14ac:dyDescent="0.2">
      <c r="A702" s="267"/>
    </row>
    <row r="703" spans="1:1" ht="12.75" x14ac:dyDescent="0.2">
      <c r="A703" s="267"/>
    </row>
    <row r="704" spans="1:1" ht="12.75" x14ac:dyDescent="0.2">
      <c r="A704" s="267"/>
    </row>
    <row r="705" spans="1:1" ht="12.75" x14ac:dyDescent="0.2">
      <c r="A705" s="267"/>
    </row>
    <row r="706" spans="1:1" ht="12.75" x14ac:dyDescent="0.2">
      <c r="A706" s="267"/>
    </row>
    <row r="707" spans="1:1" ht="12.75" x14ac:dyDescent="0.2">
      <c r="A707" s="267"/>
    </row>
    <row r="708" spans="1:1" ht="12.75" x14ac:dyDescent="0.2">
      <c r="A708" s="267"/>
    </row>
    <row r="709" spans="1:1" ht="12.75" x14ac:dyDescent="0.2">
      <c r="A709" s="267"/>
    </row>
    <row r="710" spans="1:1" ht="12.75" x14ac:dyDescent="0.2">
      <c r="A710" s="267"/>
    </row>
    <row r="711" spans="1:1" ht="12.75" x14ac:dyDescent="0.2">
      <c r="A711" s="267"/>
    </row>
    <row r="712" spans="1:1" ht="12.75" x14ac:dyDescent="0.2">
      <c r="A712" s="267"/>
    </row>
    <row r="713" spans="1:1" ht="12.75" x14ac:dyDescent="0.2">
      <c r="A713" s="267"/>
    </row>
    <row r="714" spans="1:1" ht="12.75" x14ac:dyDescent="0.2">
      <c r="A714" s="267"/>
    </row>
    <row r="715" spans="1:1" ht="12.75" x14ac:dyDescent="0.2">
      <c r="A715" s="267"/>
    </row>
    <row r="716" spans="1:1" ht="12.75" x14ac:dyDescent="0.2">
      <c r="A716" s="267"/>
    </row>
    <row r="717" spans="1:1" ht="12.75" x14ac:dyDescent="0.2">
      <c r="A717" s="267"/>
    </row>
    <row r="718" spans="1:1" ht="12.75" x14ac:dyDescent="0.2">
      <c r="A718" s="267"/>
    </row>
    <row r="719" spans="1:1" ht="12.75" x14ac:dyDescent="0.2">
      <c r="A719" s="267"/>
    </row>
    <row r="720" spans="1:1" ht="12.75" x14ac:dyDescent="0.2">
      <c r="A720" s="267"/>
    </row>
    <row r="721" spans="1:1" ht="12.75" x14ac:dyDescent="0.2">
      <c r="A721" s="267"/>
    </row>
    <row r="722" spans="1:1" ht="12.75" x14ac:dyDescent="0.2">
      <c r="A722" s="267"/>
    </row>
    <row r="723" spans="1:1" ht="12.75" x14ac:dyDescent="0.2">
      <c r="A723" s="267"/>
    </row>
    <row r="724" spans="1:1" ht="12.75" x14ac:dyDescent="0.2">
      <c r="A724" s="267"/>
    </row>
    <row r="725" spans="1:1" ht="12.75" x14ac:dyDescent="0.2">
      <c r="A725" s="267"/>
    </row>
    <row r="726" spans="1:1" ht="12.75" x14ac:dyDescent="0.2">
      <c r="A726" s="267"/>
    </row>
    <row r="727" spans="1:1" ht="12.75" x14ac:dyDescent="0.2">
      <c r="A727" s="267"/>
    </row>
    <row r="728" spans="1:1" ht="12.75" x14ac:dyDescent="0.2">
      <c r="A728" s="267"/>
    </row>
    <row r="729" spans="1:1" ht="12.75" x14ac:dyDescent="0.2">
      <c r="A729" s="267"/>
    </row>
    <row r="730" spans="1:1" ht="12.75" x14ac:dyDescent="0.2">
      <c r="A730" s="267"/>
    </row>
    <row r="731" spans="1:1" ht="12.75" x14ac:dyDescent="0.2">
      <c r="A731" s="267"/>
    </row>
    <row r="732" spans="1:1" ht="12.75" x14ac:dyDescent="0.2">
      <c r="A732" s="267"/>
    </row>
    <row r="733" spans="1:1" ht="12.75" x14ac:dyDescent="0.2">
      <c r="A733" s="267"/>
    </row>
    <row r="734" spans="1:1" ht="12.75" x14ac:dyDescent="0.2">
      <c r="A734" s="267"/>
    </row>
    <row r="735" spans="1:1" ht="12.75" x14ac:dyDescent="0.2">
      <c r="A735" s="267"/>
    </row>
    <row r="736" spans="1:1" ht="12.75" x14ac:dyDescent="0.2">
      <c r="A736" s="267"/>
    </row>
    <row r="737" spans="1:1" ht="12.75" x14ac:dyDescent="0.2">
      <c r="A737" s="267"/>
    </row>
    <row r="738" spans="1:1" ht="12.75" x14ac:dyDescent="0.2">
      <c r="A738" s="267"/>
    </row>
    <row r="739" spans="1:1" ht="12.75" x14ac:dyDescent="0.2">
      <c r="A739" s="267"/>
    </row>
    <row r="740" spans="1:1" ht="12.75" x14ac:dyDescent="0.2">
      <c r="A740" s="267"/>
    </row>
    <row r="741" spans="1:1" ht="12.75" x14ac:dyDescent="0.2">
      <c r="A741" s="267"/>
    </row>
    <row r="742" spans="1:1" ht="12.75" x14ac:dyDescent="0.2">
      <c r="A742" s="267"/>
    </row>
    <row r="743" spans="1:1" ht="12.75" x14ac:dyDescent="0.2">
      <c r="A743" s="267"/>
    </row>
    <row r="744" spans="1:1" ht="12.75" x14ac:dyDescent="0.2">
      <c r="A744" s="267"/>
    </row>
    <row r="745" spans="1:1" ht="12.75" x14ac:dyDescent="0.2">
      <c r="A745" s="267"/>
    </row>
    <row r="746" spans="1:1" ht="12.75" x14ac:dyDescent="0.2">
      <c r="A746" s="267"/>
    </row>
    <row r="747" spans="1:1" ht="12.75" x14ac:dyDescent="0.2">
      <c r="A747" s="267"/>
    </row>
    <row r="748" spans="1:1" ht="12.75" x14ac:dyDescent="0.2">
      <c r="A748" s="267"/>
    </row>
    <row r="749" spans="1:1" ht="12.75" x14ac:dyDescent="0.2">
      <c r="A749" s="267"/>
    </row>
    <row r="750" spans="1:1" ht="12.75" x14ac:dyDescent="0.2">
      <c r="A750" s="267"/>
    </row>
    <row r="751" spans="1:1" ht="12.75" x14ac:dyDescent="0.2">
      <c r="A751" s="267"/>
    </row>
    <row r="752" spans="1:1" ht="12.75" x14ac:dyDescent="0.2">
      <c r="A752" s="267"/>
    </row>
    <row r="753" spans="1:1" ht="12.75" x14ac:dyDescent="0.2">
      <c r="A753" s="267"/>
    </row>
    <row r="754" spans="1:1" ht="12.75" x14ac:dyDescent="0.2">
      <c r="A754" s="267"/>
    </row>
    <row r="755" spans="1:1" ht="12.75" x14ac:dyDescent="0.2">
      <c r="A755" s="267"/>
    </row>
    <row r="756" spans="1:1" ht="12.75" x14ac:dyDescent="0.2">
      <c r="A756" s="267"/>
    </row>
    <row r="757" spans="1:1" ht="12.75" x14ac:dyDescent="0.2">
      <c r="A757" s="267"/>
    </row>
    <row r="758" spans="1:1" ht="12.75" x14ac:dyDescent="0.2">
      <c r="A758" s="267"/>
    </row>
    <row r="759" spans="1:1" ht="12.75" x14ac:dyDescent="0.2">
      <c r="A759" s="267"/>
    </row>
    <row r="760" spans="1:1" ht="12.75" x14ac:dyDescent="0.2">
      <c r="A760" s="267"/>
    </row>
    <row r="761" spans="1:1" ht="12.75" x14ac:dyDescent="0.2">
      <c r="A761" s="267"/>
    </row>
    <row r="762" spans="1:1" ht="12.75" x14ac:dyDescent="0.2">
      <c r="A762" s="267"/>
    </row>
    <row r="763" spans="1:1" ht="12.75" x14ac:dyDescent="0.2">
      <c r="A763" s="267"/>
    </row>
    <row r="764" spans="1:1" ht="12.75" x14ac:dyDescent="0.2">
      <c r="A764" s="267"/>
    </row>
    <row r="765" spans="1:1" ht="12.75" x14ac:dyDescent="0.2">
      <c r="A765" s="267"/>
    </row>
    <row r="766" spans="1:1" ht="12.75" x14ac:dyDescent="0.2">
      <c r="A766" s="267"/>
    </row>
    <row r="767" spans="1:1" ht="12.75" x14ac:dyDescent="0.2">
      <c r="A767" s="267"/>
    </row>
    <row r="768" spans="1:1" ht="12.75" x14ac:dyDescent="0.2">
      <c r="A768" s="267"/>
    </row>
    <row r="769" spans="1:1" ht="12.75" x14ac:dyDescent="0.2">
      <c r="A769" s="267"/>
    </row>
    <row r="770" spans="1:1" ht="12.75" x14ac:dyDescent="0.2">
      <c r="A770" s="267"/>
    </row>
    <row r="771" spans="1:1" ht="12.75" x14ac:dyDescent="0.2">
      <c r="A771" s="267"/>
    </row>
    <row r="772" spans="1:1" ht="12.75" x14ac:dyDescent="0.2">
      <c r="A772" s="267"/>
    </row>
    <row r="773" spans="1:1" ht="12.75" x14ac:dyDescent="0.2">
      <c r="A773" s="267"/>
    </row>
    <row r="774" spans="1:1" ht="12.75" x14ac:dyDescent="0.2">
      <c r="A774" s="267"/>
    </row>
    <row r="775" spans="1:1" ht="12.75" x14ac:dyDescent="0.2">
      <c r="A775" s="267"/>
    </row>
    <row r="776" spans="1:1" ht="12.75" x14ac:dyDescent="0.2">
      <c r="A776" s="267"/>
    </row>
    <row r="777" spans="1:1" ht="12.75" x14ac:dyDescent="0.2">
      <c r="A777" s="267"/>
    </row>
    <row r="778" spans="1:1" ht="12.75" x14ac:dyDescent="0.2">
      <c r="A778" s="267"/>
    </row>
    <row r="779" spans="1:1" ht="12.75" x14ac:dyDescent="0.2">
      <c r="A779" s="267"/>
    </row>
    <row r="780" spans="1:1" ht="12.75" x14ac:dyDescent="0.2">
      <c r="A780" s="267"/>
    </row>
    <row r="781" spans="1:1" ht="12.75" x14ac:dyDescent="0.2">
      <c r="A781" s="267"/>
    </row>
    <row r="782" spans="1:1" ht="12.75" x14ac:dyDescent="0.2">
      <c r="A782" s="267"/>
    </row>
    <row r="783" spans="1:1" ht="12.75" x14ac:dyDescent="0.2">
      <c r="A783" s="267"/>
    </row>
    <row r="784" spans="1:1" ht="12.75" x14ac:dyDescent="0.2">
      <c r="A784" s="267"/>
    </row>
    <row r="785" spans="1:1" ht="12.75" x14ac:dyDescent="0.2">
      <c r="A785" s="267"/>
    </row>
    <row r="786" spans="1:1" ht="12.75" x14ac:dyDescent="0.2">
      <c r="A786" s="267"/>
    </row>
    <row r="787" spans="1:1" ht="12.75" x14ac:dyDescent="0.2">
      <c r="A787" s="267"/>
    </row>
    <row r="788" spans="1:1" ht="12.75" x14ac:dyDescent="0.2">
      <c r="A788" s="267"/>
    </row>
    <row r="789" spans="1:1" ht="12.75" x14ac:dyDescent="0.2">
      <c r="A789" s="267"/>
    </row>
    <row r="790" spans="1:1" ht="12.75" x14ac:dyDescent="0.2">
      <c r="A790" s="267"/>
    </row>
    <row r="791" spans="1:1" ht="12.75" x14ac:dyDescent="0.2">
      <c r="A791" s="267"/>
    </row>
    <row r="792" spans="1:1" ht="12.75" x14ac:dyDescent="0.2">
      <c r="A792" s="267"/>
    </row>
    <row r="793" spans="1:1" ht="12.75" x14ac:dyDescent="0.2">
      <c r="A793" s="267"/>
    </row>
    <row r="794" spans="1:1" ht="12.75" x14ac:dyDescent="0.2">
      <c r="A794" s="267"/>
    </row>
    <row r="795" spans="1:1" ht="12.75" x14ac:dyDescent="0.2">
      <c r="A795" s="267"/>
    </row>
    <row r="796" spans="1:1" ht="12.75" x14ac:dyDescent="0.2">
      <c r="A796" s="267"/>
    </row>
    <row r="797" spans="1:1" ht="12.75" x14ac:dyDescent="0.2">
      <c r="A797" s="267"/>
    </row>
    <row r="798" spans="1:1" ht="12.75" x14ac:dyDescent="0.2">
      <c r="A798" s="267"/>
    </row>
    <row r="799" spans="1:1" ht="12.75" x14ac:dyDescent="0.2">
      <c r="A799" s="267"/>
    </row>
    <row r="800" spans="1:1" ht="12.75" x14ac:dyDescent="0.2">
      <c r="A800" s="267"/>
    </row>
    <row r="801" spans="1:1" ht="12.75" x14ac:dyDescent="0.2">
      <c r="A801" s="267"/>
    </row>
    <row r="802" spans="1:1" ht="12.75" x14ac:dyDescent="0.2">
      <c r="A802" s="267"/>
    </row>
    <row r="803" spans="1:1" ht="12.75" x14ac:dyDescent="0.2">
      <c r="A803" s="267"/>
    </row>
    <row r="804" spans="1:1" ht="12.75" x14ac:dyDescent="0.2">
      <c r="A804" s="267"/>
    </row>
    <row r="805" spans="1:1" ht="12.75" x14ac:dyDescent="0.2">
      <c r="A805" s="267"/>
    </row>
    <row r="806" spans="1:1" ht="12.75" x14ac:dyDescent="0.2">
      <c r="A806" s="267"/>
    </row>
    <row r="807" spans="1:1" ht="12.75" x14ac:dyDescent="0.2">
      <c r="A807" s="267"/>
    </row>
    <row r="808" spans="1:1" ht="12.75" x14ac:dyDescent="0.2">
      <c r="A808" s="267"/>
    </row>
    <row r="809" spans="1:1" ht="12.75" x14ac:dyDescent="0.2">
      <c r="A809" s="267"/>
    </row>
    <row r="810" spans="1:1" ht="12.75" x14ac:dyDescent="0.2">
      <c r="A810" s="267"/>
    </row>
    <row r="811" spans="1:1" ht="12.75" x14ac:dyDescent="0.2">
      <c r="A811" s="267"/>
    </row>
    <row r="812" spans="1:1" ht="12.75" x14ac:dyDescent="0.2">
      <c r="A812" s="267"/>
    </row>
    <row r="813" spans="1:1" ht="12.75" x14ac:dyDescent="0.2">
      <c r="A813" s="267"/>
    </row>
    <row r="814" spans="1:1" ht="12.75" x14ac:dyDescent="0.2">
      <c r="A814" s="267"/>
    </row>
    <row r="815" spans="1:1" ht="12.75" x14ac:dyDescent="0.2">
      <c r="A815" s="267"/>
    </row>
    <row r="816" spans="1:1" ht="12.75" x14ac:dyDescent="0.2">
      <c r="A816" s="267"/>
    </row>
    <row r="817" spans="1:1" ht="12.75" x14ac:dyDescent="0.2">
      <c r="A817" s="267"/>
    </row>
    <row r="818" spans="1:1" ht="12.75" x14ac:dyDescent="0.2">
      <c r="A818" s="267"/>
    </row>
    <row r="819" spans="1:1" ht="12.75" x14ac:dyDescent="0.2">
      <c r="A819" s="267"/>
    </row>
    <row r="820" spans="1:1" ht="12.75" x14ac:dyDescent="0.2">
      <c r="A820" s="267"/>
    </row>
    <row r="821" spans="1:1" ht="12.75" x14ac:dyDescent="0.2">
      <c r="A821" s="267"/>
    </row>
    <row r="822" spans="1:1" ht="12.75" x14ac:dyDescent="0.2">
      <c r="A822" s="267"/>
    </row>
    <row r="823" spans="1:1" ht="12.75" x14ac:dyDescent="0.2">
      <c r="A823" s="267"/>
    </row>
    <row r="824" spans="1:1" ht="12.75" x14ac:dyDescent="0.2">
      <c r="A824" s="267"/>
    </row>
    <row r="825" spans="1:1" ht="12.75" x14ac:dyDescent="0.2">
      <c r="A825" s="267"/>
    </row>
    <row r="826" spans="1:1" ht="12.75" x14ac:dyDescent="0.2">
      <c r="A826" s="267"/>
    </row>
    <row r="827" spans="1:1" ht="12.75" x14ac:dyDescent="0.2">
      <c r="A827" s="267"/>
    </row>
    <row r="828" spans="1:1" ht="12.75" x14ac:dyDescent="0.2">
      <c r="A828" s="267"/>
    </row>
    <row r="829" spans="1:1" ht="12.75" x14ac:dyDescent="0.2">
      <c r="A829" s="267"/>
    </row>
    <row r="830" spans="1:1" ht="12.75" x14ac:dyDescent="0.2">
      <c r="A830" s="267"/>
    </row>
    <row r="831" spans="1:1" ht="12.75" x14ac:dyDescent="0.2">
      <c r="A831" s="267"/>
    </row>
    <row r="832" spans="1:1" ht="12.75" x14ac:dyDescent="0.2">
      <c r="A832" s="267"/>
    </row>
    <row r="833" spans="1:1" ht="12.75" x14ac:dyDescent="0.2">
      <c r="A833" s="267"/>
    </row>
    <row r="834" spans="1:1" ht="12.75" x14ac:dyDescent="0.2">
      <c r="A834" s="267"/>
    </row>
    <row r="835" spans="1:1" ht="12.75" x14ac:dyDescent="0.2">
      <c r="A835" s="267"/>
    </row>
    <row r="836" spans="1:1" ht="12.75" x14ac:dyDescent="0.2">
      <c r="A836" s="267"/>
    </row>
    <row r="837" spans="1:1" ht="12.75" x14ac:dyDescent="0.2">
      <c r="A837" s="267"/>
    </row>
    <row r="838" spans="1:1" ht="12.75" x14ac:dyDescent="0.2">
      <c r="A838" s="267"/>
    </row>
    <row r="839" spans="1:1" ht="12.75" x14ac:dyDescent="0.2">
      <c r="A839" s="267"/>
    </row>
    <row r="840" spans="1:1" ht="12.75" x14ac:dyDescent="0.2">
      <c r="A840" s="267"/>
    </row>
    <row r="841" spans="1:1" ht="12.75" x14ac:dyDescent="0.2">
      <c r="A841" s="267"/>
    </row>
    <row r="842" spans="1:1" ht="12.75" x14ac:dyDescent="0.2">
      <c r="A842" s="267"/>
    </row>
    <row r="843" spans="1:1" ht="12.75" x14ac:dyDescent="0.2">
      <c r="A843" s="267"/>
    </row>
    <row r="844" spans="1:1" ht="12.75" x14ac:dyDescent="0.2">
      <c r="A844" s="267"/>
    </row>
    <row r="845" spans="1:1" ht="12.75" x14ac:dyDescent="0.2">
      <c r="A845" s="267"/>
    </row>
    <row r="846" spans="1:1" ht="12.75" x14ac:dyDescent="0.2">
      <c r="A846" s="267"/>
    </row>
    <row r="847" spans="1:1" ht="12.75" x14ac:dyDescent="0.2">
      <c r="A847" s="267"/>
    </row>
    <row r="848" spans="1:1" ht="12.75" x14ac:dyDescent="0.2">
      <c r="A848" s="267"/>
    </row>
    <row r="849" spans="1:1" ht="12.75" x14ac:dyDescent="0.2">
      <c r="A849" s="267"/>
    </row>
    <row r="850" spans="1:1" ht="12.75" x14ac:dyDescent="0.2">
      <c r="A850" s="267"/>
    </row>
    <row r="851" spans="1:1" ht="12.75" x14ac:dyDescent="0.2">
      <c r="A851" s="267"/>
    </row>
    <row r="852" spans="1:1" ht="12.75" x14ac:dyDescent="0.2">
      <c r="A852" s="267"/>
    </row>
    <row r="853" spans="1:1" ht="12.75" x14ac:dyDescent="0.2">
      <c r="A853" s="267"/>
    </row>
    <row r="854" spans="1:1" ht="12.75" x14ac:dyDescent="0.2">
      <c r="A854" s="267"/>
    </row>
    <row r="855" spans="1:1" ht="12.75" x14ac:dyDescent="0.2">
      <c r="A855" s="267"/>
    </row>
    <row r="856" spans="1:1" ht="12.75" x14ac:dyDescent="0.2">
      <c r="A856" s="267"/>
    </row>
    <row r="857" spans="1:1" ht="12.75" x14ac:dyDescent="0.2">
      <c r="A857" s="267"/>
    </row>
    <row r="858" spans="1:1" ht="12.75" x14ac:dyDescent="0.2">
      <c r="A858" s="267"/>
    </row>
    <row r="859" spans="1:1" ht="12.75" x14ac:dyDescent="0.2">
      <c r="A859" s="267"/>
    </row>
    <row r="860" spans="1:1" ht="12.75" x14ac:dyDescent="0.2">
      <c r="A860" s="267"/>
    </row>
    <row r="861" spans="1:1" ht="12.75" x14ac:dyDescent="0.2">
      <c r="A861" s="267"/>
    </row>
    <row r="862" spans="1:1" ht="12.75" x14ac:dyDescent="0.2">
      <c r="A862" s="267"/>
    </row>
    <row r="863" spans="1:1" ht="12.75" x14ac:dyDescent="0.2">
      <c r="A863" s="267"/>
    </row>
    <row r="864" spans="1:1" ht="12.75" x14ac:dyDescent="0.2">
      <c r="A864" s="267"/>
    </row>
    <row r="865" spans="1:1" ht="12.75" x14ac:dyDescent="0.2">
      <c r="A865" s="267"/>
    </row>
    <row r="866" spans="1:1" ht="12.75" x14ac:dyDescent="0.2">
      <c r="A866" s="267"/>
    </row>
    <row r="867" spans="1:1" ht="12.75" x14ac:dyDescent="0.2">
      <c r="A867" s="267"/>
    </row>
    <row r="868" spans="1:1" ht="12.75" x14ac:dyDescent="0.2">
      <c r="A868" s="267"/>
    </row>
    <row r="869" spans="1:1" ht="12.75" x14ac:dyDescent="0.2">
      <c r="A869" s="267"/>
    </row>
    <row r="870" spans="1:1" ht="12.75" x14ac:dyDescent="0.2">
      <c r="A870" s="267"/>
    </row>
    <row r="871" spans="1:1" ht="12.75" x14ac:dyDescent="0.2">
      <c r="A871" s="267"/>
    </row>
    <row r="872" spans="1:1" ht="12.75" x14ac:dyDescent="0.2">
      <c r="A872" s="267"/>
    </row>
    <row r="873" spans="1:1" ht="12.75" x14ac:dyDescent="0.2">
      <c r="A873" s="267"/>
    </row>
    <row r="874" spans="1:1" ht="12.75" x14ac:dyDescent="0.2">
      <c r="A874" s="267"/>
    </row>
    <row r="875" spans="1:1" ht="12.75" x14ac:dyDescent="0.2">
      <c r="A875" s="267"/>
    </row>
    <row r="876" spans="1:1" ht="12.75" x14ac:dyDescent="0.2">
      <c r="A876" s="267"/>
    </row>
    <row r="877" spans="1:1" ht="12.75" x14ac:dyDescent="0.2">
      <c r="A877" s="267"/>
    </row>
    <row r="878" spans="1:1" ht="12.75" x14ac:dyDescent="0.2">
      <c r="A878" s="267"/>
    </row>
    <row r="879" spans="1:1" ht="12.75" x14ac:dyDescent="0.2">
      <c r="A879" s="267"/>
    </row>
    <row r="880" spans="1:1" ht="12.75" x14ac:dyDescent="0.2">
      <c r="A880" s="267"/>
    </row>
    <row r="881" spans="1:1" ht="12.75" x14ac:dyDescent="0.2">
      <c r="A881" s="267"/>
    </row>
    <row r="882" spans="1:1" ht="12.75" x14ac:dyDescent="0.2">
      <c r="A882" s="267"/>
    </row>
    <row r="883" spans="1:1" ht="12.75" x14ac:dyDescent="0.2">
      <c r="A883" s="267"/>
    </row>
    <row r="884" spans="1:1" ht="12.75" x14ac:dyDescent="0.2">
      <c r="A884" s="267"/>
    </row>
    <row r="885" spans="1:1" ht="12.75" x14ac:dyDescent="0.2">
      <c r="A885" s="267"/>
    </row>
    <row r="886" spans="1:1" ht="12.75" x14ac:dyDescent="0.2">
      <c r="A886" s="267"/>
    </row>
    <row r="887" spans="1:1" ht="12.75" x14ac:dyDescent="0.2">
      <c r="A887" s="267"/>
    </row>
    <row r="888" spans="1:1" ht="12.75" x14ac:dyDescent="0.2">
      <c r="A888" s="267"/>
    </row>
    <row r="889" spans="1:1" ht="12.75" x14ac:dyDescent="0.2">
      <c r="A889" s="267"/>
    </row>
    <row r="890" spans="1:1" ht="12.75" x14ac:dyDescent="0.2">
      <c r="A890" s="267"/>
    </row>
    <row r="891" spans="1:1" ht="12.75" x14ac:dyDescent="0.2">
      <c r="A891" s="267"/>
    </row>
    <row r="892" spans="1:1" ht="12.75" x14ac:dyDescent="0.2">
      <c r="A892" s="267"/>
    </row>
    <row r="893" spans="1:1" ht="12.75" x14ac:dyDescent="0.2">
      <c r="A893" s="267"/>
    </row>
    <row r="894" spans="1:1" ht="12.75" x14ac:dyDescent="0.2">
      <c r="A894" s="267"/>
    </row>
    <row r="895" spans="1:1" ht="12.75" x14ac:dyDescent="0.2">
      <c r="A895" s="267"/>
    </row>
    <row r="896" spans="1:1" ht="12.75" x14ac:dyDescent="0.2">
      <c r="A896" s="267"/>
    </row>
    <row r="897" spans="1:1" ht="12.75" x14ac:dyDescent="0.2">
      <c r="A897" s="267"/>
    </row>
    <row r="898" spans="1:1" ht="12.75" x14ac:dyDescent="0.2">
      <c r="A898" s="267"/>
    </row>
    <row r="899" spans="1:1" ht="12.75" x14ac:dyDescent="0.2">
      <c r="A899" s="267"/>
    </row>
    <row r="900" spans="1:1" ht="12.75" x14ac:dyDescent="0.2">
      <c r="A900" s="267"/>
    </row>
    <row r="901" spans="1:1" ht="12.75" x14ac:dyDescent="0.2">
      <c r="A901" s="267"/>
    </row>
    <row r="902" spans="1:1" ht="12.75" x14ac:dyDescent="0.2">
      <c r="A902" s="267"/>
    </row>
    <row r="903" spans="1:1" ht="12.75" x14ac:dyDescent="0.2">
      <c r="A903" s="267"/>
    </row>
    <row r="904" spans="1:1" ht="12.75" x14ac:dyDescent="0.2">
      <c r="A904" s="267"/>
    </row>
    <row r="905" spans="1:1" ht="12.75" x14ac:dyDescent="0.2">
      <c r="A905" s="267"/>
    </row>
    <row r="906" spans="1:1" ht="12.75" x14ac:dyDescent="0.2">
      <c r="A906" s="267"/>
    </row>
    <row r="907" spans="1:1" ht="12.75" x14ac:dyDescent="0.2">
      <c r="A907" s="267"/>
    </row>
    <row r="908" spans="1:1" ht="12.75" x14ac:dyDescent="0.2">
      <c r="A908" s="267"/>
    </row>
    <row r="909" spans="1:1" ht="12.75" x14ac:dyDescent="0.2">
      <c r="A909" s="267"/>
    </row>
    <row r="910" spans="1:1" ht="12.75" x14ac:dyDescent="0.2">
      <c r="A910" s="267"/>
    </row>
    <row r="911" spans="1:1" ht="12.75" x14ac:dyDescent="0.2">
      <c r="A911" s="267"/>
    </row>
    <row r="912" spans="1:1" ht="12.75" x14ac:dyDescent="0.2">
      <c r="A912" s="267"/>
    </row>
    <row r="913" spans="1:1" ht="12.75" x14ac:dyDescent="0.2">
      <c r="A913" s="267"/>
    </row>
    <row r="914" spans="1:1" ht="12.75" x14ac:dyDescent="0.2">
      <c r="A914" s="267"/>
    </row>
    <row r="915" spans="1:1" ht="12.75" x14ac:dyDescent="0.2">
      <c r="A915" s="267"/>
    </row>
    <row r="916" spans="1:1" ht="12.75" x14ac:dyDescent="0.2">
      <c r="A916" s="267"/>
    </row>
    <row r="917" spans="1:1" ht="12.75" x14ac:dyDescent="0.2">
      <c r="A917" s="267"/>
    </row>
    <row r="918" spans="1:1" ht="12.75" x14ac:dyDescent="0.2">
      <c r="A918" s="267"/>
    </row>
    <row r="919" spans="1:1" ht="12.75" x14ac:dyDescent="0.2">
      <c r="A919" s="267"/>
    </row>
    <row r="920" spans="1:1" ht="12.75" x14ac:dyDescent="0.2">
      <c r="A920" s="267"/>
    </row>
    <row r="921" spans="1:1" ht="12.75" x14ac:dyDescent="0.2">
      <c r="A921" s="267"/>
    </row>
    <row r="922" spans="1:1" ht="12.75" x14ac:dyDescent="0.2">
      <c r="A922" s="267"/>
    </row>
    <row r="923" spans="1:1" ht="12.75" x14ac:dyDescent="0.2">
      <c r="A923" s="267"/>
    </row>
    <row r="924" spans="1:1" ht="12.75" x14ac:dyDescent="0.2">
      <c r="A924" s="267"/>
    </row>
    <row r="925" spans="1:1" ht="12.75" x14ac:dyDescent="0.2">
      <c r="A925" s="267"/>
    </row>
    <row r="926" spans="1:1" ht="12.75" x14ac:dyDescent="0.2">
      <c r="A926" s="267"/>
    </row>
    <row r="927" spans="1:1" ht="12.75" x14ac:dyDescent="0.2">
      <c r="A927" s="267"/>
    </row>
    <row r="928" spans="1:1" ht="12.75" x14ac:dyDescent="0.2">
      <c r="A928" s="267"/>
    </row>
    <row r="929" spans="1:1" ht="12.75" x14ac:dyDescent="0.2">
      <c r="A929" s="267"/>
    </row>
    <row r="930" spans="1:1" ht="12.75" x14ac:dyDescent="0.2">
      <c r="A930" s="267"/>
    </row>
    <row r="931" spans="1:1" ht="12.75" x14ac:dyDescent="0.2">
      <c r="A931" s="267"/>
    </row>
    <row r="932" spans="1:1" ht="12.75" x14ac:dyDescent="0.2">
      <c r="A932" s="267"/>
    </row>
    <row r="933" spans="1:1" ht="12.75" x14ac:dyDescent="0.2">
      <c r="A933" s="267"/>
    </row>
    <row r="934" spans="1:1" ht="12.75" x14ac:dyDescent="0.2">
      <c r="A934" s="267"/>
    </row>
    <row r="935" spans="1:1" ht="12.75" x14ac:dyDescent="0.2">
      <c r="A935" s="267"/>
    </row>
    <row r="936" spans="1:1" ht="12.75" x14ac:dyDescent="0.2">
      <c r="A936" s="267"/>
    </row>
    <row r="937" spans="1:1" ht="12.75" x14ac:dyDescent="0.2">
      <c r="A937" s="267"/>
    </row>
    <row r="938" spans="1:1" ht="12.75" x14ac:dyDescent="0.2">
      <c r="A938" s="267"/>
    </row>
    <row r="939" spans="1:1" ht="12.75" x14ac:dyDescent="0.2">
      <c r="A939" s="267"/>
    </row>
    <row r="940" spans="1:1" ht="12.75" x14ac:dyDescent="0.2">
      <c r="A940" s="267"/>
    </row>
    <row r="941" spans="1:1" ht="12.75" x14ac:dyDescent="0.2">
      <c r="A941" s="267"/>
    </row>
    <row r="942" spans="1:1" ht="12.75" x14ac:dyDescent="0.2">
      <c r="A942" s="267"/>
    </row>
    <row r="943" spans="1:1" ht="12.75" x14ac:dyDescent="0.2">
      <c r="A943" s="267"/>
    </row>
    <row r="944" spans="1:1" ht="12.75" x14ac:dyDescent="0.2">
      <c r="A944" s="267"/>
    </row>
    <row r="945" spans="1:1" ht="12.75" x14ac:dyDescent="0.2">
      <c r="A945" s="267"/>
    </row>
    <row r="946" spans="1:1" ht="12.75" x14ac:dyDescent="0.2">
      <c r="A946" s="267"/>
    </row>
    <row r="947" spans="1:1" ht="12.75" x14ac:dyDescent="0.2">
      <c r="A947" s="267"/>
    </row>
    <row r="948" spans="1:1" ht="12.75" x14ac:dyDescent="0.2">
      <c r="A948" s="267"/>
    </row>
    <row r="949" spans="1:1" ht="12.75" x14ac:dyDescent="0.2">
      <c r="A949" s="267"/>
    </row>
    <row r="950" spans="1:1" ht="12.75" x14ac:dyDescent="0.2">
      <c r="A950" s="267"/>
    </row>
    <row r="951" spans="1:1" ht="12.75" x14ac:dyDescent="0.2">
      <c r="A951" s="267"/>
    </row>
    <row r="952" spans="1:1" ht="12.75" x14ac:dyDescent="0.2">
      <c r="A952" s="267"/>
    </row>
    <row r="953" spans="1:1" ht="12.75" x14ac:dyDescent="0.2">
      <c r="A953" s="267"/>
    </row>
    <row r="954" spans="1:1" ht="12.75" x14ac:dyDescent="0.2">
      <c r="A954" s="267"/>
    </row>
    <row r="955" spans="1:1" ht="12.75" x14ac:dyDescent="0.2">
      <c r="A955" s="267"/>
    </row>
    <row r="956" spans="1:1" ht="12.75" x14ac:dyDescent="0.2">
      <c r="A956" s="267"/>
    </row>
    <row r="957" spans="1:1" ht="12.75" x14ac:dyDescent="0.2">
      <c r="A957" s="267"/>
    </row>
    <row r="958" spans="1:1" ht="12.75" x14ac:dyDescent="0.2">
      <c r="A958" s="267"/>
    </row>
    <row r="959" spans="1:1" ht="12.75" x14ac:dyDescent="0.2">
      <c r="A959" s="267"/>
    </row>
    <row r="960" spans="1:1" ht="12.75" x14ac:dyDescent="0.2">
      <c r="A960" s="267"/>
    </row>
    <row r="961" spans="1:1" ht="12.75" x14ac:dyDescent="0.2">
      <c r="A961" s="267"/>
    </row>
    <row r="962" spans="1:1" ht="12.75" x14ac:dyDescent="0.2">
      <c r="A962" s="267"/>
    </row>
    <row r="963" spans="1:1" ht="12.75" x14ac:dyDescent="0.2">
      <c r="A963" s="267"/>
    </row>
    <row r="964" spans="1:1" ht="12.75" x14ac:dyDescent="0.2">
      <c r="A964" s="267"/>
    </row>
    <row r="965" spans="1:1" ht="12.75" x14ac:dyDescent="0.2">
      <c r="A965" s="267"/>
    </row>
    <row r="966" spans="1:1" ht="12.75" x14ac:dyDescent="0.2">
      <c r="A966" s="267"/>
    </row>
    <row r="967" spans="1:1" ht="12.75" x14ac:dyDescent="0.2">
      <c r="A967" s="267"/>
    </row>
    <row r="968" spans="1:1" ht="12.75" x14ac:dyDescent="0.2">
      <c r="A968" s="267"/>
    </row>
    <row r="969" spans="1:1" ht="12.75" x14ac:dyDescent="0.2">
      <c r="A969" s="267"/>
    </row>
    <row r="970" spans="1:1" ht="12.75" x14ac:dyDescent="0.2">
      <c r="A970" s="267"/>
    </row>
    <row r="971" spans="1:1" ht="12.75" x14ac:dyDescent="0.2">
      <c r="A971" s="267"/>
    </row>
    <row r="972" spans="1:1" ht="12.75" x14ac:dyDescent="0.2">
      <c r="A972" s="267"/>
    </row>
    <row r="973" spans="1:1" ht="12.75" x14ac:dyDescent="0.2">
      <c r="A973" s="267"/>
    </row>
    <row r="974" spans="1:1" ht="12.75" x14ac:dyDescent="0.2">
      <c r="A974" s="267"/>
    </row>
    <row r="975" spans="1:1" ht="12.75" x14ac:dyDescent="0.2">
      <c r="A975" s="267"/>
    </row>
    <row r="976" spans="1:1" ht="12.75" x14ac:dyDescent="0.2">
      <c r="A976" s="267"/>
    </row>
    <row r="977" spans="1:1" ht="12.75" x14ac:dyDescent="0.2">
      <c r="A977" s="267"/>
    </row>
    <row r="978" spans="1:1" ht="12.75" x14ac:dyDescent="0.2">
      <c r="A978" s="267"/>
    </row>
    <row r="979" spans="1:1" ht="12.75" x14ac:dyDescent="0.2">
      <c r="A979" s="267"/>
    </row>
    <row r="980" spans="1:1" ht="12.75" x14ac:dyDescent="0.2">
      <c r="A980" s="267"/>
    </row>
    <row r="981" spans="1:1" ht="12.75" x14ac:dyDescent="0.2">
      <c r="A981" s="267"/>
    </row>
    <row r="982" spans="1:1" ht="12.75" x14ac:dyDescent="0.2">
      <c r="A982" s="267"/>
    </row>
    <row r="983" spans="1:1" ht="12.75" x14ac:dyDescent="0.2">
      <c r="A983" s="267"/>
    </row>
    <row r="984" spans="1:1" ht="12.75" x14ac:dyDescent="0.2">
      <c r="A984" s="267"/>
    </row>
    <row r="985" spans="1:1" ht="12.75" x14ac:dyDescent="0.2">
      <c r="A985" s="267"/>
    </row>
    <row r="986" spans="1:1" ht="12.75" x14ac:dyDescent="0.2">
      <c r="A986" s="267"/>
    </row>
    <row r="987" spans="1:1" ht="12.75" x14ac:dyDescent="0.2">
      <c r="A987" s="267"/>
    </row>
    <row r="988" spans="1:1" ht="12.75" x14ac:dyDescent="0.2">
      <c r="A988" s="267"/>
    </row>
    <row r="989" spans="1:1" ht="12.75" x14ac:dyDescent="0.2">
      <c r="A989" s="267"/>
    </row>
    <row r="990" spans="1:1" ht="12.75" x14ac:dyDescent="0.2">
      <c r="A990" s="267"/>
    </row>
    <row r="991" spans="1:1" ht="12.75" x14ac:dyDescent="0.2">
      <c r="A991" s="267"/>
    </row>
    <row r="992" spans="1:1" ht="12.75" x14ac:dyDescent="0.2">
      <c r="A992" s="267"/>
    </row>
    <row r="993" spans="1:1" ht="12.75" x14ac:dyDescent="0.2">
      <c r="A993" s="267"/>
    </row>
    <row r="994" spans="1:1" ht="12.75" x14ac:dyDescent="0.2">
      <c r="A994" s="267"/>
    </row>
    <row r="995" spans="1:1" ht="12.75" x14ac:dyDescent="0.2">
      <c r="A995" s="267"/>
    </row>
    <row r="996" spans="1:1" ht="12.75" x14ac:dyDescent="0.2">
      <c r="A996" s="267"/>
    </row>
    <row r="997" spans="1:1" ht="12.75" x14ac:dyDescent="0.2">
      <c r="A997" s="267"/>
    </row>
    <row r="998" spans="1:1" ht="12.75" x14ac:dyDescent="0.2">
      <c r="A998" s="267"/>
    </row>
    <row r="999" spans="1:1" ht="12.75" x14ac:dyDescent="0.2">
      <c r="A999" s="267"/>
    </row>
    <row r="1000" spans="1:1" ht="12.75" x14ac:dyDescent="0.2">
      <c r="A1000" s="267"/>
    </row>
    <row r="1001" spans="1:1" ht="12.75" x14ac:dyDescent="0.2">
      <c r="A1001" s="267"/>
    </row>
    <row r="1002" spans="1:1" ht="12.75" x14ac:dyDescent="0.2">
      <c r="A1002" s="267"/>
    </row>
    <row r="1003" spans="1:1" ht="12.75" x14ac:dyDescent="0.2">
      <c r="A1003" s="267"/>
    </row>
    <row r="1004" spans="1:1" ht="12.75" x14ac:dyDescent="0.2">
      <c r="A1004" s="267"/>
    </row>
    <row r="1005" spans="1:1" ht="12.75" x14ac:dyDescent="0.2">
      <c r="A1005" s="267"/>
    </row>
    <row r="1006" spans="1:1" ht="12.75" x14ac:dyDescent="0.2">
      <c r="A1006" s="267"/>
    </row>
    <row r="1007" spans="1:1" ht="12.75" x14ac:dyDescent="0.2">
      <c r="A1007" s="267"/>
    </row>
    <row r="1008" spans="1:1" ht="12.75" x14ac:dyDescent="0.2">
      <c r="A1008" s="267"/>
    </row>
    <row r="1009" spans="1:1" ht="12.75" x14ac:dyDescent="0.2">
      <c r="A1009" s="267"/>
    </row>
    <row r="1010" spans="1:1" ht="12.75" x14ac:dyDescent="0.2">
      <c r="A1010" s="267"/>
    </row>
    <row r="1011" spans="1:1" ht="12.75" x14ac:dyDescent="0.2">
      <c r="A1011" s="267"/>
    </row>
    <row r="1012" spans="1:1" ht="12.75" x14ac:dyDescent="0.2">
      <c r="A1012" s="267"/>
    </row>
    <row r="1013" spans="1:1" ht="12.75" x14ac:dyDescent="0.2">
      <c r="A1013" s="267"/>
    </row>
    <row r="1014" spans="1:1" ht="12.75" x14ac:dyDescent="0.2">
      <c r="A1014" s="267"/>
    </row>
  </sheetData>
  <phoneticPr fontId="6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41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IFERROR(__xludf.DUMMYFUNCTION("GOOGLEFINANCE(B18,""name"")"),"State Street SPDR S&amp;P 500 ETF Trust")</f>
        <v>State Street SPDR S&amp;P 500 ETF Trust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IFERROR(__xludf.DUMMYFUNCTION("GOOGLEFINANCE(B18,""price"")"),729.46)</f>
        <v>729.46</v>
      </c>
      <c r="C10" s="322"/>
      <c r="D10" s="100">
        <f ca="1">IFERROR(__xludf.DUMMYFUNCTION("IFERROR(GOOGLEFINANCE(B18,""change""),""-"")"),-11.4)</f>
        <v>-11.4</v>
      </c>
      <c r="E10" s="103">
        <f ca="1">IFERROR(__xludf.DUMMYFUNCTION("IFERROR(GOOGLEFINANCE(B18,""changepct"")/100,""-"")"),-0.0154)</f>
        <v>-1.54E-2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IFERROR(__xludf.DUMMYFUNCTION("IFERROR(GOOGLEFINANCE(B18,""marketcap""),""-"")"),658411272346)</f>
        <v>658411272346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spy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IFERROR(__xludf.DUMMYFUNCTION("""COMPUTED_VALUE"""),635.92)</f>
        <v>635.91999999999996</v>
      </c>
      <c r="D28" s="141">
        <f ca="1">IFERROR(__xludf.DUMMYFUNCTION("""COMPUTED_VALUE"""),637.68)</f>
        <v>637.67999999999995</v>
      </c>
      <c r="E28" s="141">
        <f ca="1">IFERROR(__xludf.DUMMYFUNCTION("""COMPUTED_VALUE"""),631.54)</f>
        <v>631.54</v>
      </c>
      <c r="F28" s="141">
        <f ca="1">IFERROR(__xludf.DUMMYFUNCTION("""COMPUTED_VALUE"""),634.46)</f>
        <v>634.46</v>
      </c>
      <c r="G28" s="143">
        <f ca="1">IFERROR(__xludf.DUMMYFUNCTION("""COMPUTED_VALUE"""),80418851)</f>
        <v>80418851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IFERROR(__xludf.DUMMYFUNCTION("""COMPUTED_VALUE"""),639.46)</f>
        <v>639.46</v>
      </c>
      <c r="D29" s="141">
        <f ca="1">IFERROR(__xludf.DUMMYFUNCTION("""COMPUTED_VALUE"""),639.85)</f>
        <v>639.85</v>
      </c>
      <c r="E29" s="141">
        <f ca="1">IFERROR(__xludf.DUMMYFUNCTION("""COMPUTED_VALUE"""),630.77)</f>
        <v>630.77</v>
      </c>
      <c r="F29" s="141">
        <f ca="1">IFERROR(__xludf.DUMMYFUNCTION("""COMPUTED_VALUE"""),632.08)</f>
        <v>632.08000000000004</v>
      </c>
      <c r="G29" s="143">
        <f ca="1">IFERROR(__xludf.DUMMYFUNCTION("""COMPUTED_VALUE"""),103385246)</f>
        <v>103385246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IFERROR(__xludf.DUMMYFUNCTION("""COMPUTED_VALUE"""),626.3)</f>
        <v>626.29999999999995</v>
      </c>
      <c r="D30" s="141">
        <f ca="1">IFERROR(__xludf.DUMMYFUNCTION("""COMPUTED_VALUE"""),626.34)</f>
        <v>626.34</v>
      </c>
      <c r="E30" s="141">
        <f ca="1">IFERROR(__xludf.DUMMYFUNCTION("""COMPUTED_VALUE"""),619.29)</f>
        <v>619.29</v>
      </c>
      <c r="F30" s="141">
        <f ca="1">IFERROR(__xludf.DUMMYFUNCTION("""COMPUTED_VALUE"""),621.72)</f>
        <v>621.72</v>
      </c>
      <c r="G30" s="143">
        <f ca="1">IFERROR(__xludf.DUMMYFUNCTION("""COMPUTED_VALUE"""),140103572)</f>
        <v>140103572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IFERROR(__xludf.DUMMYFUNCTION("""COMPUTED_VALUE"""),625.67)</f>
        <v>625.66999999999996</v>
      </c>
      <c r="D31" s="141">
        <f ca="1">IFERROR(__xludf.DUMMYFUNCTION("""COMPUTED_VALUE"""),631.22)</f>
        <v>631.22</v>
      </c>
      <c r="E31" s="141">
        <f ca="1">IFERROR(__xludf.DUMMYFUNCTION("""COMPUTED_VALUE"""),625.58)</f>
        <v>625.58000000000004</v>
      </c>
      <c r="F31" s="141">
        <f ca="1">IFERROR(__xludf.DUMMYFUNCTION("""COMPUTED_VALUE"""),631.17)</f>
        <v>631.16999999999996</v>
      </c>
      <c r="G31" s="143">
        <f ca="1">IFERROR(__xludf.DUMMYFUNCTION("""COMPUTED_VALUE"""),73218015)</f>
        <v>73218015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IFERROR(__xludf.DUMMYFUNCTION("""COMPUTED_VALUE"""),631.79)</f>
        <v>631.79</v>
      </c>
      <c r="D32" s="141">
        <f ca="1">IFERROR(__xludf.DUMMYFUNCTION("""COMPUTED_VALUE"""),632.61)</f>
        <v>632.61</v>
      </c>
      <c r="E32" s="141">
        <f ca="1">IFERROR(__xludf.DUMMYFUNCTION("""COMPUTED_VALUE"""),627.04)</f>
        <v>627.04</v>
      </c>
      <c r="F32" s="141">
        <f ca="1">IFERROR(__xludf.DUMMYFUNCTION("""COMPUTED_VALUE"""),627.97)</f>
        <v>627.97</v>
      </c>
      <c r="G32" s="143">
        <f ca="1">IFERROR(__xludf.DUMMYFUNCTION("""COMPUTED_VALUE"""),68051401)</f>
        <v>68051401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IFERROR(__xludf.DUMMYFUNCTION("""COMPUTED_VALUE"""),629.05)</f>
        <v>629.04999999999995</v>
      </c>
      <c r="D33" s="141">
        <f ca="1">IFERROR(__xludf.DUMMYFUNCTION("""COMPUTED_VALUE"""),633.44)</f>
        <v>633.44000000000005</v>
      </c>
      <c r="E33" s="141">
        <f ca="1">IFERROR(__xludf.DUMMYFUNCTION("""COMPUTED_VALUE"""),628.13)</f>
        <v>628.13</v>
      </c>
      <c r="F33" s="141">
        <f ca="1">IFERROR(__xludf.DUMMYFUNCTION("""COMPUTED_VALUE"""),632.78)</f>
        <v>632.78</v>
      </c>
      <c r="G33" s="143">
        <f ca="1">IFERROR(__xludf.DUMMYFUNCTION("""COMPUTED_VALUE"""),64357525)</f>
        <v>64357525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IFERROR(__xludf.DUMMYFUNCTION("""COMPUTED_VALUE"""),636.24)</f>
        <v>636.24</v>
      </c>
      <c r="D34" s="141">
        <f ca="1">IFERROR(__xludf.DUMMYFUNCTION("""COMPUTED_VALUE"""),636.98)</f>
        <v>636.98</v>
      </c>
      <c r="E34" s="141">
        <f ca="1">IFERROR(__xludf.DUMMYFUNCTION("""COMPUTED_VALUE"""),629.11)</f>
        <v>629.11</v>
      </c>
      <c r="F34" s="141">
        <f ca="1">IFERROR(__xludf.DUMMYFUNCTION("""COMPUTED_VALUE"""),632.25)</f>
        <v>632.25</v>
      </c>
      <c r="G34" s="143">
        <f ca="1">IFERROR(__xludf.DUMMYFUNCTION("""COMPUTED_VALUE"""),74205791)</f>
        <v>74205791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IFERROR(__xludf.DUMMYFUNCTION("""COMPUTED_VALUE"""),634.06)</f>
        <v>634.05999999999995</v>
      </c>
      <c r="D35" s="141">
        <f ca="1">IFERROR(__xludf.DUMMYFUNCTION("""COMPUTED_VALUE"""),637.65)</f>
        <v>637.65</v>
      </c>
      <c r="E35" s="141">
        <f ca="1">IFERROR(__xludf.DUMMYFUNCTION("""COMPUTED_VALUE"""),633.74)</f>
        <v>633.74</v>
      </c>
      <c r="F35" s="141">
        <f ca="1">IFERROR(__xludf.DUMMYFUNCTION("""COMPUTED_VALUE"""),637.18)</f>
        <v>637.17999999999995</v>
      </c>
      <c r="G35" s="143">
        <f ca="1">IFERROR(__xludf.DUMMYFUNCTION("""COMPUTED_VALUE"""),64051626)</f>
        <v>64051626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IFERROR(__xludf.DUMMYFUNCTION("""COMPUTED_VALUE"""),637.46)</f>
        <v>637.46</v>
      </c>
      <c r="D36" s="141">
        <f ca="1">IFERROR(__xludf.DUMMYFUNCTION("""COMPUTED_VALUE"""),638.95)</f>
        <v>638.95000000000005</v>
      </c>
      <c r="E36" s="141">
        <f ca="1">IFERROR(__xludf.DUMMYFUNCTION("""COMPUTED_VALUE"""),634.66)</f>
        <v>634.66</v>
      </c>
      <c r="F36" s="141">
        <f ca="1">IFERROR(__xludf.DUMMYFUNCTION("""COMPUTED_VALUE"""),635.92)</f>
        <v>635.91999999999996</v>
      </c>
      <c r="G36" s="143">
        <f ca="1">IFERROR(__xludf.DUMMYFUNCTION("""COMPUTED_VALUE"""),58742300)</f>
        <v>58742300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IFERROR(__xludf.DUMMYFUNCTION("""COMPUTED_VALUE"""),638.29)</f>
        <v>638.29</v>
      </c>
      <c r="D37" s="141">
        <f ca="1">IFERROR(__xludf.DUMMYFUNCTION("""COMPUTED_VALUE"""),642.85)</f>
        <v>642.85</v>
      </c>
      <c r="E37" s="141">
        <f ca="1">IFERROR(__xludf.DUMMYFUNCTION("""COMPUTED_VALUE"""),636.79)</f>
        <v>636.79</v>
      </c>
      <c r="F37" s="141">
        <f ca="1">IFERROR(__xludf.DUMMYFUNCTION("""COMPUTED_VALUE"""),642.69)</f>
        <v>642.69000000000005</v>
      </c>
      <c r="G37" s="143">
        <f ca="1">IFERROR(__xludf.DUMMYFUNCTION("""COMPUTED_VALUE"""),64821798)</f>
        <v>64821798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IFERROR(__xludf.DUMMYFUNCTION("""COMPUTED_VALUE"""),644.91)</f>
        <v>644.91</v>
      </c>
      <c r="D38" s="141">
        <f ca="1">IFERROR(__xludf.DUMMYFUNCTION("""COMPUTED_VALUE"""),646.19)</f>
        <v>646.19000000000005</v>
      </c>
      <c r="E38" s="141">
        <f ca="1">IFERROR(__xludf.DUMMYFUNCTION("""COMPUTED_VALUE"""),642.68)</f>
        <v>642.67999999999995</v>
      </c>
      <c r="F38" s="141">
        <f ca="1">IFERROR(__xludf.DUMMYFUNCTION("""COMPUTED_VALUE"""),644.89)</f>
        <v>644.89</v>
      </c>
      <c r="G38" s="143">
        <f ca="1">IFERROR(__xludf.DUMMYFUNCTION("""COMPUTED_VALUE"""),60092790)</f>
        <v>60092790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IFERROR(__xludf.DUMMYFUNCTION("""COMPUTED_VALUE"""),642.79)</f>
        <v>642.79</v>
      </c>
      <c r="D39" s="141">
        <f ca="1">IFERROR(__xludf.DUMMYFUNCTION("""COMPUTED_VALUE"""),645.62)</f>
        <v>645.62</v>
      </c>
      <c r="E39" s="141">
        <f ca="1">IFERROR(__xludf.DUMMYFUNCTION("""COMPUTED_VALUE"""),642.34)</f>
        <v>642.34</v>
      </c>
      <c r="F39" s="141">
        <f ca="1">IFERROR(__xludf.DUMMYFUNCTION("""COMPUTED_VALUE"""),644.95)</f>
        <v>644.95000000000005</v>
      </c>
      <c r="G39" s="143">
        <f ca="1">IFERROR(__xludf.DUMMYFUNCTION("""COMPUTED_VALUE"""),59327466)</f>
        <v>59327466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IFERROR(__xludf.DUMMYFUNCTION("""COMPUTED_VALUE"""),645.99)</f>
        <v>645.99</v>
      </c>
      <c r="D40" s="141">
        <f ca="1">IFERROR(__xludf.DUMMYFUNCTION("""COMPUTED_VALUE"""),646.09)</f>
        <v>646.09</v>
      </c>
      <c r="E40" s="141">
        <f ca="1">IFERROR(__xludf.DUMMYFUNCTION("""COMPUTED_VALUE"""),642.52)</f>
        <v>642.52</v>
      </c>
      <c r="F40" s="141">
        <f ca="1">IFERROR(__xludf.DUMMYFUNCTION("""COMPUTED_VALUE"""),643.44)</f>
        <v>643.44000000000005</v>
      </c>
      <c r="G40" s="143">
        <f ca="1">IFERROR(__xludf.DUMMYFUNCTION("""COMPUTED_VALUE"""),68592507)</f>
        <v>68592507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IFERROR(__xludf.DUMMYFUNCTION("""COMPUTED_VALUE"""),642.86)</f>
        <v>642.86</v>
      </c>
      <c r="D41" s="141">
        <f ca="1">IFERROR(__xludf.DUMMYFUNCTION("""COMPUTED_VALUE"""),644)</f>
        <v>644</v>
      </c>
      <c r="E41" s="141">
        <f ca="1">IFERROR(__xludf.DUMMYFUNCTION("""COMPUTED_VALUE"""),642.18)</f>
        <v>642.17999999999995</v>
      </c>
      <c r="F41" s="141">
        <f ca="1">IFERROR(__xludf.DUMMYFUNCTION("""COMPUTED_VALUE"""),643.3)</f>
        <v>643.29999999999995</v>
      </c>
      <c r="G41" s="143">
        <f ca="1">IFERROR(__xludf.DUMMYFUNCTION("""COMPUTED_VALUE"""),43804914)</f>
        <v>43804914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IFERROR(__xludf.DUMMYFUNCTION("""COMPUTED_VALUE"""),643.12)</f>
        <v>643.12</v>
      </c>
      <c r="D42" s="141">
        <f ca="1">IFERROR(__xludf.DUMMYFUNCTION("""COMPUTED_VALUE"""),644.11)</f>
        <v>644.11</v>
      </c>
      <c r="E42" s="141">
        <f ca="1">IFERROR(__xludf.DUMMYFUNCTION("""COMPUTED_VALUE"""),638.48)</f>
        <v>638.48</v>
      </c>
      <c r="F42" s="141">
        <f ca="1">IFERROR(__xludf.DUMMYFUNCTION("""COMPUTED_VALUE"""),639.81)</f>
        <v>639.80999999999995</v>
      </c>
      <c r="G42" s="143">
        <f ca="1">IFERROR(__xludf.DUMMYFUNCTION("""COMPUTED_VALUE"""),69750731)</f>
        <v>69750731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IFERROR(__xludf.DUMMYFUNCTION("""COMPUTED_VALUE"""),639.4)</f>
        <v>639.4</v>
      </c>
      <c r="D43" s="141">
        <f ca="1">IFERROR(__xludf.DUMMYFUNCTION("""COMPUTED_VALUE"""),639.66)</f>
        <v>639.66</v>
      </c>
      <c r="E43" s="141">
        <f ca="1">IFERROR(__xludf.DUMMYFUNCTION("""COMPUTED_VALUE"""),632.95)</f>
        <v>632.95000000000005</v>
      </c>
      <c r="F43" s="141">
        <f ca="1">IFERROR(__xludf.DUMMYFUNCTION("""COMPUTED_VALUE"""),638.11)</f>
        <v>638.11</v>
      </c>
      <c r="G43" s="143">
        <f ca="1">IFERROR(__xludf.DUMMYFUNCTION("""COMPUTED_VALUE"""),88890298)</f>
        <v>88890298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IFERROR(__xludf.DUMMYFUNCTION("""COMPUTED_VALUE"""),636.28)</f>
        <v>636.28</v>
      </c>
      <c r="D44" s="141">
        <f ca="1">IFERROR(__xludf.DUMMYFUNCTION("""COMPUTED_VALUE"""),637.97)</f>
        <v>637.97</v>
      </c>
      <c r="E44" s="141">
        <f ca="1">IFERROR(__xludf.DUMMYFUNCTION("""COMPUTED_VALUE"""),633.81)</f>
        <v>633.80999999999995</v>
      </c>
      <c r="F44" s="141">
        <f ca="1">IFERROR(__xludf.DUMMYFUNCTION("""COMPUTED_VALUE"""),635.55)</f>
        <v>635.54999999999995</v>
      </c>
      <c r="G44" s="143">
        <f ca="1">IFERROR(__xludf.DUMMYFUNCTION("""COMPUTED_VALUE"""),54805775)</f>
        <v>54805775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IFERROR(__xludf.DUMMYFUNCTION("""COMPUTED_VALUE"""),637.76)</f>
        <v>637.76</v>
      </c>
      <c r="D45" s="141">
        <f ca="1">IFERROR(__xludf.DUMMYFUNCTION("""COMPUTED_VALUE"""),646.5)</f>
        <v>646.5</v>
      </c>
      <c r="E45" s="141">
        <f ca="1">IFERROR(__xludf.DUMMYFUNCTION("""COMPUTED_VALUE"""),637.25)</f>
        <v>637.25</v>
      </c>
      <c r="F45" s="141">
        <f ca="1">IFERROR(__xludf.DUMMYFUNCTION("""COMPUTED_VALUE"""),645.31)</f>
        <v>645.30999999999995</v>
      </c>
      <c r="G45" s="143">
        <f ca="1">IFERROR(__xludf.DUMMYFUNCTION("""COMPUTED_VALUE"""),84083214)</f>
        <v>84083214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IFERROR(__xludf.DUMMYFUNCTION("""COMPUTED_VALUE"""),644.04)</f>
        <v>644.04</v>
      </c>
      <c r="D46" s="141">
        <f ca="1">IFERROR(__xludf.DUMMYFUNCTION("""COMPUTED_VALUE"""),645.29)</f>
        <v>645.29</v>
      </c>
      <c r="E46" s="141">
        <f ca="1">IFERROR(__xludf.DUMMYFUNCTION("""COMPUTED_VALUE"""),642.35)</f>
        <v>642.35</v>
      </c>
      <c r="F46" s="141">
        <f ca="1">IFERROR(__xludf.DUMMYFUNCTION("""COMPUTED_VALUE"""),642.47)</f>
        <v>642.47</v>
      </c>
      <c r="G46" s="143">
        <f ca="1">IFERROR(__xludf.DUMMYFUNCTION("""COMPUTED_VALUE"""),51274332)</f>
        <v>51274332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IFERROR(__xludf.DUMMYFUNCTION("""COMPUTED_VALUE"""),642.2)</f>
        <v>642.20000000000005</v>
      </c>
      <c r="D47" s="141">
        <f ca="1">IFERROR(__xludf.DUMMYFUNCTION("""COMPUTED_VALUE"""),645.51)</f>
        <v>645.51</v>
      </c>
      <c r="E47" s="141">
        <f ca="1">IFERROR(__xludf.DUMMYFUNCTION("""COMPUTED_VALUE"""),641.57)</f>
        <v>641.57000000000005</v>
      </c>
      <c r="F47" s="141">
        <f ca="1">IFERROR(__xludf.DUMMYFUNCTION("""COMPUTED_VALUE"""),645.16)</f>
        <v>645.16</v>
      </c>
      <c r="G47" s="143">
        <f ca="1">IFERROR(__xludf.DUMMYFUNCTION("""COMPUTED_VALUE"""),51581565)</f>
        <v>51581565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IFERROR(__xludf.DUMMYFUNCTION("""COMPUTED_VALUE"""),644.57)</f>
        <v>644.57000000000005</v>
      </c>
      <c r="D48" s="141">
        <f ca="1">IFERROR(__xludf.DUMMYFUNCTION("""COMPUTED_VALUE"""),647.37)</f>
        <v>647.37</v>
      </c>
      <c r="E48" s="141">
        <f ca="1">IFERROR(__xludf.DUMMYFUNCTION("""COMPUTED_VALUE"""),644.42)</f>
        <v>644.41999999999996</v>
      </c>
      <c r="F48" s="141">
        <f ca="1">IFERROR(__xludf.DUMMYFUNCTION("""COMPUTED_VALUE"""),646.63)</f>
        <v>646.63</v>
      </c>
      <c r="G48" s="143">
        <f ca="1">IFERROR(__xludf.DUMMYFUNCTION("""COMPUTED_VALUE"""),48341069)</f>
        <v>48341069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IFERROR(__xludf.DUMMYFUNCTION("""COMPUTED_VALUE"""),647.24)</f>
        <v>647.24</v>
      </c>
      <c r="D49" s="141">
        <f ca="1">IFERROR(__xludf.DUMMYFUNCTION("""COMPUTED_VALUE"""),649.48)</f>
        <v>649.48</v>
      </c>
      <c r="E49" s="141">
        <f ca="1">IFERROR(__xludf.DUMMYFUNCTION("""COMPUTED_VALUE"""),645.34)</f>
        <v>645.34</v>
      </c>
      <c r="F49" s="141">
        <f ca="1">IFERROR(__xludf.DUMMYFUNCTION("""COMPUTED_VALUE"""),648.92)</f>
        <v>648.91999999999996</v>
      </c>
      <c r="G49" s="143">
        <f ca="1">IFERROR(__xludf.DUMMYFUNCTION("""COMPUTED_VALUE"""),61519461)</f>
        <v>61519461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IFERROR(__xludf.DUMMYFUNCTION("""COMPUTED_VALUE"""),647.47)</f>
        <v>647.47</v>
      </c>
      <c r="D50" s="141">
        <f ca="1">IFERROR(__xludf.DUMMYFUNCTION("""COMPUTED_VALUE"""),647.84)</f>
        <v>647.84</v>
      </c>
      <c r="E50" s="141">
        <f ca="1">IFERROR(__xludf.DUMMYFUNCTION("""COMPUTED_VALUE"""),643.14)</f>
        <v>643.14</v>
      </c>
      <c r="F50" s="141">
        <f ca="1">IFERROR(__xludf.DUMMYFUNCTION("""COMPUTED_VALUE"""),645.05)</f>
        <v>645.04999999999995</v>
      </c>
      <c r="G50" s="143">
        <f ca="1">IFERROR(__xludf.DUMMYFUNCTION("""COMPUTED_VALUE"""),74522192)</f>
        <v>74522192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IFERROR(__xludf.DUMMYFUNCTION("""COMPUTED_VALUE"""),637.5)</f>
        <v>637.5</v>
      </c>
      <c r="D51" s="141">
        <f ca="1">IFERROR(__xludf.DUMMYFUNCTION("""COMPUTED_VALUE"""),640.49)</f>
        <v>640.49</v>
      </c>
      <c r="E51" s="141">
        <f ca="1">IFERROR(__xludf.DUMMYFUNCTION("""COMPUTED_VALUE"""),634.92)</f>
        <v>634.91999999999996</v>
      </c>
      <c r="F51" s="141">
        <f ca="1">IFERROR(__xludf.DUMMYFUNCTION("""COMPUTED_VALUE"""),640.27)</f>
        <v>640.27</v>
      </c>
      <c r="G51" s="143">
        <f ca="1">IFERROR(__xludf.DUMMYFUNCTION("""COMPUTED_VALUE"""),81983545)</f>
        <v>81983545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IFERROR(__xludf.DUMMYFUNCTION("""COMPUTED_VALUE"""),642.67)</f>
        <v>642.66999999999996</v>
      </c>
      <c r="D52" s="141">
        <f ca="1">IFERROR(__xludf.DUMMYFUNCTION("""COMPUTED_VALUE"""),644.21)</f>
        <v>644.21</v>
      </c>
      <c r="E52" s="141">
        <f ca="1">IFERROR(__xludf.DUMMYFUNCTION("""COMPUTED_VALUE"""),640.46)</f>
        <v>640.46</v>
      </c>
      <c r="F52" s="141">
        <f ca="1">IFERROR(__xludf.DUMMYFUNCTION("""COMPUTED_VALUE"""),643.74)</f>
        <v>643.74</v>
      </c>
      <c r="G52" s="143">
        <f ca="1">IFERROR(__xludf.DUMMYFUNCTION("""COMPUTED_VALUE"""),70820898)</f>
        <v>70820898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IFERROR(__xludf.DUMMYFUNCTION("""COMPUTED_VALUE"""),644.42)</f>
        <v>644.41999999999996</v>
      </c>
      <c r="D53" s="141">
        <f ca="1">IFERROR(__xludf.DUMMYFUNCTION("""COMPUTED_VALUE"""),649.15)</f>
        <v>649.15</v>
      </c>
      <c r="E53" s="141">
        <f ca="1">IFERROR(__xludf.DUMMYFUNCTION("""COMPUTED_VALUE"""),643.51)</f>
        <v>643.51</v>
      </c>
      <c r="F53" s="141">
        <f ca="1">IFERROR(__xludf.DUMMYFUNCTION("""COMPUTED_VALUE"""),649.12)</f>
        <v>649.12</v>
      </c>
      <c r="G53" s="143">
        <f ca="1">IFERROR(__xludf.DUMMYFUNCTION("""COMPUTED_VALUE"""),65219228)</f>
        <v>65219228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IFERROR(__xludf.DUMMYFUNCTION("""COMPUTED_VALUE"""),651.48)</f>
        <v>651.48</v>
      </c>
      <c r="D54" s="141">
        <f ca="1">IFERROR(__xludf.DUMMYFUNCTION("""COMPUTED_VALUE"""),652.21)</f>
        <v>652.21</v>
      </c>
      <c r="E54" s="141">
        <f ca="1">IFERROR(__xludf.DUMMYFUNCTION("""COMPUTED_VALUE"""),643.33)</f>
        <v>643.33000000000004</v>
      </c>
      <c r="F54" s="141">
        <f ca="1">IFERROR(__xludf.DUMMYFUNCTION("""COMPUTED_VALUE"""),647.24)</f>
        <v>647.24</v>
      </c>
      <c r="G54" s="143">
        <f ca="1">IFERROR(__xludf.DUMMYFUNCTION("""COMPUTED_VALUE"""),85178935)</f>
        <v>85178935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IFERROR(__xludf.DUMMYFUNCTION("""COMPUTED_VALUE"""),648.62)</f>
        <v>648.62</v>
      </c>
      <c r="D55" s="141">
        <f ca="1">IFERROR(__xludf.DUMMYFUNCTION("""COMPUTED_VALUE"""),649.84)</f>
        <v>649.84</v>
      </c>
      <c r="E55" s="141">
        <f ca="1">IFERROR(__xludf.DUMMYFUNCTION("""COMPUTED_VALUE"""),647.23)</f>
        <v>647.23</v>
      </c>
      <c r="F55" s="141">
        <f ca="1">IFERROR(__xludf.DUMMYFUNCTION("""COMPUTED_VALUE"""),648.83)</f>
        <v>648.83000000000004</v>
      </c>
      <c r="G55" s="143">
        <f ca="1">IFERROR(__xludf.DUMMYFUNCTION("""COMPUTED_VALUE"""),63133104)</f>
        <v>63133104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IFERROR(__xludf.DUMMYFUNCTION("""COMPUTED_VALUE"""),648.97)</f>
        <v>648.97</v>
      </c>
      <c r="D56" s="141">
        <f ca="1">IFERROR(__xludf.DUMMYFUNCTION("""COMPUTED_VALUE"""),650.86)</f>
        <v>650.86</v>
      </c>
      <c r="E56" s="141">
        <f ca="1">IFERROR(__xludf.DUMMYFUNCTION("""COMPUTED_VALUE"""),647.22)</f>
        <v>647.22</v>
      </c>
      <c r="F56" s="141">
        <f ca="1">IFERROR(__xludf.DUMMYFUNCTION("""COMPUTED_VALUE"""),650.33)</f>
        <v>650.33000000000004</v>
      </c>
      <c r="G56" s="143">
        <f ca="1">IFERROR(__xludf.DUMMYFUNCTION("""COMPUTED_VALUE"""),66133856)</f>
        <v>66133856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IFERROR(__xludf.DUMMYFUNCTION("""COMPUTED_VALUE"""),653.62)</f>
        <v>653.62</v>
      </c>
      <c r="D57" s="141">
        <f ca="1">IFERROR(__xludf.DUMMYFUNCTION("""COMPUTED_VALUE"""),654.55)</f>
        <v>654.54999999999995</v>
      </c>
      <c r="E57" s="141">
        <f ca="1">IFERROR(__xludf.DUMMYFUNCTION("""COMPUTED_VALUE"""),650.63)</f>
        <v>650.63</v>
      </c>
      <c r="F57" s="141">
        <f ca="1">IFERROR(__xludf.DUMMYFUNCTION("""COMPUTED_VALUE"""),652.21)</f>
        <v>652.21</v>
      </c>
      <c r="G57" s="143">
        <f ca="1">IFERROR(__xludf.DUMMYFUNCTION("""COMPUTED_VALUE"""),78034529)</f>
        <v>78034529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IFERROR(__xludf.DUMMYFUNCTION("""COMPUTED_VALUE"""),654.18)</f>
        <v>654.17999999999995</v>
      </c>
      <c r="D58" s="141">
        <f ca="1">IFERROR(__xludf.DUMMYFUNCTION("""COMPUTED_VALUE"""),658.33)</f>
        <v>658.33</v>
      </c>
      <c r="E58" s="141">
        <f ca="1">IFERROR(__xludf.DUMMYFUNCTION("""COMPUTED_VALUE"""),653.59)</f>
        <v>653.59</v>
      </c>
      <c r="F58" s="141">
        <f ca="1">IFERROR(__xludf.DUMMYFUNCTION("""COMPUTED_VALUE"""),657.63)</f>
        <v>657.63</v>
      </c>
      <c r="G58" s="143">
        <f ca="1">IFERROR(__xludf.DUMMYFUNCTION("""COMPUTED_VALUE"""),69934360)</f>
        <v>69934360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IFERROR(__xludf.DUMMYFUNCTION("""COMPUTED_VALUE"""),657.6)</f>
        <v>657.6</v>
      </c>
      <c r="D59" s="141">
        <f ca="1">IFERROR(__xludf.DUMMYFUNCTION("""COMPUTED_VALUE"""),659.11)</f>
        <v>659.11</v>
      </c>
      <c r="E59" s="141">
        <f ca="1">IFERROR(__xludf.DUMMYFUNCTION("""COMPUTED_VALUE"""),656.9)</f>
        <v>656.9</v>
      </c>
      <c r="F59" s="141">
        <f ca="1">IFERROR(__xludf.DUMMYFUNCTION("""COMPUTED_VALUE"""),657.41)</f>
        <v>657.41</v>
      </c>
      <c r="G59" s="143">
        <f ca="1">IFERROR(__xludf.DUMMYFUNCTION("""COMPUTED_VALUE"""),72780135)</f>
        <v>72780135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IFERROR(__xludf.DUMMYFUNCTION("""COMPUTED_VALUE"""),659.64)</f>
        <v>659.64</v>
      </c>
      <c r="D60" s="141">
        <f ca="1">IFERROR(__xludf.DUMMYFUNCTION("""COMPUTED_VALUE"""),661.04)</f>
        <v>661.04</v>
      </c>
      <c r="E60" s="141">
        <f ca="1">IFERROR(__xludf.DUMMYFUNCTION("""COMPUTED_VALUE"""),659.34)</f>
        <v>659.34</v>
      </c>
      <c r="F60" s="141">
        <f ca="1">IFERROR(__xludf.DUMMYFUNCTION("""COMPUTED_VALUE"""),660.91)</f>
        <v>660.91</v>
      </c>
      <c r="G60" s="143">
        <f ca="1">IFERROR(__xludf.DUMMYFUNCTION("""COMPUTED_VALUE"""),63772412)</f>
        <v>63772412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IFERROR(__xludf.DUMMYFUNCTION("""COMPUTED_VALUE"""),661.47)</f>
        <v>661.47</v>
      </c>
      <c r="D61" s="141">
        <f ca="1">IFERROR(__xludf.DUMMYFUNCTION("""COMPUTED_VALUE"""),661.78)</f>
        <v>661.78</v>
      </c>
      <c r="E61" s="141">
        <f ca="1">IFERROR(__xludf.DUMMYFUNCTION("""COMPUTED_VALUE"""),659.21)</f>
        <v>659.21</v>
      </c>
      <c r="F61" s="141">
        <f ca="1">IFERROR(__xludf.DUMMYFUNCTION("""COMPUTED_VALUE"""),660)</f>
        <v>660</v>
      </c>
      <c r="G61" s="143">
        <f ca="1">IFERROR(__xludf.DUMMYFUNCTION("""COMPUTED_VALUE"""),61168953)</f>
        <v>61168953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IFERROR(__xludf.DUMMYFUNCTION("""COMPUTED_VALUE"""),660.01)</f>
        <v>660.01</v>
      </c>
      <c r="D62" s="141">
        <f ca="1">IFERROR(__xludf.DUMMYFUNCTION("""COMPUTED_VALUE"""),661.72)</f>
        <v>661.72</v>
      </c>
      <c r="E62" s="141">
        <f ca="1">IFERROR(__xludf.DUMMYFUNCTION("""COMPUTED_VALUE"""),654.3)</f>
        <v>654.29999999999995</v>
      </c>
      <c r="F62" s="141">
        <f ca="1">IFERROR(__xludf.DUMMYFUNCTION("""COMPUTED_VALUE"""),659.18)</f>
        <v>659.18</v>
      </c>
      <c r="G62" s="143">
        <f ca="1">IFERROR(__xludf.DUMMYFUNCTION("""COMPUTED_VALUE"""),101952244)</f>
        <v>101952244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IFERROR(__xludf.DUMMYFUNCTION("""COMPUTED_VALUE"""),661.89)</f>
        <v>661.89</v>
      </c>
      <c r="D63" s="141">
        <f ca="1">IFERROR(__xludf.DUMMYFUNCTION("""COMPUTED_VALUE"""),664.89)</f>
        <v>664.89</v>
      </c>
      <c r="E63" s="141">
        <f ca="1">IFERROR(__xludf.DUMMYFUNCTION("""COMPUTED_VALUE"""),660.27)</f>
        <v>660.27</v>
      </c>
      <c r="F63" s="141">
        <f ca="1">IFERROR(__xludf.DUMMYFUNCTION("""COMPUTED_VALUE"""),662.26)</f>
        <v>662.26</v>
      </c>
      <c r="G63" s="143">
        <f ca="1">IFERROR(__xludf.DUMMYFUNCTION("""COMPUTED_VALUE"""),90459242)</f>
        <v>90459242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IFERROR(__xludf.DUMMYFUNCTION("""COMPUTED_VALUE"""),662.33)</f>
        <v>662.33</v>
      </c>
      <c r="D64" s="141">
        <f ca="1">IFERROR(__xludf.DUMMYFUNCTION("""COMPUTED_VALUE"""),664.55)</f>
        <v>664.55</v>
      </c>
      <c r="E64" s="141">
        <f ca="1">IFERROR(__xludf.DUMMYFUNCTION("""COMPUTED_VALUE"""),660.37)</f>
        <v>660.37</v>
      </c>
      <c r="F64" s="141">
        <f ca="1">IFERROR(__xludf.DUMMYFUNCTION("""COMPUTED_VALUE"""),663.7)</f>
        <v>663.7</v>
      </c>
      <c r="G64" s="143">
        <f ca="1">IFERROR(__xludf.DUMMYFUNCTION("""COMPUTED_VALUE"""),97945620)</f>
        <v>97945620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IFERROR(__xludf.DUMMYFUNCTION("""COMPUTED_VALUE"""),662.2)</f>
        <v>662.2</v>
      </c>
      <c r="D65" s="141">
        <f ca="1">IFERROR(__xludf.DUMMYFUNCTION("""COMPUTED_VALUE"""),667.29)</f>
        <v>667.29</v>
      </c>
      <c r="E65" s="141">
        <f ca="1">IFERROR(__xludf.DUMMYFUNCTION("""COMPUTED_VALUE"""),662.17)</f>
        <v>662.17</v>
      </c>
      <c r="F65" s="141">
        <f ca="1">IFERROR(__xludf.DUMMYFUNCTION("""COMPUTED_VALUE"""),666.84)</f>
        <v>666.84</v>
      </c>
      <c r="G65" s="143">
        <f ca="1">IFERROR(__xludf.DUMMYFUNCTION("""COMPUTED_VALUE"""),69452201)</f>
        <v>69452201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IFERROR(__xludf.DUMMYFUNCTION("""COMPUTED_VALUE"""),666.72)</f>
        <v>666.72</v>
      </c>
      <c r="D66" s="141">
        <f ca="1">IFERROR(__xludf.DUMMYFUNCTION("""COMPUTED_VALUE"""),667.34)</f>
        <v>667.34</v>
      </c>
      <c r="E66" s="141">
        <f ca="1">IFERROR(__xludf.DUMMYFUNCTION("""COMPUTED_VALUE"""),661.98)</f>
        <v>661.98</v>
      </c>
      <c r="F66" s="141">
        <f ca="1">IFERROR(__xludf.DUMMYFUNCTION("""COMPUTED_VALUE"""),663.21)</f>
        <v>663.21</v>
      </c>
      <c r="G66" s="143">
        <f ca="1">IFERROR(__xludf.DUMMYFUNCTION("""COMPUTED_VALUE"""),81708872)</f>
        <v>81708872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IFERROR(__xludf.DUMMYFUNCTION("""COMPUTED_VALUE"""),664.51)</f>
        <v>664.51</v>
      </c>
      <c r="D67" s="141">
        <f ca="1">IFERROR(__xludf.DUMMYFUNCTION("""COMPUTED_VALUE"""),664.61)</f>
        <v>664.61</v>
      </c>
      <c r="E67" s="141">
        <f ca="1">IFERROR(__xludf.DUMMYFUNCTION("""COMPUTED_VALUE"""),659.67)</f>
        <v>659.67</v>
      </c>
      <c r="F67" s="141">
        <f ca="1">IFERROR(__xludf.DUMMYFUNCTION("""COMPUTED_VALUE"""),661.1)</f>
        <v>661.1</v>
      </c>
      <c r="G67" s="143">
        <f ca="1">IFERROR(__xludf.DUMMYFUNCTION("""COMPUTED_VALUE"""),68082229)</f>
        <v>68082229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IFERROR(__xludf.DUMMYFUNCTION("""COMPUTED_VALUE"""),657.94)</f>
        <v>657.94</v>
      </c>
      <c r="D68" s="141">
        <f ca="1">IFERROR(__xludf.DUMMYFUNCTION("""COMPUTED_VALUE"""),659.41)</f>
        <v>659.41</v>
      </c>
      <c r="E68" s="141">
        <f ca="1">IFERROR(__xludf.DUMMYFUNCTION("""COMPUTED_VALUE"""),654.41)</f>
        <v>654.41</v>
      </c>
      <c r="F68" s="141">
        <f ca="1">IFERROR(__xludf.DUMMYFUNCTION("""COMPUTED_VALUE"""),658.05)</f>
        <v>658.05</v>
      </c>
      <c r="G68" s="143">
        <f ca="1">IFERROR(__xludf.DUMMYFUNCTION("""COMPUTED_VALUE"""),89622067)</f>
        <v>89622067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IFERROR(__xludf.DUMMYFUNCTION("""COMPUTED_VALUE"""),659.51)</f>
        <v>659.51</v>
      </c>
      <c r="D69" s="141">
        <f ca="1">IFERROR(__xludf.DUMMYFUNCTION("""COMPUTED_VALUE"""),662.37)</f>
        <v>662.37</v>
      </c>
      <c r="E69" s="141">
        <f ca="1">IFERROR(__xludf.DUMMYFUNCTION("""COMPUTED_VALUE"""),657.88)</f>
        <v>657.88</v>
      </c>
      <c r="F69" s="141">
        <f ca="1">IFERROR(__xludf.DUMMYFUNCTION("""COMPUTED_VALUE"""),661.82)</f>
        <v>661.82</v>
      </c>
      <c r="G69" s="143">
        <f ca="1">IFERROR(__xludf.DUMMYFUNCTION("""COMPUTED_VALUE"""),69179209)</f>
        <v>69179209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IFERROR(__xludf.DUMMYFUNCTION("""COMPUTED_VALUE"""),664.36)</f>
        <v>664.36</v>
      </c>
      <c r="D70" s="141">
        <f ca="1">IFERROR(__xludf.DUMMYFUNCTION("""COMPUTED_VALUE"""),665.28)</f>
        <v>665.28</v>
      </c>
      <c r="E70" s="141">
        <f ca="1">IFERROR(__xludf.DUMMYFUNCTION("""COMPUTED_VALUE"""),661.86)</f>
        <v>661.86</v>
      </c>
      <c r="F70" s="141">
        <f ca="1">IFERROR(__xludf.DUMMYFUNCTION("""COMPUTED_VALUE"""),663.68)</f>
        <v>663.68</v>
      </c>
      <c r="G70" s="143">
        <f ca="1">IFERROR(__xludf.DUMMYFUNCTION("""COMPUTED_VALUE"""),73499015)</f>
        <v>73499015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IFERROR(__xludf.DUMMYFUNCTION("""COMPUTED_VALUE"""),662.93)</f>
        <v>662.93</v>
      </c>
      <c r="D71" s="141">
        <f ca="1">IFERROR(__xludf.DUMMYFUNCTION("""COMPUTED_VALUE"""),666.65)</f>
        <v>666.65</v>
      </c>
      <c r="E71" s="141">
        <f ca="1">IFERROR(__xludf.DUMMYFUNCTION("""COMPUTED_VALUE"""),661.61)</f>
        <v>661.61</v>
      </c>
      <c r="F71" s="141">
        <f ca="1">IFERROR(__xludf.DUMMYFUNCTION("""COMPUTED_VALUE"""),666.18)</f>
        <v>666.18</v>
      </c>
      <c r="G71" s="143">
        <f ca="1">IFERROR(__xludf.DUMMYFUNCTION("""COMPUTED_VALUE"""),86288028)</f>
        <v>86288028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IFERROR(__xludf.DUMMYFUNCTION("""COMPUTED_VALUE"""),663.17)</f>
        <v>663.17</v>
      </c>
      <c r="D72" s="141">
        <f ca="1">IFERROR(__xludf.DUMMYFUNCTION("""COMPUTED_VALUE"""),669.37)</f>
        <v>669.37</v>
      </c>
      <c r="E72" s="141">
        <f ca="1">IFERROR(__xludf.DUMMYFUNCTION("""COMPUTED_VALUE"""),663.06)</f>
        <v>663.06</v>
      </c>
      <c r="F72" s="141">
        <f ca="1">IFERROR(__xludf.DUMMYFUNCTION("""COMPUTED_VALUE"""),668.45)</f>
        <v>668.45</v>
      </c>
      <c r="G72" s="143">
        <f ca="1">IFERROR(__xludf.DUMMYFUNCTION("""COMPUTED_VALUE"""),72545369)</f>
        <v>72545369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IFERROR(__xludf.DUMMYFUNCTION("""COMPUTED_VALUE"""),670.45)</f>
        <v>670.45</v>
      </c>
      <c r="D73" s="141">
        <f ca="1">IFERROR(__xludf.DUMMYFUNCTION("""COMPUTED_VALUE"""),670.57)</f>
        <v>670.57</v>
      </c>
      <c r="E73" s="141">
        <f ca="1">IFERROR(__xludf.DUMMYFUNCTION("""COMPUTED_VALUE"""),666.78)</f>
        <v>666.78</v>
      </c>
      <c r="F73" s="141">
        <f ca="1">IFERROR(__xludf.DUMMYFUNCTION("""COMPUTED_VALUE"""),669.22)</f>
        <v>669.22</v>
      </c>
      <c r="G73" s="143">
        <f ca="1">IFERROR(__xludf.DUMMYFUNCTION("""COMPUTED_VALUE"""),56895993)</f>
        <v>56895993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IFERROR(__xludf.DUMMYFUNCTION("""COMPUTED_VALUE"""),669.99)</f>
        <v>669.99</v>
      </c>
      <c r="D74" s="141">
        <f ca="1">IFERROR(__xludf.DUMMYFUNCTION("""COMPUTED_VALUE"""),672.68)</f>
        <v>672.68</v>
      </c>
      <c r="E74" s="141">
        <f ca="1">IFERROR(__xludf.DUMMYFUNCTION("""COMPUTED_VALUE"""),668.16)</f>
        <v>668.16</v>
      </c>
      <c r="F74" s="141">
        <f ca="1">IFERROR(__xludf.DUMMYFUNCTION("""COMPUTED_VALUE"""),669.21)</f>
        <v>669.21</v>
      </c>
      <c r="G74" s="143">
        <f ca="1">IFERROR(__xludf.DUMMYFUNCTION("""COMPUTED_VALUE"""),70494350)</f>
        <v>70494350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IFERROR(__xludf.DUMMYFUNCTION("""COMPUTED_VALUE"""),671.62)</f>
        <v>671.62</v>
      </c>
      <c r="D75" s="141">
        <f ca="1">IFERROR(__xludf.DUMMYFUNCTION("""COMPUTED_VALUE"""),672.51)</f>
        <v>672.51</v>
      </c>
      <c r="E75" s="141">
        <f ca="1">IFERROR(__xludf.DUMMYFUNCTION("""COMPUTED_VALUE"""),669.46)</f>
        <v>669.46</v>
      </c>
      <c r="F75" s="141">
        <f ca="1">IFERROR(__xludf.DUMMYFUNCTION("""COMPUTED_VALUE"""),671.61)</f>
        <v>671.61</v>
      </c>
      <c r="G75" s="143">
        <f ca="1">IFERROR(__xludf.DUMMYFUNCTION("""COMPUTED_VALUE"""),54623260)</f>
        <v>54623260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IFERROR(__xludf.DUMMYFUNCTION("""COMPUTED_VALUE"""),672.54)</f>
        <v>672.54</v>
      </c>
      <c r="D76" s="141">
        <f ca="1">IFERROR(__xludf.DUMMYFUNCTION("""COMPUTED_VALUE"""),672.99)</f>
        <v>672.99</v>
      </c>
      <c r="E76" s="141">
        <f ca="1">IFERROR(__xludf.DUMMYFUNCTION("""COMPUTED_VALUE"""),667.67)</f>
        <v>667.67</v>
      </c>
      <c r="F76" s="141">
        <f ca="1">IFERROR(__xludf.DUMMYFUNCTION("""COMPUTED_VALUE"""),669.12)</f>
        <v>669.12</v>
      </c>
      <c r="G76" s="143">
        <f ca="1">IFERROR(__xludf.DUMMYFUNCTION("""COMPUTED_VALUE"""),72020067)</f>
        <v>72020067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IFERROR(__xludf.DUMMYFUNCTION("""COMPUTED_VALUE"""),670.25)</f>
        <v>670.25</v>
      </c>
      <c r="D77" s="141">
        <f ca="1">IFERROR(__xludf.DUMMYFUNCTION("""COMPUTED_VALUE"""),673.21)</f>
        <v>673.21</v>
      </c>
      <c r="E77" s="141">
        <f ca="1">IFERROR(__xludf.DUMMYFUNCTION("""COMPUTED_VALUE"""),669.42)</f>
        <v>669.42</v>
      </c>
      <c r="F77" s="141">
        <f ca="1">IFERROR(__xludf.DUMMYFUNCTION("""COMPUTED_VALUE"""),673.11)</f>
        <v>673.11</v>
      </c>
      <c r="G77" s="143">
        <f ca="1">IFERROR(__xludf.DUMMYFUNCTION("""COMPUTED_VALUE"""),60702241)</f>
        <v>60702241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IFERROR(__xludf.DUMMYFUNCTION("""COMPUTED_VALUE"""),673.53)</f>
        <v>673.53</v>
      </c>
      <c r="D78" s="141">
        <f ca="1">IFERROR(__xludf.DUMMYFUNCTION("""COMPUTED_VALUE"""),673.94)</f>
        <v>673.94</v>
      </c>
      <c r="E78" s="141">
        <f ca="1">IFERROR(__xludf.DUMMYFUNCTION("""COMPUTED_VALUE"""),669.21)</f>
        <v>669.21</v>
      </c>
      <c r="F78" s="141">
        <f ca="1">IFERROR(__xludf.DUMMYFUNCTION("""COMPUTED_VALUE"""),671.16)</f>
        <v>671.16</v>
      </c>
      <c r="G78" s="143">
        <f ca="1">IFERROR(__xludf.DUMMYFUNCTION("""COMPUTED_VALUE"""),66501941)</f>
        <v>66501941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IFERROR(__xludf.DUMMYFUNCTION("""COMPUTED_VALUE"""),672.13)</f>
        <v>672.13</v>
      </c>
      <c r="D79" s="141">
        <f ca="1">IFERROR(__xludf.DUMMYFUNCTION("""COMPUTED_VALUE"""),673.95)</f>
        <v>673.95</v>
      </c>
      <c r="E79" s="141">
        <f ca="1">IFERROR(__xludf.DUMMYFUNCTION("""COMPUTED_VALUE"""),652.84)</f>
        <v>652.84</v>
      </c>
      <c r="F79" s="141">
        <f ca="1">IFERROR(__xludf.DUMMYFUNCTION("""COMPUTED_VALUE"""),653.02)</f>
        <v>653.02</v>
      </c>
      <c r="G79" s="143">
        <f ca="1">IFERROR(__xludf.DUMMYFUNCTION("""COMPUTED_VALUE"""),159422589)</f>
        <v>159422589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IFERROR(__xludf.DUMMYFUNCTION("""COMPUTED_VALUE"""),660.65)</f>
        <v>660.65</v>
      </c>
      <c r="D80" s="141">
        <f ca="1">IFERROR(__xludf.DUMMYFUNCTION("""COMPUTED_VALUE"""),665.13)</f>
        <v>665.13</v>
      </c>
      <c r="E80" s="141">
        <f ca="1">IFERROR(__xludf.DUMMYFUNCTION("""COMPUTED_VALUE"""),659.77)</f>
        <v>659.77</v>
      </c>
      <c r="F80" s="141">
        <f ca="1">IFERROR(__xludf.DUMMYFUNCTION("""COMPUTED_VALUE"""),663.04)</f>
        <v>663.04</v>
      </c>
      <c r="G80" s="143">
        <f ca="1">IFERROR(__xludf.DUMMYFUNCTION("""COMPUTED_VALUE"""),79560517)</f>
        <v>79560517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IFERROR(__xludf.DUMMYFUNCTION("""COMPUTED_VALUE"""),657.17)</f>
        <v>657.17</v>
      </c>
      <c r="D81" s="141">
        <f ca="1">IFERROR(__xludf.DUMMYFUNCTION("""COMPUTED_VALUE"""),665.83)</f>
        <v>665.83</v>
      </c>
      <c r="E81" s="141">
        <f ca="1">IFERROR(__xludf.DUMMYFUNCTION("""COMPUTED_VALUE"""),653.17)</f>
        <v>653.16999999999996</v>
      </c>
      <c r="F81" s="141">
        <f ca="1">IFERROR(__xludf.DUMMYFUNCTION("""COMPUTED_VALUE"""),662.23)</f>
        <v>662.23</v>
      </c>
      <c r="G81" s="143">
        <f ca="1">IFERROR(__xludf.DUMMYFUNCTION("""COMPUTED_VALUE"""),88779560)</f>
        <v>88779560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IFERROR(__xludf.DUMMYFUNCTION("""COMPUTED_VALUE"""),666.82)</f>
        <v>666.82</v>
      </c>
      <c r="D82" s="141">
        <f ca="1">IFERROR(__xludf.DUMMYFUNCTION("""COMPUTED_VALUE"""),670.23)</f>
        <v>670.23</v>
      </c>
      <c r="E82" s="141">
        <f ca="1">IFERROR(__xludf.DUMMYFUNCTION("""COMPUTED_VALUE"""),658.93)</f>
        <v>658.93</v>
      </c>
      <c r="F82" s="141">
        <f ca="1">IFERROR(__xludf.DUMMYFUNCTION("""COMPUTED_VALUE"""),665.17)</f>
        <v>665.17</v>
      </c>
      <c r="G82" s="143">
        <f ca="1">IFERROR(__xludf.DUMMYFUNCTION("""COMPUTED_VALUE"""),81702555)</f>
        <v>81702555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IFERROR(__xludf.DUMMYFUNCTION("""COMPUTED_VALUE"""),666.82)</f>
        <v>666.82</v>
      </c>
      <c r="D83" s="141">
        <f ca="1">IFERROR(__xludf.DUMMYFUNCTION("""COMPUTED_VALUE"""),668.71)</f>
        <v>668.71</v>
      </c>
      <c r="E83" s="141">
        <f ca="1">IFERROR(__xludf.DUMMYFUNCTION("""COMPUTED_VALUE"""),657.11)</f>
        <v>657.11</v>
      </c>
      <c r="F83" s="141">
        <f ca="1">IFERROR(__xludf.DUMMYFUNCTION("""COMPUTED_VALUE"""),660.64)</f>
        <v>660.64</v>
      </c>
      <c r="G83" s="143">
        <f ca="1">IFERROR(__xludf.DUMMYFUNCTION("""COMPUTED_VALUE"""),110563346)</f>
        <v>110563346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IFERROR(__xludf.DUMMYFUNCTION("""COMPUTED_VALUE"""),659.5)</f>
        <v>659.5</v>
      </c>
      <c r="D84" s="141">
        <f ca="1">IFERROR(__xludf.DUMMYFUNCTION("""COMPUTED_VALUE"""),665.76)</f>
        <v>665.76</v>
      </c>
      <c r="E84" s="141">
        <f ca="1">IFERROR(__xludf.DUMMYFUNCTION("""COMPUTED_VALUE"""),658.14)</f>
        <v>658.14</v>
      </c>
      <c r="F84" s="141">
        <f ca="1">IFERROR(__xludf.DUMMYFUNCTION("""COMPUTED_VALUE"""),664.39)</f>
        <v>664.39</v>
      </c>
      <c r="G84" s="143">
        <f ca="1">IFERROR(__xludf.DUMMYFUNCTION("""COMPUTED_VALUE"""),96500870)</f>
        <v>96500870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IFERROR(__xludf.DUMMYFUNCTION("""COMPUTED_VALUE"""),667.32)</f>
        <v>667.32</v>
      </c>
      <c r="D85" s="141">
        <f ca="1">IFERROR(__xludf.DUMMYFUNCTION("""COMPUTED_VALUE"""),672.21)</f>
        <v>672.21</v>
      </c>
      <c r="E85" s="141">
        <f ca="1">IFERROR(__xludf.DUMMYFUNCTION("""COMPUTED_VALUE"""),667.27)</f>
        <v>667.27</v>
      </c>
      <c r="F85" s="141">
        <f ca="1">IFERROR(__xludf.DUMMYFUNCTION("""COMPUTED_VALUE"""),671.3)</f>
        <v>671.3</v>
      </c>
      <c r="G85" s="143">
        <f ca="1">IFERROR(__xludf.DUMMYFUNCTION("""COMPUTED_VALUE"""),60493350)</f>
        <v>60493350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IFERROR(__xludf.DUMMYFUNCTION("""COMPUTED_VALUE"""),671.44)</f>
        <v>671.44</v>
      </c>
      <c r="D86" s="141">
        <f ca="1">IFERROR(__xludf.DUMMYFUNCTION("""COMPUTED_VALUE"""),672.99)</f>
        <v>672.99</v>
      </c>
      <c r="E86" s="141">
        <f ca="1">IFERROR(__xludf.DUMMYFUNCTION("""COMPUTED_VALUE"""),669.98)</f>
        <v>669.98</v>
      </c>
      <c r="F86" s="141">
        <f ca="1">IFERROR(__xludf.DUMMYFUNCTION("""COMPUTED_VALUE"""),671.29)</f>
        <v>671.29</v>
      </c>
      <c r="G86" s="143">
        <f ca="1">IFERROR(__xludf.DUMMYFUNCTION("""COMPUTED_VALUE"""),56249034)</f>
        <v>56249034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IFERROR(__xludf.DUMMYFUNCTION("""COMPUTED_VALUE"""),672)</f>
        <v>672</v>
      </c>
      <c r="D87" s="141">
        <f ca="1">IFERROR(__xludf.DUMMYFUNCTION("""COMPUTED_VALUE"""),672)</f>
        <v>672</v>
      </c>
      <c r="E87" s="141">
        <f ca="1">IFERROR(__xludf.DUMMYFUNCTION("""COMPUTED_VALUE"""),663.3)</f>
        <v>663.3</v>
      </c>
      <c r="F87" s="141">
        <f ca="1">IFERROR(__xludf.DUMMYFUNCTION("""COMPUTED_VALUE"""),667.8)</f>
        <v>667.8</v>
      </c>
      <c r="G87" s="143">
        <f ca="1">IFERROR(__xludf.DUMMYFUNCTION("""COMPUTED_VALUE"""),80564006)</f>
        <v>80564006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IFERROR(__xludf.DUMMYFUNCTION("""COMPUTED_VALUE"""),668.12)</f>
        <v>668.12</v>
      </c>
      <c r="D88" s="141">
        <f ca="1">IFERROR(__xludf.DUMMYFUNCTION("""COMPUTED_VALUE"""),672.71)</f>
        <v>672.71</v>
      </c>
      <c r="E88" s="141">
        <f ca="1">IFERROR(__xludf.DUMMYFUNCTION("""COMPUTED_VALUE"""),667.8)</f>
        <v>667.8</v>
      </c>
      <c r="F88" s="141">
        <f ca="1">IFERROR(__xludf.DUMMYFUNCTION("""COMPUTED_VALUE"""),671.76)</f>
        <v>671.76</v>
      </c>
      <c r="G88" s="143">
        <f ca="1">IFERROR(__xludf.DUMMYFUNCTION("""COMPUTED_VALUE"""),65604461)</f>
        <v>65604461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IFERROR(__xludf.DUMMYFUNCTION("""COMPUTED_VALUE"""),676.46)</f>
        <v>676.46</v>
      </c>
      <c r="D89" s="141">
        <f ca="1">IFERROR(__xludf.DUMMYFUNCTION("""COMPUTED_VALUE"""),678.47)</f>
        <v>678.47</v>
      </c>
      <c r="E89" s="141">
        <f ca="1">IFERROR(__xludf.DUMMYFUNCTION("""COMPUTED_VALUE"""),675.65)</f>
        <v>675.65</v>
      </c>
      <c r="F89" s="141">
        <f ca="1">IFERROR(__xludf.DUMMYFUNCTION("""COMPUTED_VALUE"""),677.25)</f>
        <v>677.25</v>
      </c>
      <c r="G89" s="143">
        <f ca="1">IFERROR(__xludf.DUMMYFUNCTION("""COMPUTED_VALUE"""),74356527)</f>
        <v>74356527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IFERROR(__xludf.DUMMYFUNCTION("""COMPUTED_VALUE"""),682.73)</f>
        <v>682.73</v>
      </c>
      <c r="D90" s="141">
        <f ca="1">IFERROR(__xludf.DUMMYFUNCTION("""COMPUTED_VALUE"""),685.54)</f>
        <v>685.54</v>
      </c>
      <c r="E90" s="141">
        <f ca="1">IFERROR(__xludf.DUMMYFUNCTION("""COMPUTED_VALUE"""),682.12)</f>
        <v>682.12</v>
      </c>
      <c r="F90" s="141">
        <f ca="1">IFERROR(__xludf.DUMMYFUNCTION("""COMPUTED_VALUE"""),685.24)</f>
        <v>685.24</v>
      </c>
      <c r="G90" s="143">
        <f ca="1">IFERROR(__xludf.DUMMYFUNCTION("""COMPUTED_VALUE"""),63339790)</f>
        <v>63339790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IFERROR(__xludf.DUMMYFUNCTION("""COMPUTED_VALUE"""),687.05)</f>
        <v>687.05</v>
      </c>
      <c r="D91" s="141">
        <f ca="1">IFERROR(__xludf.DUMMYFUNCTION("""COMPUTED_VALUE"""),688.91)</f>
        <v>688.91</v>
      </c>
      <c r="E91" s="141">
        <f ca="1">IFERROR(__xludf.DUMMYFUNCTION("""COMPUTED_VALUE"""),684.83)</f>
        <v>684.83</v>
      </c>
      <c r="F91" s="141">
        <f ca="1">IFERROR(__xludf.DUMMYFUNCTION("""COMPUTED_VALUE"""),687.06)</f>
        <v>687.06</v>
      </c>
      <c r="G91" s="143">
        <f ca="1">IFERROR(__xludf.DUMMYFUNCTION("""COMPUTED_VALUE"""),61738073)</f>
        <v>61738073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IFERROR(__xludf.DUMMYFUNCTION("""COMPUTED_VALUE"""),688.72)</f>
        <v>688.72</v>
      </c>
      <c r="D92" s="141">
        <f ca="1">IFERROR(__xludf.DUMMYFUNCTION("""COMPUTED_VALUE"""),689.7)</f>
        <v>689.7</v>
      </c>
      <c r="E92" s="141">
        <f ca="1">IFERROR(__xludf.DUMMYFUNCTION("""COMPUTED_VALUE"""),682.87)</f>
        <v>682.87</v>
      </c>
      <c r="F92" s="141">
        <f ca="1">IFERROR(__xludf.DUMMYFUNCTION("""COMPUTED_VALUE"""),687.39)</f>
        <v>687.39</v>
      </c>
      <c r="G92" s="143">
        <f ca="1">IFERROR(__xludf.DUMMYFUNCTION("""COMPUTED_VALUE"""),85362207)</f>
        <v>85362207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IFERROR(__xludf.DUMMYFUNCTION("""COMPUTED_VALUE"""),683.9)</f>
        <v>683.9</v>
      </c>
      <c r="D93" s="141">
        <f ca="1">IFERROR(__xludf.DUMMYFUNCTION("""COMPUTED_VALUE"""),685.94)</f>
        <v>685.94</v>
      </c>
      <c r="E93" s="141">
        <f ca="1">IFERROR(__xludf.DUMMYFUNCTION("""COMPUTED_VALUE"""),679.83)</f>
        <v>679.83</v>
      </c>
      <c r="F93" s="141">
        <f ca="1">IFERROR(__xludf.DUMMYFUNCTION("""COMPUTED_VALUE"""),679.83)</f>
        <v>679.83</v>
      </c>
      <c r="G93" s="143">
        <f ca="1">IFERROR(__xludf.DUMMYFUNCTION("""COMPUTED_VALUE"""),76335751)</f>
        <v>76335751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IFERROR(__xludf.DUMMYFUNCTION("""COMPUTED_VALUE"""),685.04)</f>
        <v>685.04</v>
      </c>
      <c r="D94" s="141">
        <f ca="1">IFERROR(__xludf.DUMMYFUNCTION("""COMPUTED_VALUE"""),685.08)</f>
        <v>685.08</v>
      </c>
      <c r="E94" s="141">
        <f ca="1">IFERROR(__xludf.DUMMYFUNCTION("""COMPUTED_VALUE"""),679.24)</f>
        <v>679.24</v>
      </c>
      <c r="F94" s="141">
        <f ca="1">IFERROR(__xludf.DUMMYFUNCTION("""COMPUTED_VALUE"""),682.06)</f>
        <v>682.06</v>
      </c>
      <c r="G94" s="143">
        <f ca="1">IFERROR(__xludf.DUMMYFUNCTION("""COMPUTED_VALUE"""),87164122)</f>
        <v>87164122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IFERROR(__xludf.DUMMYFUNCTION("""COMPUTED_VALUE"""),685.67)</f>
        <v>685.67</v>
      </c>
      <c r="D95" s="141">
        <f ca="1">IFERROR(__xludf.DUMMYFUNCTION("""COMPUTED_VALUE"""),685.8)</f>
        <v>685.8</v>
      </c>
      <c r="E95" s="141">
        <f ca="1">IFERROR(__xludf.DUMMYFUNCTION("""COMPUTED_VALUE"""),679.94)</f>
        <v>679.94</v>
      </c>
      <c r="F95" s="141">
        <f ca="1">IFERROR(__xludf.DUMMYFUNCTION("""COMPUTED_VALUE"""),683.34)</f>
        <v>683.34</v>
      </c>
      <c r="G95" s="143">
        <f ca="1">IFERROR(__xludf.DUMMYFUNCTION("""COMPUTED_VALUE"""),57315025)</f>
        <v>57315025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IFERROR(__xludf.DUMMYFUNCTION("""COMPUTED_VALUE"""),676.11)</f>
        <v>676.11</v>
      </c>
      <c r="D96" s="141">
        <f ca="1">IFERROR(__xludf.DUMMYFUNCTION("""COMPUTED_VALUE"""),679.96)</f>
        <v>679.96</v>
      </c>
      <c r="E96" s="141">
        <f ca="1">IFERROR(__xludf.DUMMYFUNCTION("""COMPUTED_VALUE"""),674.58)</f>
        <v>674.58</v>
      </c>
      <c r="F96" s="141">
        <f ca="1">IFERROR(__xludf.DUMMYFUNCTION("""COMPUTED_VALUE"""),675.24)</f>
        <v>675.24</v>
      </c>
      <c r="G96" s="143">
        <f ca="1">IFERROR(__xludf.DUMMYFUNCTION("""COMPUTED_VALUE"""),78426969)</f>
        <v>78426969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IFERROR(__xludf.DUMMYFUNCTION("""COMPUTED_VALUE"""),674.98)</f>
        <v>674.98</v>
      </c>
      <c r="D97" s="141">
        <f ca="1">IFERROR(__xludf.DUMMYFUNCTION("""COMPUTED_VALUE"""),680.86)</f>
        <v>680.86</v>
      </c>
      <c r="E97" s="141">
        <f ca="1">IFERROR(__xludf.DUMMYFUNCTION("""COMPUTED_VALUE"""),674.17)</f>
        <v>674.17</v>
      </c>
      <c r="F97" s="141">
        <f ca="1">IFERROR(__xludf.DUMMYFUNCTION("""COMPUTED_VALUE"""),677.58)</f>
        <v>677.58</v>
      </c>
      <c r="G97" s="143">
        <f ca="1">IFERROR(__xludf.DUMMYFUNCTION("""COMPUTED_VALUE"""),74402376)</f>
        <v>74402376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IFERROR(__xludf.DUMMYFUNCTION("""COMPUTED_VALUE"""),676.47)</f>
        <v>676.47</v>
      </c>
      <c r="D98" s="141">
        <f ca="1">IFERROR(__xludf.DUMMYFUNCTION("""COMPUTED_VALUE"""),677.38)</f>
        <v>677.38</v>
      </c>
      <c r="E98" s="141">
        <f ca="1">IFERROR(__xludf.DUMMYFUNCTION("""COMPUTED_VALUE"""),668.72)</f>
        <v>668.72</v>
      </c>
      <c r="F98" s="141">
        <f ca="1">IFERROR(__xludf.DUMMYFUNCTION("""COMPUTED_VALUE"""),670.31)</f>
        <v>670.31</v>
      </c>
      <c r="G98" s="143">
        <f ca="1">IFERROR(__xludf.DUMMYFUNCTION("""COMPUTED_VALUE"""),85035298)</f>
        <v>85035298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IFERROR(__xludf.DUMMYFUNCTION("""COMPUTED_VALUE"""),667.91)</f>
        <v>667.91</v>
      </c>
      <c r="D99" s="141">
        <f ca="1">IFERROR(__xludf.DUMMYFUNCTION("""COMPUTED_VALUE"""),671.08)</f>
        <v>671.08</v>
      </c>
      <c r="E99" s="141">
        <f ca="1">IFERROR(__xludf.DUMMYFUNCTION("""COMPUTED_VALUE"""),661.21)</f>
        <v>661.21</v>
      </c>
      <c r="F99" s="141">
        <f ca="1">IFERROR(__xludf.DUMMYFUNCTION("""COMPUTED_VALUE"""),670.97)</f>
        <v>670.97</v>
      </c>
      <c r="G99" s="143">
        <f ca="1">IFERROR(__xludf.DUMMYFUNCTION("""COMPUTED_VALUE"""),100592443)</f>
        <v>100592443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IFERROR(__xludf.DUMMYFUNCTION("""COMPUTED_VALUE"""),677.24)</f>
        <v>677.24</v>
      </c>
      <c r="D100" s="141">
        <f ca="1">IFERROR(__xludf.DUMMYFUNCTION("""COMPUTED_VALUE"""),682.18)</f>
        <v>682.18</v>
      </c>
      <c r="E100" s="141">
        <f ca="1">IFERROR(__xludf.DUMMYFUNCTION("""COMPUTED_VALUE"""),675.03)</f>
        <v>675.03</v>
      </c>
      <c r="F100" s="141">
        <f ca="1">IFERROR(__xludf.DUMMYFUNCTION("""COMPUTED_VALUE"""),681.44)</f>
        <v>681.44</v>
      </c>
      <c r="G100" s="143">
        <f ca="1">IFERROR(__xludf.DUMMYFUNCTION("""COMPUTED_VALUE"""),75842888)</f>
        <v>75842888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IFERROR(__xludf.DUMMYFUNCTION("""COMPUTED_VALUE"""),679.95)</f>
        <v>679.95</v>
      </c>
      <c r="D101" s="141">
        <f ca="1">IFERROR(__xludf.DUMMYFUNCTION("""COMPUTED_VALUE"""),683.57)</f>
        <v>683.57</v>
      </c>
      <c r="E101" s="141">
        <f ca="1">IFERROR(__xludf.DUMMYFUNCTION("""COMPUTED_VALUE"""),678.73)</f>
        <v>678.73</v>
      </c>
      <c r="F101" s="141">
        <f ca="1">IFERROR(__xludf.DUMMYFUNCTION("""COMPUTED_VALUE"""),683)</f>
        <v>683</v>
      </c>
      <c r="G101" s="143">
        <f ca="1">IFERROR(__xludf.DUMMYFUNCTION("""COMPUTED_VALUE"""),58953385)</f>
        <v>58953385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IFERROR(__xludf.DUMMYFUNCTION("""COMPUTED_VALUE"""),684.79)</f>
        <v>684.79</v>
      </c>
      <c r="D102" s="141">
        <f ca="1">IFERROR(__xludf.DUMMYFUNCTION("""COMPUTED_VALUE"""),684.96)</f>
        <v>684.96</v>
      </c>
      <c r="E102" s="141">
        <f ca="1">IFERROR(__xludf.DUMMYFUNCTION("""COMPUTED_VALUE"""),680.95)</f>
        <v>680.95</v>
      </c>
      <c r="F102" s="141">
        <f ca="1">IFERROR(__xludf.DUMMYFUNCTION("""COMPUTED_VALUE"""),683.38)</f>
        <v>683.38</v>
      </c>
      <c r="G102" s="143">
        <f ca="1">IFERROR(__xludf.DUMMYFUNCTION("""COMPUTED_VALUE"""),62312484)</f>
        <v>62312484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IFERROR(__xludf.DUMMYFUNCTION("""COMPUTED_VALUE"""),680.5)</f>
        <v>680.5</v>
      </c>
      <c r="D103" s="141">
        <f ca="1">IFERROR(__xludf.DUMMYFUNCTION("""COMPUTED_VALUE"""),680.86)</f>
        <v>680.86</v>
      </c>
      <c r="E103" s="141">
        <f ca="1">IFERROR(__xludf.DUMMYFUNCTION("""COMPUTED_VALUE"""),670.52)</f>
        <v>670.52</v>
      </c>
      <c r="F103" s="141">
        <f ca="1">IFERROR(__xludf.DUMMYFUNCTION("""COMPUTED_VALUE"""),672.04)</f>
        <v>672.04</v>
      </c>
      <c r="G103" s="143">
        <f ca="1">IFERROR(__xludf.DUMMYFUNCTION("""COMPUTED_VALUE"""),103457788)</f>
        <v>103457788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IFERROR(__xludf.DUMMYFUNCTION("""COMPUTED_VALUE"""),665.38)</f>
        <v>665.38</v>
      </c>
      <c r="D104" s="141">
        <f ca="1">IFERROR(__xludf.DUMMYFUNCTION("""COMPUTED_VALUE"""),675.66)</f>
        <v>675.66</v>
      </c>
      <c r="E104" s="141">
        <f ca="1">IFERROR(__xludf.DUMMYFUNCTION("""COMPUTED_VALUE"""),663.27)</f>
        <v>663.27</v>
      </c>
      <c r="F104" s="141">
        <f ca="1">IFERROR(__xludf.DUMMYFUNCTION("""COMPUTED_VALUE"""),671.93)</f>
        <v>671.93</v>
      </c>
      <c r="G104" s="143">
        <f ca="1">IFERROR(__xludf.DUMMYFUNCTION("""COMPUTED_VALUE"""),96846672)</f>
        <v>96846672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IFERROR(__xludf.DUMMYFUNCTION("""COMPUTED_VALUE"""),669.7)</f>
        <v>669.7</v>
      </c>
      <c r="D105" s="141">
        <f ca="1">IFERROR(__xludf.DUMMYFUNCTION("""COMPUTED_VALUE"""),673.71)</f>
        <v>673.71</v>
      </c>
      <c r="E105" s="141">
        <f ca="1">IFERROR(__xludf.DUMMYFUNCTION("""COMPUTED_VALUE"""),662.17)</f>
        <v>662.17</v>
      </c>
      <c r="F105" s="141">
        <f ca="1">IFERROR(__xludf.DUMMYFUNCTION("""COMPUTED_VALUE"""),665.67)</f>
        <v>665.67</v>
      </c>
      <c r="G105" s="143">
        <f ca="1">IFERROR(__xludf.DUMMYFUNCTION("""COMPUTED_VALUE"""),90456105)</f>
        <v>90456105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IFERROR(__xludf.DUMMYFUNCTION("""COMPUTED_VALUE"""),662.1)</f>
        <v>662.1</v>
      </c>
      <c r="D106" s="141">
        <f ca="1">IFERROR(__xludf.DUMMYFUNCTION("""COMPUTED_VALUE"""),665.12)</f>
        <v>665.12</v>
      </c>
      <c r="E106" s="141">
        <f ca="1">IFERROR(__xludf.DUMMYFUNCTION("""COMPUTED_VALUE"""),655.86)</f>
        <v>655.86</v>
      </c>
      <c r="F106" s="141">
        <f ca="1">IFERROR(__xludf.DUMMYFUNCTION("""COMPUTED_VALUE"""),660.08)</f>
        <v>660.08</v>
      </c>
      <c r="G106" s="143">
        <f ca="1">IFERROR(__xludf.DUMMYFUNCTION("""COMPUTED_VALUE"""),114467488)</f>
        <v>114467488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IFERROR(__xludf.DUMMYFUNCTION("""COMPUTED_VALUE"""),660.78)</f>
        <v>660.78</v>
      </c>
      <c r="D107" s="141">
        <f ca="1">IFERROR(__xludf.DUMMYFUNCTION("""COMPUTED_VALUE"""),667.34)</f>
        <v>667.34</v>
      </c>
      <c r="E107" s="141">
        <f ca="1">IFERROR(__xludf.DUMMYFUNCTION("""COMPUTED_VALUE"""),658.75)</f>
        <v>658.75</v>
      </c>
      <c r="F107" s="141">
        <f ca="1">IFERROR(__xludf.DUMMYFUNCTION("""COMPUTED_VALUE"""),662.63)</f>
        <v>662.63</v>
      </c>
      <c r="G107" s="143">
        <f ca="1">IFERROR(__xludf.DUMMYFUNCTION("""COMPUTED_VALUE"""),94702955)</f>
        <v>94702955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IFERROR(__xludf.DUMMYFUNCTION("""COMPUTED_VALUE"""),672.91)</f>
        <v>672.91</v>
      </c>
      <c r="D108" s="141">
        <f ca="1">IFERROR(__xludf.DUMMYFUNCTION("""COMPUTED_VALUE"""),675.56)</f>
        <v>675.56</v>
      </c>
      <c r="E108" s="141">
        <f ca="1">IFERROR(__xludf.DUMMYFUNCTION("""COMPUTED_VALUE"""),651.89)</f>
        <v>651.89</v>
      </c>
      <c r="F108" s="141">
        <f ca="1">IFERROR(__xludf.DUMMYFUNCTION("""COMPUTED_VALUE"""),652.53)</f>
        <v>652.53</v>
      </c>
      <c r="G108" s="143">
        <f ca="1">IFERROR(__xludf.DUMMYFUNCTION("""COMPUTED_VALUE"""),165293521)</f>
        <v>165293521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IFERROR(__xludf.DUMMYFUNCTION("""COMPUTED_VALUE"""),655.05)</f>
        <v>655.04999999999995</v>
      </c>
      <c r="D109" s="141">
        <f ca="1">IFERROR(__xludf.DUMMYFUNCTION("""COMPUTED_VALUE"""),664.55)</f>
        <v>664.55</v>
      </c>
      <c r="E109" s="141">
        <f ca="1">IFERROR(__xludf.DUMMYFUNCTION("""COMPUTED_VALUE"""),650.85)</f>
        <v>650.85</v>
      </c>
      <c r="F109" s="141">
        <f ca="1">IFERROR(__xludf.DUMMYFUNCTION("""COMPUTED_VALUE"""),659.03)</f>
        <v>659.03</v>
      </c>
      <c r="G109" s="143">
        <f ca="1">IFERROR(__xludf.DUMMYFUNCTION("""COMPUTED_VALUE"""),123956203)</f>
        <v>123956203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IFERROR(__xludf.DUMMYFUNCTION("""COMPUTED_VALUE"""),662.69)</f>
        <v>662.69</v>
      </c>
      <c r="D110" s="141">
        <f ca="1">IFERROR(__xludf.DUMMYFUNCTION("""COMPUTED_VALUE"""),670.06)</f>
        <v>670.06</v>
      </c>
      <c r="E110" s="141">
        <f ca="1">IFERROR(__xludf.DUMMYFUNCTION("""COMPUTED_VALUE"""),661.59)</f>
        <v>661.59</v>
      </c>
      <c r="F110" s="141">
        <f ca="1">IFERROR(__xludf.DUMMYFUNCTION("""COMPUTED_VALUE"""),668.73)</f>
        <v>668.73</v>
      </c>
      <c r="G110" s="143">
        <f ca="1">IFERROR(__xludf.DUMMYFUNCTION("""COMPUTED_VALUE"""),80437940)</f>
        <v>80437940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IFERROR(__xludf.DUMMYFUNCTION("""COMPUTED_VALUE"""),668.63)</f>
        <v>668.63</v>
      </c>
      <c r="D111" s="141">
        <f ca="1">IFERROR(__xludf.DUMMYFUNCTION("""COMPUTED_VALUE"""),676.21)</f>
        <v>676.21</v>
      </c>
      <c r="E111" s="141">
        <f ca="1">IFERROR(__xludf.DUMMYFUNCTION("""COMPUTED_VALUE"""),664.48)</f>
        <v>664.48</v>
      </c>
      <c r="F111" s="141">
        <f ca="1">IFERROR(__xludf.DUMMYFUNCTION("""COMPUTED_VALUE"""),675.02)</f>
        <v>675.02</v>
      </c>
      <c r="G111" s="143">
        <f ca="1">IFERROR(__xludf.DUMMYFUNCTION("""COMPUTED_VALUE"""),81077088)</f>
        <v>81077088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IFERROR(__xludf.DUMMYFUNCTION("""COMPUTED_VALUE"""),677.63)</f>
        <v>677.63</v>
      </c>
      <c r="D112" s="141">
        <f ca="1">IFERROR(__xludf.DUMMYFUNCTION("""COMPUTED_VALUE"""),681.7)</f>
        <v>681.7</v>
      </c>
      <c r="E112" s="141">
        <f ca="1">IFERROR(__xludf.DUMMYFUNCTION("""COMPUTED_VALUE"""),676.72)</f>
        <v>676.72</v>
      </c>
      <c r="F112" s="141">
        <f ca="1">IFERROR(__xludf.DUMMYFUNCTION("""COMPUTED_VALUE"""),679.68)</f>
        <v>679.68</v>
      </c>
      <c r="G112" s="143">
        <f ca="1">IFERROR(__xludf.DUMMYFUNCTION("""COMPUTED_VALUE"""),71879597)</f>
        <v>71879597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IFERROR(__xludf.DUMMYFUNCTION("""COMPUTED_VALUE"""),680.86)</f>
        <v>680.86</v>
      </c>
      <c r="D113" s="141">
        <f ca="1">IFERROR(__xludf.DUMMYFUNCTION("""COMPUTED_VALUE"""),683.67)</f>
        <v>683.67</v>
      </c>
      <c r="E113" s="141">
        <f ca="1">IFERROR(__xludf.DUMMYFUNCTION("""COMPUTED_VALUE"""),680.5)</f>
        <v>680.5</v>
      </c>
      <c r="F113" s="141">
        <f ca="1">IFERROR(__xludf.DUMMYFUNCTION("""COMPUTED_VALUE"""),683.39)</f>
        <v>683.39</v>
      </c>
      <c r="G113" s="143">
        <f ca="1">IFERROR(__xludf.DUMMYFUNCTION("""COMPUTED_VALUE"""),49212030)</f>
        <v>49212030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IFERROR(__xludf.DUMMYFUNCTION("""COMPUTED_VALUE"""),678.81)</f>
        <v>678.81</v>
      </c>
      <c r="D114" s="141">
        <f ca="1">IFERROR(__xludf.DUMMYFUNCTION("""COMPUTED_VALUE"""),682.99)</f>
        <v>682.99</v>
      </c>
      <c r="E114" s="141">
        <f ca="1">IFERROR(__xludf.DUMMYFUNCTION("""COMPUTED_VALUE"""),678.74)</f>
        <v>678.74</v>
      </c>
      <c r="F114" s="141">
        <f ca="1">IFERROR(__xludf.DUMMYFUNCTION("""COMPUTED_VALUE"""),680.27)</f>
        <v>680.27</v>
      </c>
      <c r="G114" s="143">
        <f ca="1">IFERROR(__xludf.DUMMYFUNCTION("""COMPUTED_VALUE"""),61201193)</f>
        <v>61201193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IFERROR(__xludf.DUMMYFUNCTION("""COMPUTED_VALUE"""),681.92)</f>
        <v>681.92</v>
      </c>
      <c r="D115" s="141">
        <f ca="1">IFERROR(__xludf.DUMMYFUNCTION("""COMPUTED_VALUE"""),683.82)</f>
        <v>683.82</v>
      </c>
      <c r="E115" s="141">
        <f ca="1">IFERROR(__xludf.DUMMYFUNCTION("""COMPUTED_VALUE"""),679.33)</f>
        <v>679.33</v>
      </c>
      <c r="F115" s="141">
        <f ca="1">IFERROR(__xludf.DUMMYFUNCTION("""COMPUTED_VALUE"""),681.53)</f>
        <v>681.53</v>
      </c>
      <c r="G115" s="143">
        <f ca="1">IFERROR(__xludf.DUMMYFUNCTION("""COMPUTED_VALUE"""),62953844)</f>
        <v>62953844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IFERROR(__xludf.DUMMYFUNCTION("""COMPUTED_VALUE"""),680.57)</f>
        <v>680.57</v>
      </c>
      <c r="D116" s="141">
        <f ca="1">IFERROR(__xludf.DUMMYFUNCTION("""COMPUTED_VALUE"""),684.91)</f>
        <v>684.91</v>
      </c>
      <c r="E116" s="141">
        <f ca="1">IFERROR(__xludf.DUMMYFUNCTION("""COMPUTED_VALUE"""),679.69)</f>
        <v>679.69</v>
      </c>
      <c r="F116" s="141">
        <f ca="1">IFERROR(__xludf.DUMMYFUNCTION("""COMPUTED_VALUE"""),683.89)</f>
        <v>683.89</v>
      </c>
      <c r="G116" s="143">
        <f ca="1">IFERROR(__xludf.DUMMYFUNCTION("""COMPUTED_VALUE"""),57238481)</f>
        <v>57238481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IFERROR(__xludf.DUMMYFUNCTION("""COMPUTED_VALUE"""),685.3)</f>
        <v>685.3</v>
      </c>
      <c r="D117" s="141">
        <f ca="1">IFERROR(__xludf.DUMMYFUNCTION("""COMPUTED_VALUE"""),685.37)</f>
        <v>685.37</v>
      </c>
      <c r="E117" s="141">
        <f ca="1">IFERROR(__xludf.DUMMYFUNCTION("""COMPUTED_VALUE"""),681.34)</f>
        <v>681.34</v>
      </c>
      <c r="F117" s="141">
        <f ca="1">IFERROR(__xludf.DUMMYFUNCTION("""COMPUTED_VALUE"""),684.39)</f>
        <v>684.39</v>
      </c>
      <c r="G117" s="143">
        <f ca="1">IFERROR(__xludf.DUMMYFUNCTION("""COMPUTED_VALUE"""),61970336)</f>
        <v>61970336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IFERROR(__xludf.DUMMYFUNCTION("""COMPUTED_VALUE"""),685.47)</f>
        <v>685.47</v>
      </c>
      <c r="D118" s="141">
        <f ca="1">IFERROR(__xludf.DUMMYFUNCTION("""COMPUTED_VALUE"""),688.39)</f>
        <v>688.39</v>
      </c>
      <c r="E118" s="141">
        <f ca="1">IFERROR(__xludf.DUMMYFUNCTION("""COMPUTED_VALUE"""),684.58)</f>
        <v>684.58</v>
      </c>
      <c r="F118" s="141">
        <f ca="1">IFERROR(__xludf.DUMMYFUNCTION("""COMPUTED_VALUE"""),685.69)</f>
        <v>685.69</v>
      </c>
      <c r="G118" s="143">
        <f ca="1">IFERROR(__xludf.DUMMYFUNCTION("""COMPUTED_VALUE"""),79241045)</f>
        <v>79241045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IFERROR(__xludf.DUMMYFUNCTION("""COMPUTED_VALUE"""),686.59)</f>
        <v>686.59</v>
      </c>
      <c r="D119" s="141">
        <f ca="1">IFERROR(__xludf.DUMMYFUNCTION("""COMPUTED_VALUE"""),686.64)</f>
        <v>686.64</v>
      </c>
      <c r="E119" s="141">
        <f ca="1">IFERROR(__xludf.DUMMYFUNCTION("""COMPUTED_VALUE"""),681.57)</f>
        <v>681.57</v>
      </c>
      <c r="F119" s="141">
        <f ca="1">IFERROR(__xludf.DUMMYFUNCTION("""COMPUTED_VALUE"""),683.63)</f>
        <v>683.63</v>
      </c>
      <c r="G119" s="143">
        <f ca="1">IFERROR(__xludf.DUMMYFUNCTION("""COMPUTED_VALUE"""),55231462)</f>
        <v>55231462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IFERROR(__xludf.DUMMYFUNCTION("""COMPUTED_VALUE"""),683.15)</f>
        <v>683.15</v>
      </c>
      <c r="D120" s="141">
        <f ca="1">IFERROR(__xludf.DUMMYFUNCTION("""COMPUTED_VALUE"""),685.39)</f>
        <v>685.39</v>
      </c>
      <c r="E120" s="141">
        <f ca="1">IFERROR(__xludf.DUMMYFUNCTION("""COMPUTED_VALUE"""),682.59)</f>
        <v>682.59</v>
      </c>
      <c r="F120" s="141">
        <f ca="1">IFERROR(__xludf.DUMMYFUNCTION("""COMPUTED_VALUE"""),683.04)</f>
        <v>683.04</v>
      </c>
      <c r="G120" s="143">
        <f ca="1">IFERROR(__xludf.DUMMYFUNCTION("""COMPUTED_VALUE"""),58310055)</f>
        <v>58310055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IFERROR(__xludf.DUMMYFUNCTION("""COMPUTED_VALUE"""),682.56)</f>
        <v>682.56</v>
      </c>
      <c r="D121" s="141">
        <f ca="1">IFERROR(__xludf.DUMMYFUNCTION("""COMPUTED_VALUE"""),688.97)</f>
        <v>688.97</v>
      </c>
      <c r="E121" s="141">
        <f ca="1">IFERROR(__xludf.DUMMYFUNCTION("""COMPUTED_VALUE"""),681.31)</f>
        <v>681.31</v>
      </c>
      <c r="F121" s="141">
        <f ca="1">IFERROR(__xludf.DUMMYFUNCTION("""COMPUTED_VALUE"""),687.57)</f>
        <v>687.57</v>
      </c>
      <c r="G121" s="143">
        <f ca="1">IFERROR(__xludf.DUMMYFUNCTION("""COMPUTED_VALUE"""),85671334)</f>
        <v>85671334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IFERROR(__xludf.DUMMYFUNCTION("""COMPUTED_VALUE"""),685.14)</f>
        <v>685.14</v>
      </c>
      <c r="D122" s="141">
        <f ca="1">IFERROR(__xludf.DUMMYFUNCTION("""COMPUTED_VALUE"""),689.25)</f>
        <v>689.25</v>
      </c>
      <c r="E122" s="141">
        <f ca="1">IFERROR(__xludf.DUMMYFUNCTION("""COMPUTED_VALUE"""),682.17)</f>
        <v>682.17</v>
      </c>
      <c r="F122" s="141">
        <f ca="1">IFERROR(__xludf.DUMMYFUNCTION("""COMPUTED_VALUE"""),689.17)</f>
        <v>689.17</v>
      </c>
      <c r="G122" s="143">
        <f ca="1">IFERROR(__xludf.DUMMYFUNCTION("""COMPUTED_VALUE"""),86173678)</f>
        <v>86173678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IFERROR(__xludf.DUMMYFUNCTION("""COMPUTED_VALUE"""),688.17)</f>
        <v>688.17</v>
      </c>
      <c r="D123" s="141">
        <f ca="1">IFERROR(__xludf.DUMMYFUNCTION("""COMPUTED_VALUE"""),688.88)</f>
        <v>688.88</v>
      </c>
      <c r="E123" s="141">
        <f ca="1">IFERROR(__xludf.DUMMYFUNCTION("""COMPUTED_VALUE"""),679.17)</f>
        <v>679.17</v>
      </c>
      <c r="F123" s="141">
        <f ca="1">IFERROR(__xludf.DUMMYFUNCTION("""COMPUTED_VALUE"""),681.76)</f>
        <v>681.76</v>
      </c>
      <c r="G123" s="143">
        <f ca="1">IFERROR(__xludf.DUMMYFUNCTION("""COMPUTED_VALUE"""),113160347)</f>
        <v>113160347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IFERROR(__xludf.DUMMYFUNCTION("""COMPUTED_VALUE"""),685.74)</f>
        <v>685.74</v>
      </c>
      <c r="D124" s="141">
        <f ca="1">IFERROR(__xludf.DUMMYFUNCTION("""COMPUTED_VALUE"""),685.76)</f>
        <v>685.76</v>
      </c>
      <c r="E124" s="141">
        <f ca="1">IFERROR(__xludf.DUMMYFUNCTION("""COMPUTED_VALUE"""),679.25)</f>
        <v>679.25</v>
      </c>
      <c r="F124" s="141">
        <f ca="1">IFERROR(__xludf.DUMMYFUNCTION("""COMPUTED_VALUE"""),680.73)</f>
        <v>680.73</v>
      </c>
      <c r="G124" s="143">
        <f ca="1">IFERROR(__xludf.DUMMYFUNCTION("""COMPUTED_VALUE"""),90810952)</f>
        <v>90810952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IFERROR(__xludf.DUMMYFUNCTION("""COMPUTED_VALUE"""),679.23)</f>
        <v>679.23</v>
      </c>
      <c r="D125" s="141">
        <f ca="1">IFERROR(__xludf.DUMMYFUNCTION("""COMPUTED_VALUE"""),681.08)</f>
        <v>681.08</v>
      </c>
      <c r="E125" s="141">
        <f ca="1">IFERROR(__xludf.DUMMYFUNCTION("""COMPUTED_VALUE"""),674.98)</f>
        <v>674.98</v>
      </c>
      <c r="F125" s="141">
        <f ca="1">IFERROR(__xludf.DUMMYFUNCTION("""COMPUTED_VALUE"""),678.87)</f>
        <v>678.87</v>
      </c>
      <c r="G125" s="143">
        <f ca="1">IFERROR(__xludf.DUMMYFUNCTION("""COMPUTED_VALUE"""),122030631)</f>
        <v>122030631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IFERROR(__xludf.DUMMYFUNCTION("""COMPUTED_VALUE"""),679.89)</f>
        <v>679.89</v>
      </c>
      <c r="D126" s="141">
        <f ca="1">IFERROR(__xludf.DUMMYFUNCTION("""COMPUTED_VALUE"""),680.44)</f>
        <v>680.44</v>
      </c>
      <c r="E126" s="141">
        <f ca="1">IFERROR(__xludf.DUMMYFUNCTION("""COMPUTED_VALUE"""),671.2)</f>
        <v>671.2</v>
      </c>
      <c r="F126" s="141">
        <f ca="1">IFERROR(__xludf.DUMMYFUNCTION("""COMPUTED_VALUE"""),671.4)</f>
        <v>671.4</v>
      </c>
      <c r="G126" s="143">
        <f ca="1">IFERROR(__xludf.DUMMYFUNCTION("""COMPUTED_VALUE"""),110625198)</f>
        <v>110625198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IFERROR(__xludf.DUMMYFUNCTION("""COMPUTED_VALUE"""),677.6)</f>
        <v>677.6</v>
      </c>
      <c r="D127" s="141">
        <f ca="1">IFERROR(__xludf.DUMMYFUNCTION("""COMPUTED_VALUE"""),680.74)</f>
        <v>680.74</v>
      </c>
      <c r="E127" s="141">
        <f ca="1">IFERROR(__xludf.DUMMYFUNCTION("""COMPUTED_VALUE"""),674.9)</f>
        <v>674.9</v>
      </c>
      <c r="F127" s="141">
        <f ca="1">IFERROR(__xludf.DUMMYFUNCTION("""COMPUTED_VALUE"""),676.47)</f>
        <v>676.47</v>
      </c>
      <c r="G127" s="143">
        <f ca="1">IFERROR(__xludf.DUMMYFUNCTION("""COMPUTED_VALUE"""),108650128)</f>
        <v>108650128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IFERROR(__xludf.DUMMYFUNCTION("""COMPUTED_VALUE"""),676.59)</f>
        <v>676.59</v>
      </c>
      <c r="D128" s="141">
        <f ca="1">IFERROR(__xludf.DUMMYFUNCTION("""COMPUTED_VALUE"""),681.09)</f>
        <v>681.09</v>
      </c>
      <c r="E128" s="141">
        <f ca="1">IFERROR(__xludf.DUMMYFUNCTION("""COMPUTED_VALUE"""),676.47)</f>
        <v>676.47</v>
      </c>
      <c r="F128" s="141">
        <f ca="1">IFERROR(__xludf.DUMMYFUNCTION("""COMPUTED_VALUE"""),680.59)</f>
        <v>680.59</v>
      </c>
      <c r="G128" s="143">
        <f ca="1">IFERROR(__xludf.DUMMYFUNCTION("""COMPUTED_VALUE"""),103599543)</f>
        <v>103599543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IFERROR(__xludf.DUMMYFUNCTION("""COMPUTED_VALUE"""),683.94)</f>
        <v>683.94</v>
      </c>
      <c r="D129" s="141">
        <f ca="1">IFERROR(__xludf.DUMMYFUNCTION("""COMPUTED_VALUE"""),685.36)</f>
        <v>685.36</v>
      </c>
      <c r="E129" s="141">
        <f ca="1">IFERROR(__xludf.DUMMYFUNCTION("""COMPUTED_VALUE"""),680.59)</f>
        <v>680.59</v>
      </c>
      <c r="F129" s="141">
        <f ca="1">IFERROR(__xludf.DUMMYFUNCTION("""COMPUTED_VALUE"""),684.83)</f>
        <v>684.83</v>
      </c>
      <c r="G129" s="143">
        <f ca="1">IFERROR(__xludf.DUMMYFUNCTION("""COMPUTED_VALUE"""),69556733)</f>
        <v>69556733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IFERROR(__xludf.DUMMYFUNCTION("""COMPUTED_VALUE"""),683.92)</f>
        <v>683.92</v>
      </c>
      <c r="D130" s="141">
        <f ca="1">IFERROR(__xludf.DUMMYFUNCTION("""COMPUTED_VALUE"""),688.2)</f>
        <v>688.2</v>
      </c>
      <c r="E130" s="141">
        <f ca="1">IFERROR(__xludf.DUMMYFUNCTION("""COMPUTED_VALUE"""),683.87)</f>
        <v>683.87</v>
      </c>
      <c r="F130" s="141">
        <f ca="1">IFERROR(__xludf.DUMMYFUNCTION("""COMPUTED_VALUE"""),687.96)</f>
        <v>687.96</v>
      </c>
      <c r="G130" s="143">
        <f ca="1">IFERROR(__xludf.DUMMYFUNCTION("""COMPUTED_VALUE"""),64839951)</f>
        <v>64839951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IFERROR(__xludf.DUMMYFUNCTION("""COMPUTED_VALUE"""),687.95)</f>
        <v>687.95</v>
      </c>
      <c r="D131" s="141">
        <f ca="1">IFERROR(__xludf.DUMMYFUNCTION("""COMPUTED_VALUE"""),690.83)</f>
        <v>690.83</v>
      </c>
      <c r="E131" s="141">
        <f ca="1">IFERROR(__xludf.DUMMYFUNCTION("""COMPUTED_VALUE"""),687.8)</f>
        <v>687.8</v>
      </c>
      <c r="F131" s="141">
        <f ca="1">IFERROR(__xludf.DUMMYFUNCTION("""COMPUTED_VALUE"""),690.38)</f>
        <v>690.38</v>
      </c>
      <c r="G131" s="143">
        <f ca="1">IFERROR(__xludf.DUMMYFUNCTION("""COMPUTED_VALUE"""),39445560)</f>
        <v>39445560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IFERROR(__xludf.DUMMYFUNCTION("""COMPUTED_VALUE"""),690.64)</f>
        <v>690.64</v>
      </c>
      <c r="D132" s="141">
        <f ca="1">IFERROR(__xludf.DUMMYFUNCTION("""COMPUTED_VALUE"""),691.66)</f>
        <v>691.66</v>
      </c>
      <c r="E132" s="141">
        <f ca="1">IFERROR(__xludf.DUMMYFUNCTION("""COMPUTED_VALUE"""),689.27)</f>
        <v>689.27</v>
      </c>
      <c r="F132" s="141">
        <f ca="1">IFERROR(__xludf.DUMMYFUNCTION("""COMPUTED_VALUE"""),690.31)</f>
        <v>690.31</v>
      </c>
      <c r="G132" s="143">
        <f ca="1">IFERROR(__xludf.DUMMYFUNCTION("""COMPUTED_VALUE"""),41613347)</f>
        <v>41613347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IFERROR(__xludf.DUMMYFUNCTION("""COMPUTED_VALUE"""),687.54)</f>
        <v>687.54</v>
      </c>
      <c r="D133" s="141">
        <f ca="1">IFERROR(__xludf.DUMMYFUNCTION("""COMPUTED_VALUE"""),689.2)</f>
        <v>689.2</v>
      </c>
      <c r="E133" s="141">
        <f ca="1">IFERROR(__xludf.DUMMYFUNCTION("""COMPUTED_VALUE"""),686.07)</f>
        <v>686.07</v>
      </c>
      <c r="F133" s="141">
        <f ca="1">IFERROR(__xludf.DUMMYFUNCTION("""COMPUTED_VALUE"""),687.85)</f>
        <v>687.85</v>
      </c>
      <c r="G133" s="143">
        <f ca="1">IFERROR(__xludf.DUMMYFUNCTION("""COMPUTED_VALUE"""),62559503)</f>
        <v>62559503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IFERROR(__xludf.DUMMYFUNCTION("""COMPUTED_VALUE"""),687.45)</f>
        <v>687.45</v>
      </c>
      <c r="D134" s="141">
        <f ca="1">IFERROR(__xludf.DUMMYFUNCTION("""COMPUTED_VALUE"""),688.56)</f>
        <v>688.56</v>
      </c>
      <c r="E134" s="141">
        <f ca="1">IFERROR(__xludf.DUMMYFUNCTION("""COMPUTED_VALUE"""),686.58)</f>
        <v>686.58</v>
      </c>
      <c r="F134" s="141">
        <f ca="1">IFERROR(__xludf.DUMMYFUNCTION("""COMPUTED_VALUE"""),687.01)</f>
        <v>687.01</v>
      </c>
      <c r="G134" s="143">
        <f ca="1">IFERROR(__xludf.DUMMYFUNCTION("""COMPUTED_VALUE"""),47160671)</f>
        <v>47160671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IFERROR(__xludf.DUMMYFUNCTION("""COMPUTED_VALUE"""),687.14)</f>
        <v>687.14</v>
      </c>
      <c r="D135" s="141">
        <f ca="1">IFERROR(__xludf.DUMMYFUNCTION("""COMPUTED_VALUE"""),687.36)</f>
        <v>687.36</v>
      </c>
      <c r="E135" s="141">
        <f ca="1">IFERROR(__xludf.DUMMYFUNCTION("""COMPUTED_VALUE"""),681.71)</f>
        <v>681.71</v>
      </c>
      <c r="F135" s="141">
        <f ca="1">IFERROR(__xludf.DUMMYFUNCTION("""COMPUTED_VALUE"""),681.92)</f>
        <v>681.92</v>
      </c>
      <c r="G135" s="143">
        <f ca="1">IFERROR(__xludf.DUMMYFUNCTION("""COMPUTED_VALUE"""),74144801)</f>
        <v>74144801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IFERROR(__xludf.DUMMYFUNCTION("""COMPUTED_VALUE"""),685.71)</f>
        <v>685.71</v>
      </c>
      <c r="D136" s="141">
        <f ca="1">IFERROR(__xludf.DUMMYFUNCTION("""COMPUTED_VALUE"""),686.87)</f>
        <v>686.87</v>
      </c>
      <c r="E136" s="141">
        <f ca="1">IFERROR(__xludf.DUMMYFUNCTION("""COMPUTED_VALUE"""),679.82)</f>
        <v>679.82</v>
      </c>
      <c r="F136" s="141">
        <f ca="1">IFERROR(__xludf.DUMMYFUNCTION("""COMPUTED_VALUE"""),683.17)</f>
        <v>683.17</v>
      </c>
      <c r="G136" s="143">
        <f ca="1">IFERROR(__xludf.DUMMYFUNCTION("""COMPUTED_VALUE"""),89377203)</f>
        <v>89377203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IFERROR(__xludf.DUMMYFUNCTION("""COMPUTED_VALUE"""),686.54)</f>
        <v>686.54</v>
      </c>
      <c r="D137" s="141">
        <f ca="1">IFERROR(__xludf.DUMMYFUNCTION("""COMPUTED_VALUE"""),689.43)</f>
        <v>689.43</v>
      </c>
      <c r="E137" s="141">
        <f ca="1">IFERROR(__xludf.DUMMYFUNCTION("""COMPUTED_VALUE"""),686.38)</f>
        <v>686.38</v>
      </c>
      <c r="F137" s="141">
        <f ca="1">IFERROR(__xludf.DUMMYFUNCTION("""COMPUTED_VALUE"""),687.72)</f>
        <v>687.72</v>
      </c>
      <c r="G137" s="143">
        <f ca="1">IFERROR(__xludf.DUMMYFUNCTION("""COMPUTED_VALUE"""),71927191)</f>
        <v>71927191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IFERROR(__xludf.DUMMYFUNCTION("""COMPUTED_VALUE"""),687.93)</f>
        <v>687.93</v>
      </c>
      <c r="D138" s="141">
        <f ca="1">IFERROR(__xludf.DUMMYFUNCTION("""COMPUTED_VALUE"""),692.32)</f>
        <v>692.32</v>
      </c>
      <c r="E138" s="141">
        <f ca="1">IFERROR(__xludf.DUMMYFUNCTION("""COMPUTED_VALUE"""),687.78)</f>
        <v>687.78</v>
      </c>
      <c r="F138" s="141">
        <f ca="1">IFERROR(__xludf.DUMMYFUNCTION("""COMPUTED_VALUE"""),691.81)</f>
        <v>691.81</v>
      </c>
      <c r="G138" s="143">
        <f ca="1">IFERROR(__xludf.DUMMYFUNCTION("""COMPUTED_VALUE"""),69273827)</f>
        <v>69273827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IFERROR(__xludf.DUMMYFUNCTION("""COMPUTED_VALUE"""),692.19)</f>
        <v>692.19</v>
      </c>
      <c r="D139" s="141">
        <f ca="1">IFERROR(__xludf.DUMMYFUNCTION("""COMPUTED_VALUE"""),693.96)</f>
        <v>693.96</v>
      </c>
      <c r="E139" s="141">
        <f ca="1">IFERROR(__xludf.DUMMYFUNCTION("""COMPUTED_VALUE"""),689.32)</f>
        <v>689.32</v>
      </c>
      <c r="F139" s="141">
        <f ca="1">IFERROR(__xludf.DUMMYFUNCTION("""COMPUTED_VALUE"""),689.58)</f>
        <v>689.58</v>
      </c>
      <c r="G139" s="143">
        <f ca="1">IFERROR(__xludf.DUMMYFUNCTION("""COMPUTED_VALUE"""),75588337)</f>
        <v>75588337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IFERROR(__xludf.DUMMYFUNCTION("""COMPUTED_VALUE"""),688.82)</f>
        <v>688.82</v>
      </c>
      <c r="D140" s="141">
        <f ca="1">IFERROR(__xludf.DUMMYFUNCTION("""COMPUTED_VALUE"""),690.62)</f>
        <v>690.62</v>
      </c>
      <c r="E140" s="141">
        <f ca="1">IFERROR(__xludf.DUMMYFUNCTION("""COMPUTED_VALUE"""),687.49)</f>
        <v>687.49</v>
      </c>
      <c r="F140" s="141">
        <f ca="1">IFERROR(__xludf.DUMMYFUNCTION("""COMPUTED_VALUE"""),689.51)</f>
        <v>689.51</v>
      </c>
      <c r="G140" s="143">
        <f ca="1">IFERROR(__xludf.DUMMYFUNCTION("""COMPUTED_VALUE"""),64019200)</f>
        <v>64019200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IFERROR(__xludf.DUMMYFUNCTION("""COMPUTED_VALUE"""),690.63)</f>
        <v>690.63</v>
      </c>
      <c r="D141" s="141">
        <f ca="1">IFERROR(__xludf.DUMMYFUNCTION("""COMPUTED_VALUE"""),695.31)</f>
        <v>695.31</v>
      </c>
      <c r="E141" s="141">
        <f ca="1">IFERROR(__xludf.DUMMYFUNCTION("""COMPUTED_VALUE"""),689.18)</f>
        <v>689.18</v>
      </c>
      <c r="F141" s="141">
        <f ca="1">IFERROR(__xludf.DUMMYFUNCTION("""COMPUTED_VALUE"""),694.07)</f>
        <v>694.07</v>
      </c>
      <c r="G141" s="143">
        <f ca="1">IFERROR(__xludf.DUMMYFUNCTION("""COMPUTED_VALUE"""),80125467)</f>
        <v>80125467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IFERROR(__xludf.DUMMYFUNCTION("""COMPUTED_VALUE"""),690.68)</f>
        <v>690.68</v>
      </c>
      <c r="D142" s="141">
        <f ca="1">IFERROR(__xludf.DUMMYFUNCTION("""COMPUTED_VALUE"""),696.09)</f>
        <v>696.09</v>
      </c>
      <c r="E142" s="141">
        <f ca="1">IFERROR(__xludf.DUMMYFUNCTION("""COMPUTED_VALUE"""),690.63)</f>
        <v>690.63</v>
      </c>
      <c r="F142" s="141">
        <f ca="1">IFERROR(__xludf.DUMMYFUNCTION("""COMPUTED_VALUE"""),695.16)</f>
        <v>695.16</v>
      </c>
      <c r="G142" s="143">
        <f ca="1">IFERROR(__xludf.DUMMYFUNCTION("""COMPUTED_VALUE"""),63976002)</f>
        <v>63976002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IFERROR(__xludf.DUMMYFUNCTION("""COMPUTED_VALUE"""),695.49)</f>
        <v>695.49</v>
      </c>
      <c r="D143" s="141">
        <f ca="1">IFERROR(__xludf.DUMMYFUNCTION("""COMPUTED_VALUE"""),696.09)</f>
        <v>696.09</v>
      </c>
      <c r="E143" s="141">
        <f ca="1">IFERROR(__xludf.DUMMYFUNCTION("""COMPUTED_VALUE"""),691.35)</f>
        <v>691.35</v>
      </c>
      <c r="F143" s="141">
        <f ca="1">IFERROR(__xludf.DUMMYFUNCTION("""COMPUTED_VALUE"""),693.77)</f>
        <v>693.77</v>
      </c>
      <c r="G143" s="143">
        <f ca="1">IFERROR(__xludf.DUMMYFUNCTION("""COMPUTED_VALUE"""),78309726)</f>
        <v>78309726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IFERROR(__xludf.DUMMYFUNCTION("""COMPUTED_VALUE"""),691)</f>
        <v>691</v>
      </c>
      <c r="D144" s="141">
        <f ca="1">IFERROR(__xludf.DUMMYFUNCTION("""COMPUTED_VALUE"""),691.72)</f>
        <v>691.72</v>
      </c>
      <c r="E144" s="141">
        <f ca="1">IFERROR(__xludf.DUMMYFUNCTION("""COMPUTED_VALUE"""),686.04)</f>
        <v>686.04</v>
      </c>
      <c r="F144" s="141">
        <f ca="1">IFERROR(__xludf.DUMMYFUNCTION("""COMPUTED_VALUE"""),690.36)</f>
        <v>690.36</v>
      </c>
      <c r="G144" s="143">
        <f ca="1">IFERROR(__xludf.DUMMYFUNCTION("""COMPUTED_VALUE"""),94676684)</f>
        <v>94676684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IFERROR(__xludf.DUMMYFUNCTION("""COMPUTED_VALUE"""),694.57)</f>
        <v>694.57</v>
      </c>
      <c r="D145" s="141">
        <f ca="1">IFERROR(__xludf.DUMMYFUNCTION("""COMPUTED_VALUE"""),695.45)</f>
        <v>695.45</v>
      </c>
      <c r="E145" s="141">
        <f ca="1">IFERROR(__xludf.DUMMYFUNCTION("""COMPUTED_VALUE"""),691.25)</f>
        <v>691.25</v>
      </c>
      <c r="F145" s="141">
        <f ca="1">IFERROR(__xludf.DUMMYFUNCTION("""COMPUTED_VALUE"""),692.24)</f>
        <v>692.24</v>
      </c>
      <c r="G145" s="143">
        <f ca="1">IFERROR(__xludf.DUMMYFUNCTION("""COMPUTED_VALUE"""),77861974)</f>
        <v>77861974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IFERROR(__xludf.DUMMYFUNCTION("""COMPUTED_VALUE"""),693.66)</f>
        <v>693.66</v>
      </c>
      <c r="D146" s="141">
        <f ca="1">IFERROR(__xludf.DUMMYFUNCTION("""COMPUTED_VALUE"""),694.25)</f>
        <v>694.25</v>
      </c>
      <c r="E146" s="141">
        <f ca="1">IFERROR(__xludf.DUMMYFUNCTION("""COMPUTED_VALUE"""),690.1)</f>
        <v>690.1</v>
      </c>
      <c r="F146" s="141">
        <f ca="1">IFERROR(__xludf.DUMMYFUNCTION("""COMPUTED_VALUE"""),691.66)</f>
        <v>691.66</v>
      </c>
      <c r="G146" s="143">
        <f ca="1">IFERROR(__xludf.DUMMYFUNCTION("""COMPUTED_VALUE"""),79289200)</f>
        <v>79289200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IFERROR(__xludf.DUMMYFUNCTION("""COMPUTED_VALUE"""),681.49)</f>
        <v>681.49</v>
      </c>
      <c r="D147" s="141">
        <f ca="1">IFERROR(__xludf.DUMMYFUNCTION("""COMPUTED_VALUE"""),684.77)</f>
        <v>684.77</v>
      </c>
      <c r="E147" s="141">
        <f ca="1">IFERROR(__xludf.DUMMYFUNCTION("""COMPUTED_VALUE"""),676.57)</f>
        <v>676.57</v>
      </c>
      <c r="F147" s="141">
        <f ca="1">IFERROR(__xludf.DUMMYFUNCTION("""COMPUTED_VALUE"""),677.58)</f>
        <v>677.58</v>
      </c>
      <c r="G147" s="143">
        <f ca="1">IFERROR(__xludf.DUMMYFUNCTION("""COMPUTED_VALUE"""),111623277)</f>
        <v>111623277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IFERROR(__xludf.DUMMYFUNCTION("""COMPUTED_VALUE"""),679.65)</f>
        <v>679.65</v>
      </c>
      <c r="D148" s="141">
        <f ca="1">IFERROR(__xludf.DUMMYFUNCTION("""COMPUTED_VALUE"""),688.74)</f>
        <v>688.74</v>
      </c>
      <c r="E148" s="141">
        <f ca="1">IFERROR(__xludf.DUMMYFUNCTION("""COMPUTED_VALUE"""),678.13)</f>
        <v>678.13</v>
      </c>
      <c r="F148" s="141">
        <f ca="1">IFERROR(__xludf.DUMMYFUNCTION("""COMPUTED_VALUE"""),685.4)</f>
        <v>685.4</v>
      </c>
      <c r="G148" s="143">
        <f ca="1">IFERROR(__xludf.DUMMYFUNCTION("""COMPUTED_VALUE"""),127844467)</f>
        <v>127844467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IFERROR(__xludf.DUMMYFUNCTION("""COMPUTED_VALUE"""),689.85)</f>
        <v>689.85</v>
      </c>
      <c r="D149" s="141">
        <f ca="1">IFERROR(__xludf.DUMMYFUNCTION("""COMPUTED_VALUE"""),691.13)</f>
        <v>691.13</v>
      </c>
      <c r="E149" s="141">
        <f ca="1">IFERROR(__xludf.DUMMYFUNCTION("""COMPUTED_VALUE"""),686.92)</f>
        <v>686.92</v>
      </c>
      <c r="F149" s="141">
        <f ca="1">IFERROR(__xludf.DUMMYFUNCTION("""COMPUTED_VALUE"""),688.98)</f>
        <v>688.98</v>
      </c>
      <c r="G149" s="143">
        <f ca="1">IFERROR(__xludf.DUMMYFUNCTION("""COMPUTED_VALUE"""),77112243)</f>
        <v>77112243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IFERROR(__xludf.DUMMYFUNCTION("""COMPUTED_VALUE"""),688.15)</f>
        <v>688.15</v>
      </c>
      <c r="D150" s="141">
        <f ca="1">IFERROR(__xludf.DUMMYFUNCTION("""COMPUTED_VALUE"""),690.96)</f>
        <v>690.96</v>
      </c>
      <c r="E150" s="141">
        <f ca="1">IFERROR(__xludf.DUMMYFUNCTION("""COMPUTED_VALUE"""),687.16)</f>
        <v>687.16</v>
      </c>
      <c r="F150" s="141">
        <f ca="1">IFERROR(__xludf.DUMMYFUNCTION("""COMPUTED_VALUE"""),689.23)</f>
        <v>689.23</v>
      </c>
      <c r="G150" s="143">
        <f ca="1">IFERROR(__xludf.DUMMYFUNCTION("""COMPUTED_VALUE"""),63059578)</f>
        <v>63059578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IFERROR(__xludf.DUMMYFUNCTION("""COMPUTED_VALUE"""),690.49)</f>
        <v>690.49</v>
      </c>
      <c r="D151" s="141">
        <f ca="1">IFERROR(__xludf.DUMMYFUNCTION("""COMPUTED_VALUE"""),694.13)</f>
        <v>694.13</v>
      </c>
      <c r="E151" s="141">
        <f ca="1">IFERROR(__xludf.DUMMYFUNCTION("""COMPUTED_VALUE"""),689.92)</f>
        <v>689.92</v>
      </c>
      <c r="F151" s="141">
        <f ca="1">IFERROR(__xludf.DUMMYFUNCTION("""COMPUTED_VALUE"""),692.73)</f>
        <v>692.73</v>
      </c>
      <c r="G151" s="143">
        <f ca="1">IFERROR(__xludf.DUMMYFUNCTION("""COMPUTED_VALUE"""),60473813)</f>
        <v>60473813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IFERROR(__xludf.DUMMYFUNCTION("""COMPUTED_VALUE"""),694.18)</f>
        <v>694.18</v>
      </c>
      <c r="D152" s="141">
        <f ca="1">IFERROR(__xludf.DUMMYFUNCTION("""COMPUTED_VALUE"""),696.53)</f>
        <v>696.53</v>
      </c>
      <c r="E152" s="141">
        <f ca="1">IFERROR(__xludf.DUMMYFUNCTION("""COMPUTED_VALUE"""),693.57)</f>
        <v>693.57</v>
      </c>
      <c r="F152" s="141">
        <f ca="1">IFERROR(__xludf.DUMMYFUNCTION("""COMPUTED_VALUE"""),695.49)</f>
        <v>695.49</v>
      </c>
      <c r="G152" s="143">
        <f ca="1">IFERROR(__xludf.DUMMYFUNCTION("""COMPUTED_VALUE"""),55506147)</f>
        <v>55506147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IFERROR(__xludf.DUMMYFUNCTION("""COMPUTED_VALUE"""),697.05)</f>
        <v>697.05</v>
      </c>
      <c r="D153" s="141">
        <f ca="1">IFERROR(__xludf.DUMMYFUNCTION("""COMPUTED_VALUE"""),697.84)</f>
        <v>697.84</v>
      </c>
      <c r="E153" s="141">
        <f ca="1">IFERROR(__xludf.DUMMYFUNCTION("""COMPUTED_VALUE"""),693.94)</f>
        <v>693.94</v>
      </c>
      <c r="F153" s="141">
        <f ca="1">IFERROR(__xludf.DUMMYFUNCTION("""COMPUTED_VALUE"""),695.42)</f>
        <v>695.42</v>
      </c>
      <c r="G153" s="143">
        <f ca="1">IFERROR(__xludf.DUMMYFUNCTION("""COMPUTED_VALUE"""),61172165)</f>
        <v>61172165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IFERROR(__xludf.DUMMYFUNCTION("""COMPUTED_VALUE"""),696.39)</f>
        <v>696.39</v>
      </c>
      <c r="D154" s="141">
        <f ca="1">IFERROR(__xludf.DUMMYFUNCTION("""COMPUTED_VALUE"""),697.06)</f>
        <v>697.06</v>
      </c>
      <c r="E154" s="141">
        <f ca="1">IFERROR(__xludf.DUMMYFUNCTION("""COMPUTED_VALUE"""),684.83)</f>
        <v>684.83</v>
      </c>
      <c r="F154" s="141">
        <f ca="1">IFERROR(__xludf.DUMMYFUNCTION("""COMPUTED_VALUE"""),694.04)</f>
        <v>694.04</v>
      </c>
      <c r="G154" s="143">
        <f ca="1">IFERROR(__xludf.DUMMYFUNCTION("""COMPUTED_VALUE"""),97486198)</f>
        <v>97486198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IFERROR(__xludf.DUMMYFUNCTION("""COMPUTED_VALUE"""),691.79)</f>
        <v>691.79</v>
      </c>
      <c r="D155" s="141">
        <f ca="1">IFERROR(__xludf.DUMMYFUNCTION("""COMPUTED_VALUE"""),694.21)</f>
        <v>694.21</v>
      </c>
      <c r="E155" s="141">
        <f ca="1">IFERROR(__xludf.DUMMYFUNCTION("""COMPUTED_VALUE"""),687.12)</f>
        <v>687.12</v>
      </c>
      <c r="F155" s="141">
        <f ca="1">IFERROR(__xludf.DUMMYFUNCTION("""COMPUTED_VALUE"""),691.97)</f>
        <v>691.97</v>
      </c>
      <c r="G155" s="143">
        <f ca="1">IFERROR(__xludf.DUMMYFUNCTION("""COMPUTED_VALUE"""),101835131)</f>
        <v>101835131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IFERROR(__xludf.DUMMYFUNCTION("""COMPUTED_VALUE"""),689.58)</f>
        <v>689.58</v>
      </c>
      <c r="D156" s="141">
        <f ca="1">IFERROR(__xludf.DUMMYFUNCTION("""COMPUTED_VALUE"""),696.93)</f>
        <v>696.93</v>
      </c>
      <c r="E156" s="141">
        <f ca="1">IFERROR(__xludf.DUMMYFUNCTION("""COMPUTED_VALUE"""),689.43)</f>
        <v>689.43</v>
      </c>
      <c r="F156" s="141">
        <f ca="1">IFERROR(__xludf.DUMMYFUNCTION("""COMPUTED_VALUE"""),695.41)</f>
        <v>695.41</v>
      </c>
      <c r="G156" s="143">
        <f ca="1">IFERROR(__xludf.DUMMYFUNCTION("""COMPUTED_VALUE"""),79286521)</f>
        <v>79286521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IFERROR(__xludf.DUMMYFUNCTION("""COMPUTED_VALUE"""),696.21)</f>
        <v>696.21</v>
      </c>
      <c r="D157" s="141">
        <f ca="1">IFERROR(__xludf.DUMMYFUNCTION("""COMPUTED_VALUE"""),696.96)</f>
        <v>696.96</v>
      </c>
      <c r="E157" s="141">
        <f ca="1">IFERROR(__xludf.DUMMYFUNCTION("""COMPUTED_VALUE"""),684.03)</f>
        <v>684.03</v>
      </c>
      <c r="F157" s="141">
        <f ca="1">IFERROR(__xludf.DUMMYFUNCTION("""COMPUTED_VALUE"""),689.53)</f>
        <v>689.53</v>
      </c>
      <c r="G157" s="143">
        <f ca="1">IFERROR(__xludf.DUMMYFUNCTION("""COMPUTED_VALUE"""),107904611)</f>
        <v>107904611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IFERROR(__xludf.DUMMYFUNCTION("""COMPUTED_VALUE"""),690.35)</f>
        <v>690.35</v>
      </c>
      <c r="D158" s="141">
        <f ca="1">IFERROR(__xludf.DUMMYFUNCTION("""COMPUTED_VALUE"""),691.45)</f>
        <v>691.45</v>
      </c>
      <c r="E158" s="141">
        <f ca="1">IFERROR(__xludf.DUMMYFUNCTION("""COMPUTED_VALUE"""),681.76)</f>
        <v>681.76</v>
      </c>
      <c r="F158" s="141">
        <f ca="1">IFERROR(__xludf.DUMMYFUNCTION("""COMPUTED_VALUE"""),686.19)</f>
        <v>686.19</v>
      </c>
      <c r="G158" s="143">
        <f ca="1">IFERROR(__xludf.DUMMYFUNCTION("""COMPUTED_VALUE"""),105204600)</f>
        <v>105204600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IFERROR(__xludf.DUMMYFUNCTION("""COMPUTED_VALUE"""),680.94)</f>
        <v>680.94</v>
      </c>
      <c r="D159" s="141">
        <f ca="1">IFERROR(__xludf.DUMMYFUNCTION("""COMPUTED_VALUE"""),683.69)</f>
        <v>683.69</v>
      </c>
      <c r="E159" s="141">
        <f ca="1">IFERROR(__xludf.DUMMYFUNCTION("""COMPUTED_VALUE"""),675.79)</f>
        <v>675.79</v>
      </c>
      <c r="F159" s="141">
        <f ca="1">IFERROR(__xludf.DUMMYFUNCTION("""COMPUTED_VALUE"""),677.62)</f>
        <v>677.62</v>
      </c>
      <c r="G159" s="143">
        <f ca="1">IFERROR(__xludf.DUMMYFUNCTION("""COMPUTED_VALUE"""),113610812)</f>
        <v>113610812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IFERROR(__xludf.DUMMYFUNCTION("""COMPUTED_VALUE"""),681.46)</f>
        <v>681.46</v>
      </c>
      <c r="D160" s="141">
        <f ca="1">IFERROR(__xludf.DUMMYFUNCTION("""COMPUTED_VALUE"""),692.31)</f>
        <v>692.31</v>
      </c>
      <c r="E160" s="141">
        <f ca="1">IFERROR(__xludf.DUMMYFUNCTION("""COMPUTED_VALUE"""),680.85)</f>
        <v>680.85</v>
      </c>
      <c r="F160" s="141">
        <f ca="1">IFERROR(__xludf.DUMMYFUNCTION("""COMPUTED_VALUE"""),690.62)</f>
        <v>690.62</v>
      </c>
      <c r="G160" s="143">
        <f ca="1">IFERROR(__xludf.DUMMYFUNCTION("""COMPUTED_VALUE"""),89127566)</f>
        <v>89127566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IFERROR(__xludf.DUMMYFUNCTION("""COMPUTED_VALUE"""),689.42)</f>
        <v>689.42</v>
      </c>
      <c r="D161" s="141">
        <f ca="1">IFERROR(__xludf.DUMMYFUNCTION("""COMPUTED_VALUE"""),695.87)</f>
        <v>695.87</v>
      </c>
      <c r="E161" s="141">
        <f ca="1">IFERROR(__xludf.DUMMYFUNCTION("""COMPUTED_VALUE"""),688.34)</f>
        <v>688.34</v>
      </c>
      <c r="F161" s="141">
        <f ca="1">IFERROR(__xludf.DUMMYFUNCTION("""COMPUTED_VALUE"""),693.95)</f>
        <v>693.95</v>
      </c>
      <c r="G161" s="143">
        <f ca="1">IFERROR(__xludf.DUMMYFUNCTION("""COMPUTED_VALUE"""),73885192)</f>
        <v>73885192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IFERROR(__xludf.DUMMYFUNCTION("""COMPUTED_VALUE"""),694.95)</f>
        <v>694.95</v>
      </c>
      <c r="D162" s="141">
        <f ca="1">IFERROR(__xludf.DUMMYFUNCTION("""COMPUTED_VALUE"""),696.54)</f>
        <v>696.54</v>
      </c>
      <c r="E162" s="141">
        <f ca="1">IFERROR(__xludf.DUMMYFUNCTION("""COMPUTED_VALUE"""),691.66)</f>
        <v>691.66</v>
      </c>
      <c r="F162" s="141">
        <f ca="1">IFERROR(__xludf.DUMMYFUNCTION("""COMPUTED_VALUE"""),692.12)</f>
        <v>692.12</v>
      </c>
      <c r="G162" s="143">
        <f ca="1">IFERROR(__xludf.DUMMYFUNCTION("""COMPUTED_VALUE"""),65185725)</f>
        <v>65185725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IFERROR(__xludf.DUMMYFUNCTION("""COMPUTED_VALUE"""),696.39)</f>
        <v>696.39</v>
      </c>
      <c r="D163" s="141">
        <f ca="1">IFERROR(__xludf.DUMMYFUNCTION("""COMPUTED_VALUE"""),697.14)</f>
        <v>697.14</v>
      </c>
      <c r="E163" s="141">
        <f ca="1">IFERROR(__xludf.DUMMYFUNCTION("""COMPUTED_VALUE"""),689.18)</f>
        <v>689.18</v>
      </c>
      <c r="F163" s="141">
        <f ca="1">IFERROR(__xludf.DUMMYFUNCTION("""COMPUTED_VALUE"""),691.96)</f>
        <v>691.96</v>
      </c>
      <c r="G163" s="143">
        <f ca="1">IFERROR(__xludf.DUMMYFUNCTION("""COMPUTED_VALUE"""),76353872)</f>
        <v>76353872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IFERROR(__xludf.DUMMYFUNCTION("""COMPUTED_VALUE"""),694.24)</f>
        <v>694.24</v>
      </c>
      <c r="D164" s="141">
        <f ca="1">IFERROR(__xludf.DUMMYFUNCTION("""COMPUTED_VALUE"""),695.35)</f>
        <v>695.35</v>
      </c>
      <c r="E164" s="141">
        <f ca="1">IFERROR(__xludf.DUMMYFUNCTION("""COMPUTED_VALUE"""),680.37)</f>
        <v>680.37</v>
      </c>
      <c r="F164" s="141">
        <f ca="1">IFERROR(__xludf.DUMMYFUNCTION("""COMPUTED_VALUE"""),681.27)</f>
        <v>681.27</v>
      </c>
      <c r="G164" s="143">
        <f ca="1">IFERROR(__xludf.DUMMYFUNCTION("""COMPUTED_VALUE"""),118828963)</f>
        <v>118828963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IFERROR(__xludf.DUMMYFUNCTION("""COMPUTED_VALUE"""),681.69)</f>
        <v>681.69</v>
      </c>
      <c r="D165" s="141">
        <f ca="1">IFERROR(__xludf.DUMMYFUNCTION("""COMPUTED_VALUE"""),686.28)</f>
        <v>686.28</v>
      </c>
      <c r="E165" s="141">
        <f ca="1">IFERROR(__xludf.DUMMYFUNCTION("""COMPUTED_VALUE"""),677.52)</f>
        <v>677.52</v>
      </c>
      <c r="F165" s="141">
        <f ca="1">IFERROR(__xludf.DUMMYFUNCTION("""COMPUTED_VALUE"""),681.75)</f>
        <v>681.75</v>
      </c>
      <c r="G165" s="143">
        <f ca="1">IFERROR(__xludf.DUMMYFUNCTION("""COMPUTED_VALUE"""),96267487)</f>
        <v>96267487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IFERROR(__xludf.DUMMYFUNCTION("""COMPUTED_VALUE"""),680.14)</f>
        <v>680.14</v>
      </c>
      <c r="D166" s="141">
        <f ca="1">IFERROR(__xludf.DUMMYFUNCTION("""COMPUTED_VALUE"""),684.94)</f>
        <v>684.94</v>
      </c>
      <c r="E166" s="141">
        <f ca="1">IFERROR(__xludf.DUMMYFUNCTION("""COMPUTED_VALUE"""),675.78)</f>
        <v>675.78</v>
      </c>
      <c r="F166" s="141">
        <f ca="1">IFERROR(__xludf.DUMMYFUNCTION("""COMPUTED_VALUE"""),682.85)</f>
        <v>682.85</v>
      </c>
      <c r="G166" s="143">
        <f ca="1">IFERROR(__xludf.DUMMYFUNCTION("""COMPUTED_VALUE"""),81354660)</f>
        <v>81354660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IFERROR(__xludf.DUMMYFUNCTION("""COMPUTED_VALUE"""),684.02)</f>
        <v>684.02</v>
      </c>
      <c r="D167" s="141">
        <f ca="1">IFERROR(__xludf.DUMMYFUNCTION("""COMPUTED_VALUE"""),689.15)</f>
        <v>689.15</v>
      </c>
      <c r="E167" s="141">
        <f ca="1">IFERROR(__xludf.DUMMYFUNCTION("""COMPUTED_VALUE"""),682.83)</f>
        <v>682.83</v>
      </c>
      <c r="F167" s="141">
        <f ca="1">IFERROR(__xludf.DUMMYFUNCTION("""COMPUTED_VALUE"""),686.29)</f>
        <v>686.29</v>
      </c>
      <c r="G167" s="143">
        <f ca="1">IFERROR(__xludf.DUMMYFUNCTION("""COMPUTED_VALUE"""),73570341)</f>
        <v>73570341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IFERROR(__xludf.DUMMYFUNCTION("""COMPUTED_VALUE"""),683.84)</f>
        <v>683.84</v>
      </c>
      <c r="D168" s="141">
        <f ca="1">IFERROR(__xludf.DUMMYFUNCTION("""COMPUTED_VALUE"""),686.18)</f>
        <v>686.18</v>
      </c>
      <c r="E168" s="141">
        <f ca="1">IFERROR(__xludf.DUMMYFUNCTION("""COMPUTED_VALUE"""),681.55)</f>
        <v>681.55</v>
      </c>
      <c r="F168" s="141">
        <f ca="1">IFERROR(__xludf.DUMMYFUNCTION("""COMPUTED_VALUE"""),684.48)</f>
        <v>684.48</v>
      </c>
      <c r="G168" s="143">
        <f ca="1">IFERROR(__xludf.DUMMYFUNCTION("""COMPUTED_VALUE"""),58649363)</f>
        <v>58649363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IFERROR(__xludf.DUMMYFUNCTION("""COMPUTED_VALUE"""),682.32)</f>
        <v>682.32</v>
      </c>
      <c r="D169" s="141">
        <f ca="1">IFERROR(__xludf.DUMMYFUNCTION("""COMPUTED_VALUE"""),690.06)</f>
        <v>690.06</v>
      </c>
      <c r="E169" s="141">
        <f ca="1">IFERROR(__xludf.DUMMYFUNCTION("""COMPUTED_VALUE"""),681.73)</f>
        <v>681.73</v>
      </c>
      <c r="F169" s="141">
        <f ca="1">IFERROR(__xludf.DUMMYFUNCTION("""COMPUTED_VALUE"""),689.43)</f>
        <v>689.43</v>
      </c>
      <c r="G169" s="143">
        <f ca="1">IFERROR(__xludf.DUMMYFUNCTION("""COMPUTED_VALUE"""),100033986)</f>
        <v>100033986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IFERROR(__xludf.DUMMYFUNCTION("""COMPUTED_VALUE"""),687.83)</f>
        <v>687.83</v>
      </c>
      <c r="D170" s="141">
        <f ca="1">IFERROR(__xludf.DUMMYFUNCTION("""COMPUTED_VALUE"""),690)</f>
        <v>690</v>
      </c>
      <c r="E170" s="141">
        <f ca="1">IFERROR(__xludf.DUMMYFUNCTION("""COMPUTED_VALUE"""),680.37)</f>
        <v>680.37</v>
      </c>
      <c r="F170" s="141">
        <f ca="1">IFERROR(__xludf.DUMMYFUNCTION("""COMPUTED_VALUE"""),682.39)</f>
        <v>682.39</v>
      </c>
      <c r="G170" s="143">
        <f ca="1">IFERROR(__xludf.DUMMYFUNCTION("""COMPUTED_VALUE"""),89784117)</f>
        <v>89784117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IFERROR(__xludf.DUMMYFUNCTION("""COMPUTED_VALUE"""),681.9)</f>
        <v>681.9</v>
      </c>
      <c r="D171" s="141">
        <f ca="1">IFERROR(__xludf.DUMMYFUNCTION("""COMPUTED_VALUE"""),688.35)</f>
        <v>688.35</v>
      </c>
      <c r="E171" s="141">
        <f ca="1">IFERROR(__xludf.DUMMYFUNCTION("""COMPUTED_VALUE"""),680)</f>
        <v>680</v>
      </c>
      <c r="F171" s="141">
        <f ca="1">IFERROR(__xludf.DUMMYFUNCTION("""COMPUTED_VALUE"""),687.35)</f>
        <v>687.35</v>
      </c>
      <c r="G171" s="143">
        <f ca="1">IFERROR(__xludf.DUMMYFUNCTION("""COMPUTED_VALUE"""),72905715)</f>
        <v>72905715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IFERROR(__xludf.DUMMYFUNCTION("""COMPUTED_VALUE"""),690.18)</f>
        <v>690.18</v>
      </c>
      <c r="D172" s="141">
        <f ca="1">IFERROR(__xludf.DUMMYFUNCTION("""COMPUTED_VALUE"""),693.68)</f>
        <v>693.68</v>
      </c>
      <c r="E172" s="141">
        <f ca="1">IFERROR(__xludf.DUMMYFUNCTION("""COMPUTED_VALUE"""),690.1)</f>
        <v>690.1</v>
      </c>
      <c r="F172" s="141">
        <f ca="1">IFERROR(__xludf.DUMMYFUNCTION("""COMPUTED_VALUE"""),693.15)</f>
        <v>693.15</v>
      </c>
      <c r="G172" s="143">
        <f ca="1">IFERROR(__xludf.DUMMYFUNCTION("""COMPUTED_VALUE"""),53984469)</f>
        <v>53984469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IFERROR(__xludf.DUMMYFUNCTION("""COMPUTED_VALUE"""),693.28)</f>
        <v>693.28</v>
      </c>
      <c r="D173" s="141">
        <f ca="1">IFERROR(__xludf.DUMMYFUNCTION("""COMPUTED_VALUE"""),693.3)</f>
        <v>693.3</v>
      </c>
      <c r="E173" s="141">
        <f ca="1">IFERROR(__xludf.DUMMYFUNCTION("""COMPUTED_VALUE"""),684.35)</f>
        <v>684.35</v>
      </c>
      <c r="F173" s="141">
        <f ca="1">IFERROR(__xludf.DUMMYFUNCTION("""COMPUTED_VALUE"""),689.3)</f>
        <v>689.3</v>
      </c>
      <c r="G173" s="143">
        <f ca="1">IFERROR(__xludf.DUMMYFUNCTION("""COMPUTED_VALUE"""),69291390)</f>
        <v>69291390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IFERROR(__xludf.DUMMYFUNCTION("""COMPUTED_VALUE"""),683.09)</f>
        <v>683.09</v>
      </c>
      <c r="D174" s="141">
        <f ca="1">IFERROR(__xludf.DUMMYFUNCTION("""COMPUTED_VALUE"""),686.86)</f>
        <v>686.86</v>
      </c>
      <c r="E174" s="141">
        <f ca="1">IFERROR(__xludf.DUMMYFUNCTION("""COMPUTED_VALUE"""),681.64)</f>
        <v>681.64</v>
      </c>
      <c r="F174" s="141">
        <f ca="1">IFERROR(__xludf.DUMMYFUNCTION("""COMPUTED_VALUE"""),685.99)</f>
        <v>685.99</v>
      </c>
      <c r="G174" s="143">
        <f ca="1">IFERROR(__xludf.DUMMYFUNCTION("""COMPUTED_VALUE"""),82303855)</f>
        <v>82303855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IFERROR(__xludf.DUMMYFUNCTION("""COMPUTED_VALUE"""),678.7)</f>
        <v>678.7</v>
      </c>
      <c r="D175" s="141">
        <f ca="1">IFERROR(__xludf.DUMMYFUNCTION("""COMPUTED_VALUE"""),688.62)</f>
        <v>688.62</v>
      </c>
      <c r="E175" s="141">
        <f ca="1">IFERROR(__xludf.DUMMYFUNCTION("""COMPUTED_VALUE"""),678.02)</f>
        <v>678.02</v>
      </c>
      <c r="F175" s="141">
        <f ca="1">IFERROR(__xludf.DUMMYFUNCTION("""COMPUTED_VALUE"""),686.38)</f>
        <v>686.38</v>
      </c>
      <c r="G175" s="143">
        <f ca="1">IFERROR(__xludf.DUMMYFUNCTION("""COMPUTED_VALUE"""),86259545)</f>
        <v>86259545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IFERROR(__xludf.DUMMYFUNCTION("""COMPUTED_VALUE"""),675.06)</f>
        <v>675.06</v>
      </c>
      <c r="D176" s="141">
        <f ca="1">IFERROR(__xludf.DUMMYFUNCTION("""COMPUTED_VALUE"""),682.61)</f>
        <v>682.61</v>
      </c>
      <c r="E176" s="141">
        <f ca="1">IFERROR(__xludf.DUMMYFUNCTION("""COMPUTED_VALUE"""),669.66)</f>
        <v>669.66</v>
      </c>
      <c r="F176" s="141">
        <f ca="1">IFERROR(__xludf.DUMMYFUNCTION("""COMPUTED_VALUE"""),680.33)</f>
        <v>680.33</v>
      </c>
      <c r="G176" s="143">
        <f ca="1">IFERROR(__xludf.DUMMYFUNCTION("""COMPUTED_VALUE"""),103522769)</f>
        <v>103522769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IFERROR(__xludf.DUMMYFUNCTION("""COMPUTED_VALUE"""),681.63)</f>
        <v>681.63</v>
      </c>
      <c r="D177" s="141">
        <f ca="1">IFERROR(__xludf.DUMMYFUNCTION("""COMPUTED_VALUE"""),687.09)</f>
        <v>687.09</v>
      </c>
      <c r="E177" s="141">
        <f ca="1">IFERROR(__xludf.DUMMYFUNCTION("""COMPUTED_VALUE"""),679.62)</f>
        <v>679.62</v>
      </c>
      <c r="F177" s="141">
        <f ca="1">IFERROR(__xludf.DUMMYFUNCTION("""COMPUTED_VALUE"""),685.13)</f>
        <v>685.13</v>
      </c>
      <c r="G177" s="143">
        <f ca="1">IFERROR(__xludf.DUMMYFUNCTION("""COMPUTED_VALUE"""),78110000)</f>
        <v>78110000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IFERROR(__xludf.DUMMYFUNCTION("""COMPUTED_VALUE"""),682.08)</f>
        <v>682.08</v>
      </c>
      <c r="D178" s="141">
        <f ca="1">IFERROR(__xludf.DUMMYFUNCTION("""COMPUTED_VALUE"""),685.53)</f>
        <v>685.53</v>
      </c>
      <c r="E178" s="141">
        <f ca="1">IFERROR(__xludf.DUMMYFUNCTION("""COMPUTED_VALUE"""),675.61)</f>
        <v>675.61</v>
      </c>
      <c r="F178" s="141">
        <f ca="1">IFERROR(__xludf.DUMMYFUNCTION("""COMPUTED_VALUE"""),681.31)</f>
        <v>681.31</v>
      </c>
      <c r="G178" s="143">
        <f ca="1">IFERROR(__xludf.DUMMYFUNCTION("""COMPUTED_VALUE"""),105164230)</f>
        <v>105164230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IFERROR(__xludf.DUMMYFUNCTION("""COMPUTED_VALUE"""),673.41)</f>
        <v>673.41</v>
      </c>
      <c r="D179" s="141">
        <f ca="1">IFERROR(__xludf.DUMMYFUNCTION("""COMPUTED_VALUE"""),676.11)</f>
        <v>676.11</v>
      </c>
      <c r="E179" s="141">
        <f ca="1">IFERROR(__xludf.DUMMYFUNCTION("""COMPUTED_VALUE"""),669.76)</f>
        <v>669.76</v>
      </c>
      <c r="F179" s="141">
        <f ca="1">IFERROR(__xludf.DUMMYFUNCTION("""COMPUTED_VALUE"""),672.38)</f>
        <v>672.38</v>
      </c>
      <c r="G179" s="143">
        <f ca="1">IFERROR(__xludf.DUMMYFUNCTION("""COMPUTED_VALUE"""),99048189)</f>
        <v>99048189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IFERROR(__xludf.DUMMYFUNCTION("""COMPUTED_VALUE"""),666.39)</f>
        <v>666.39</v>
      </c>
      <c r="D180" s="141">
        <f ca="1">IFERROR(__xludf.DUMMYFUNCTION("""COMPUTED_VALUE"""),679.92)</f>
        <v>679.92</v>
      </c>
      <c r="E180" s="141">
        <f ca="1">IFERROR(__xludf.DUMMYFUNCTION("""COMPUTED_VALUE"""),662.39)</f>
        <v>662.39</v>
      </c>
      <c r="F180" s="141">
        <f ca="1">IFERROR(__xludf.DUMMYFUNCTION("""COMPUTED_VALUE"""),678.27)</f>
        <v>678.27</v>
      </c>
      <c r="G180" s="143">
        <f ca="1">IFERROR(__xludf.DUMMYFUNCTION("""COMPUTED_VALUE"""),100534562)</f>
        <v>100534562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IFERROR(__xludf.DUMMYFUNCTION("""COMPUTED_VALUE"""),677.72)</f>
        <v>677.72</v>
      </c>
      <c r="D181" s="141">
        <f ca="1">IFERROR(__xludf.DUMMYFUNCTION("""COMPUTED_VALUE"""),683.36)</f>
        <v>683.36</v>
      </c>
      <c r="E181" s="141">
        <f ca="1">IFERROR(__xludf.DUMMYFUNCTION("""COMPUTED_VALUE"""),674.76)</f>
        <v>674.76</v>
      </c>
      <c r="F181" s="141">
        <f ca="1">IFERROR(__xludf.DUMMYFUNCTION("""COMPUTED_VALUE"""),677.18)</f>
        <v>677.18</v>
      </c>
      <c r="G181" s="143">
        <f ca="1">IFERROR(__xludf.DUMMYFUNCTION("""COMPUTED_VALUE"""),80418042)</f>
        <v>80418042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IFERROR(__xludf.DUMMYFUNCTION("""COMPUTED_VALUE"""),677.58)</f>
        <v>677.58</v>
      </c>
      <c r="D182" s="141">
        <f ca="1">IFERROR(__xludf.DUMMYFUNCTION("""COMPUTED_VALUE"""),680.08)</f>
        <v>680.08</v>
      </c>
      <c r="E182" s="141">
        <f ca="1">IFERROR(__xludf.DUMMYFUNCTION("""COMPUTED_VALUE"""),673.34)</f>
        <v>673.34</v>
      </c>
      <c r="F182" s="141">
        <f ca="1">IFERROR(__xludf.DUMMYFUNCTION("""COMPUTED_VALUE"""),676.33)</f>
        <v>676.33</v>
      </c>
      <c r="G182" s="143">
        <f ca="1">IFERROR(__xludf.DUMMYFUNCTION("""COMPUTED_VALUE"""),68441672)</f>
        <v>68441672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IFERROR(__xludf.DUMMYFUNCTION("""COMPUTED_VALUE"""),671.16)</f>
        <v>671.16</v>
      </c>
      <c r="D183" s="141">
        <f ca="1">IFERROR(__xludf.DUMMYFUNCTION("""COMPUTED_VALUE"""),671.65)</f>
        <v>671.65</v>
      </c>
      <c r="E183" s="141">
        <f ca="1">IFERROR(__xludf.DUMMYFUNCTION("""COMPUTED_VALUE"""),665.87)</f>
        <v>665.87</v>
      </c>
      <c r="F183" s="141">
        <f ca="1">IFERROR(__xludf.DUMMYFUNCTION("""COMPUTED_VALUE"""),666.06)</f>
        <v>666.06</v>
      </c>
      <c r="G183" s="143">
        <f ca="1">IFERROR(__xludf.DUMMYFUNCTION("""COMPUTED_VALUE"""),108882247)</f>
        <v>108882247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IFERROR(__xludf.DUMMYFUNCTION("""COMPUTED_VALUE"""),669.27)</f>
        <v>669.27</v>
      </c>
      <c r="D184" s="141">
        <f ca="1">IFERROR(__xludf.DUMMYFUNCTION("""COMPUTED_VALUE"""),672.34)</f>
        <v>672.34</v>
      </c>
      <c r="E184" s="141">
        <f ca="1">IFERROR(__xludf.DUMMYFUNCTION("""COMPUTED_VALUE"""),661.36)</f>
        <v>661.36</v>
      </c>
      <c r="F184" s="141">
        <f ca="1">IFERROR(__xludf.DUMMYFUNCTION("""COMPUTED_VALUE"""),662.29)</f>
        <v>662.29</v>
      </c>
      <c r="G184" s="143">
        <f ca="1">IFERROR(__xludf.DUMMYFUNCTION("""COMPUTED_VALUE"""),97200242)</f>
        <v>97200242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IFERROR(__xludf.DUMMYFUNCTION("""COMPUTED_VALUE"""),668.38)</f>
        <v>668.38</v>
      </c>
      <c r="D185" s="141">
        <f ca="1">IFERROR(__xludf.DUMMYFUNCTION("""COMPUTED_VALUE"""),672.07)</f>
        <v>672.07</v>
      </c>
      <c r="E185" s="141">
        <f ca="1">IFERROR(__xludf.DUMMYFUNCTION("""COMPUTED_VALUE"""),667.12)</f>
        <v>667.12</v>
      </c>
      <c r="F185" s="141">
        <f ca="1">IFERROR(__xludf.DUMMYFUNCTION("""COMPUTED_VALUE"""),669.03)</f>
        <v>669.03</v>
      </c>
      <c r="G185" s="143">
        <f ca="1">IFERROR(__xludf.DUMMYFUNCTION("""COMPUTED_VALUE"""),82023130)</f>
        <v>82023130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IFERROR(__xludf.DUMMYFUNCTION("""COMPUTED_VALUE"""),672.39)</f>
        <v>672.39</v>
      </c>
      <c r="D186" s="141">
        <f ca="1">IFERROR(__xludf.DUMMYFUNCTION("""COMPUTED_VALUE"""),674.44)</f>
        <v>674.44</v>
      </c>
      <c r="E186" s="141">
        <f ca="1">IFERROR(__xludf.DUMMYFUNCTION("""COMPUTED_VALUE"""),669.7)</f>
        <v>669.7</v>
      </c>
      <c r="F186" s="141">
        <f ca="1">IFERROR(__xludf.DUMMYFUNCTION("""COMPUTED_VALUE"""),670.79)</f>
        <v>670.79</v>
      </c>
      <c r="G186" s="143">
        <f ca="1">IFERROR(__xludf.DUMMYFUNCTION("""COMPUTED_VALUE"""),87128045)</f>
        <v>87128045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IFERROR(__xludf.DUMMYFUNCTION("""COMPUTED_VALUE"""),668.36)</f>
        <v>668.36</v>
      </c>
      <c r="D187" s="141">
        <f ca="1">IFERROR(__xludf.DUMMYFUNCTION("""COMPUTED_VALUE"""),669.72)</f>
        <v>669.72</v>
      </c>
      <c r="E187" s="141">
        <f ca="1">IFERROR(__xludf.DUMMYFUNCTION("""COMPUTED_VALUE"""),661.19)</f>
        <v>661.19</v>
      </c>
      <c r="F187" s="141">
        <f ca="1">IFERROR(__xludf.DUMMYFUNCTION("""COMPUTED_VALUE"""),661.43)</f>
        <v>661.43</v>
      </c>
      <c r="G187" s="143">
        <f ca="1">IFERROR(__xludf.DUMMYFUNCTION("""COMPUTED_VALUE"""),82062577)</f>
        <v>82062577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IFERROR(__xludf.DUMMYFUNCTION("""COMPUTED_VALUE"""),656.97)</f>
        <v>656.97</v>
      </c>
      <c r="D188" s="141">
        <f ca="1">IFERROR(__xludf.DUMMYFUNCTION("""COMPUTED_VALUE"""),662.98)</f>
        <v>662.98</v>
      </c>
      <c r="E188" s="141">
        <f ca="1">IFERROR(__xludf.DUMMYFUNCTION("""COMPUTED_VALUE"""),655.17)</f>
        <v>655.16999999999996</v>
      </c>
      <c r="F188" s="141">
        <f ca="1">IFERROR(__xludf.DUMMYFUNCTION("""COMPUTED_VALUE"""),659.8)</f>
        <v>659.8</v>
      </c>
      <c r="G188" s="143">
        <f ca="1">IFERROR(__xludf.DUMMYFUNCTION("""COMPUTED_VALUE"""),111272539)</f>
        <v>111272539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IFERROR(__xludf.DUMMYFUNCTION("""COMPUTED_VALUE"""),656.51)</f>
        <v>656.51</v>
      </c>
      <c r="D189" s="141">
        <f ca="1">IFERROR(__xludf.DUMMYFUNCTION("""COMPUTED_VALUE"""),656.69)</f>
        <v>656.69</v>
      </c>
      <c r="E189" s="141">
        <f ca="1">IFERROR(__xludf.DUMMYFUNCTION("""COMPUTED_VALUE"""),644.72)</f>
        <v>644.72</v>
      </c>
      <c r="F189" s="141">
        <f ca="1">IFERROR(__xludf.DUMMYFUNCTION("""COMPUTED_VALUE"""),648.57)</f>
        <v>648.57000000000005</v>
      </c>
      <c r="G189" s="143">
        <f ca="1">IFERROR(__xludf.DUMMYFUNCTION("""COMPUTED_VALUE"""),163617523)</f>
        <v>163617523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IFERROR(__xludf.DUMMYFUNCTION("""COMPUTED_VALUE"""),658.07)</f>
        <v>658.07</v>
      </c>
      <c r="D190" s="141">
        <f ca="1">IFERROR(__xludf.DUMMYFUNCTION("""COMPUTED_VALUE"""),662.62)</f>
        <v>662.62</v>
      </c>
      <c r="E190" s="141">
        <f ca="1">IFERROR(__xludf.DUMMYFUNCTION("""COMPUTED_VALUE"""),653.94)</f>
        <v>653.94000000000005</v>
      </c>
      <c r="F190" s="141">
        <f ca="1">IFERROR(__xludf.DUMMYFUNCTION("""COMPUTED_VALUE"""),655.38)</f>
        <v>655.38</v>
      </c>
      <c r="G190" s="143">
        <f ca="1">IFERROR(__xludf.DUMMYFUNCTION("""COMPUTED_VALUE"""),134802732)</f>
        <v>134802732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IFERROR(__xludf.DUMMYFUNCTION("""COMPUTED_VALUE"""),651.32)</f>
        <v>651.32000000000005</v>
      </c>
      <c r="D191" s="141">
        <f ca="1">IFERROR(__xludf.DUMMYFUNCTION("""COMPUTED_VALUE"""),657.03)</f>
        <v>657.03</v>
      </c>
      <c r="E191" s="141">
        <f ca="1">IFERROR(__xludf.DUMMYFUNCTION("""COMPUTED_VALUE"""),649.88)</f>
        <v>649.88</v>
      </c>
      <c r="F191" s="141">
        <f ca="1">IFERROR(__xludf.DUMMYFUNCTION("""COMPUTED_VALUE"""),653.18)</f>
        <v>653.17999999999995</v>
      </c>
      <c r="G191" s="143">
        <f ca="1">IFERROR(__xludf.DUMMYFUNCTION("""COMPUTED_VALUE"""),96457478)</f>
        <v>96457478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IFERROR(__xludf.DUMMYFUNCTION("""COMPUTED_VALUE"""),658.67)</f>
        <v>658.67</v>
      </c>
      <c r="D192" s="141">
        <f ca="1">IFERROR(__xludf.DUMMYFUNCTION("""COMPUTED_VALUE"""),660.89)</f>
        <v>660.89</v>
      </c>
      <c r="E192" s="141">
        <f ca="1">IFERROR(__xludf.DUMMYFUNCTION("""COMPUTED_VALUE"""),654.24)</f>
        <v>654.24</v>
      </c>
      <c r="F192" s="141">
        <f ca="1">IFERROR(__xludf.DUMMYFUNCTION("""COMPUTED_VALUE"""),656.82)</f>
        <v>656.82</v>
      </c>
      <c r="G192" s="143">
        <f ca="1">IFERROR(__xludf.DUMMYFUNCTION("""COMPUTED_VALUE"""),90653787)</f>
        <v>90653787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IFERROR(__xludf.DUMMYFUNCTION("""COMPUTED_VALUE"""),652.06)</f>
        <v>652.05999999999995</v>
      </c>
      <c r="D193" s="141">
        <f ca="1">IFERROR(__xludf.DUMMYFUNCTION("""COMPUTED_VALUE"""),654.85)</f>
        <v>654.85</v>
      </c>
      <c r="E193" s="141">
        <f ca="1">IFERROR(__xludf.DUMMYFUNCTION("""COMPUTED_VALUE"""),644.82)</f>
        <v>644.82000000000005</v>
      </c>
      <c r="F193" s="141">
        <f ca="1">IFERROR(__xludf.DUMMYFUNCTION("""COMPUTED_VALUE"""),645.09)</f>
        <v>645.09</v>
      </c>
      <c r="G193" s="143">
        <f ca="1">IFERROR(__xludf.DUMMYFUNCTION("""COMPUTED_VALUE"""),96494375)</f>
        <v>96494375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IFERROR(__xludf.DUMMYFUNCTION("""COMPUTED_VALUE"""),642.5)</f>
        <v>642.5</v>
      </c>
      <c r="D194" s="141">
        <f ca="1">IFERROR(__xludf.DUMMYFUNCTION("""COMPUTED_VALUE"""),642.66)</f>
        <v>642.66</v>
      </c>
      <c r="E194" s="141">
        <f ca="1">IFERROR(__xludf.DUMMYFUNCTION("""COMPUTED_VALUE"""),633.11)</f>
        <v>633.11</v>
      </c>
      <c r="F194" s="141">
        <f ca="1">IFERROR(__xludf.DUMMYFUNCTION("""COMPUTED_VALUE"""),634.09)</f>
        <v>634.09</v>
      </c>
      <c r="G194" s="143">
        <f ca="1">IFERROR(__xludf.DUMMYFUNCTION("""COMPUTED_VALUE"""),103649369)</f>
        <v>103649369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IFERROR(__xludf.DUMMYFUNCTION("""COMPUTED_VALUE"""),640.11)</f>
        <v>640.11</v>
      </c>
      <c r="D195" s="141">
        <f ca="1">IFERROR(__xludf.DUMMYFUNCTION("""COMPUTED_VALUE"""),640.37)</f>
        <v>640.37</v>
      </c>
      <c r="E195" s="141">
        <f ca="1">IFERROR(__xludf.DUMMYFUNCTION("""COMPUTED_VALUE"""),629.28)</f>
        <v>629.28</v>
      </c>
      <c r="F195" s="141">
        <f ca="1">IFERROR(__xludf.DUMMYFUNCTION("""COMPUTED_VALUE"""),631.97)</f>
        <v>631.97</v>
      </c>
      <c r="G195" s="143">
        <f ca="1">IFERROR(__xludf.DUMMYFUNCTION("""COMPUTED_VALUE"""),99275851)</f>
        <v>99275851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IFERROR(__xludf.DUMMYFUNCTION("""COMPUTED_VALUE"""),638.94)</f>
        <v>638.94000000000005</v>
      </c>
      <c r="D196" s="141">
        <f ca="1">IFERROR(__xludf.DUMMYFUNCTION("""COMPUTED_VALUE"""),651.54)</f>
        <v>651.54</v>
      </c>
      <c r="E196" s="141">
        <f ca="1">IFERROR(__xludf.DUMMYFUNCTION("""COMPUTED_VALUE"""),637.98)</f>
        <v>637.98</v>
      </c>
      <c r="F196" s="141">
        <f ca="1">IFERROR(__xludf.DUMMYFUNCTION("""COMPUTED_VALUE"""),650.34)</f>
        <v>650.34</v>
      </c>
      <c r="G196" s="143">
        <f ca="1">IFERROR(__xludf.DUMMYFUNCTION("""COMPUTED_VALUE"""),152534103)</f>
        <v>152534103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IFERROR(__xludf.DUMMYFUNCTION("""COMPUTED_VALUE"""),653.9)</f>
        <v>653.9</v>
      </c>
      <c r="D197" s="141">
        <f ca="1">IFERROR(__xludf.DUMMYFUNCTION("""COMPUTED_VALUE"""),658.52)</f>
        <v>658.52</v>
      </c>
      <c r="E197" s="141">
        <f ca="1">IFERROR(__xludf.DUMMYFUNCTION("""COMPUTED_VALUE"""),653)</f>
        <v>653</v>
      </c>
      <c r="F197" s="141">
        <f ca="1">IFERROR(__xludf.DUMMYFUNCTION("""COMPUTED_VALUE"""),655.24)</f>
        <v>655.24</v>
      </c>
      <c r="G197" s="143">
        <f ca="1">IFERROR(__xludf.DUMMYFUNCTION("""COMPUTED_VALUE"""),97841472)</f>
        <v>97841472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IFERROR(__xludf.DUMMYFUNCTION("""COMPUTED_VALUE"""),646.42)</f>
        <v>646.41999999999996</v>
      </c>
      <c r="D198" s="141">
        <f ca="1">IFERROR(__xludf.DUMMYFUNCTION("""COMPUTED_VALUE"""),658.2)</f>
        <v>658.2</v>
      </c>
      <c r="E198" s="141">
        <f ca="1">IFERROR(__xludf.DUMMYFUNCTION("""COMPUTED_VALUE"""),645.11)</f>
        <v>645.11</v>
      </c>
      <c r="F198" s="141">
        <f ca="1">IFERROR(__xludf.DUMMYFUNCTION("""COMPUTED_VALUE"""),655.83)</f>
        <v>655.83</v>
      </c>
      <c r="G198" s="143">
        <f ca="1">IFERROR(__xludf.DUMMYFUNCTION("""COMPUTED_VALUE"""),68358714)</f>
        <v>68358714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IFERROR(__xludf.DUMMYFUNCTION("""COMPUTED_VALUE"""),655.86)</f>
        <v>655.86</v>
      </c>
      <c r="D199" s="141">
        <f ca="1">IFERROR(__xludf.DUMMYFUNCTION("""COMPUTED_VALUE"""),659.72)</f>
        <v>659.72</v>
      </c>
      <c r="E199" s="141">
        <f ca="1">IFERROR(__xludf.DUMMYFUNCTION("""COMPUTED_VALUE"""),655.52)</f>
        <v>655.52</v>
      </c>
      <c r="F199" s="141">
        <f ca="1">IFERROR(__xludf.DUMMYFUNCTION("""COMPUTED_VALUE"""),658.93)</f>
        <v>658.93</v>
      </c>
      <c r="G199" s="143">
        <f ca="1">IFERROR(__xludf.DUMMYFUNCTION("""COMPUTED_VALUE"""),39105759)</f>
        <v>39105759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IFERROR(__xludf.DUMMYFUNCTION("""COMPUTED_VALUE"""),656.65)</f>
        <v>656.65</v>
      </c>
      <c r="D200" s="141">
        <f ca="1">IFERROR(__xludf.DUMMYFUNCTION("""COMPUTED_VALUE"""),659.61)</f>
        <v>659.61</v>
      </c>
      <c r="E200" s="141">
        <f ca="1">IFERROR(__xludf.DUMMYFUNCTION("""COMPUTED_VALUE"""),651.06)</f>
        <v>651.05999999999995</v>
      </c>
      <c r="F200" s="141">
        <f ca="1">IFERROR(__xludf.DUMMYFUNCTION("""COMPUTED_VALUE"""),659.22)</f>
        <v>659.22</v>
      </c>
      <c r="G200" s="143">
        <f ca="1">IFERROR(__xludf.DUMMYFUNCTION("""COMPUTED_VALUE"""),69980362)</f>
        <v>69980362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IFERROR(__xludf.DUMMYFUNCTION("""COMPUTED_VALUE"""),676.39)</f>
        <v>676.39</v>
      </c>
      <c r="D201" s="141">
        <f ca="1">IFERROR(__xludf.DUMMYFUNCTION("""COMPUTED_VALUE"""),677.08)</f>
        <v>677.08</v>
      </c>
      <c r="E201" s="141">
        <f ca="1">IFERROR(__xludf.DUMMYFUNCTION("""COMPUTED_VALUE"""),671.46)</f>
        <v>671.46</v>
      </c>
      <c r="F201" s="141">
        <f ca="1">IFERROR(__xludf.DUMMYFUNCTION("""COMPUTED_VALUE"""),676.01)</f>
        <v>676.01</v>
      </c>
      <c r="G201" s="143">
        <f ca="1">IFERROR(__xludf.DUMMYFUNCTION("""COMPUTED_VALUE"""),93606115)</f>
        <v>93606115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IFERROR(__xludf.DUMMYFUNCTION("""COMPUTED_VALUE"""),674.84)</f>
        <v>674.84</v>
      </c>
      <c r="D202" s="141">
        <f ca="1">IFERROR(__xludf.DUMMYFUNCTION("""COMPUTED_VALUE"""),681.16)</f>
        <v>681.16</v>
      </c>
      <c r="E202" s="141">
        <f ca="1">IFERROR(__xludf.DUMMYFUNCTION("""COMPUTED_VALUE"""),673.77)</f>
        <v>673.77</v>
      </c>
      <c r="F202" s="141">
        <f ca="1">IFERROR(__xludf.DUMMYFUNCTION("""COMPUTED_VALUE"""),679.91)</f>
        <v>679.91</v>
      </c>
      <c r="G202" s="143">
        <f ca="1">IFERROR(__xludf.DUMMYFUNCTION("""COMPUTED_VALUE"""),57134445)</f>
        <v>57134445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IFERROR(__xludf.DUMMYFUNCTION("""COMPUTED_VALUE"""),681.32)</f>
        <v>681.32</v>
      </c>
      <c r="D203" s="141">
        <f ca="1">IFERROR(__xludf.DUMMYFUNCTION("""COMPUTED_VALUE"""),682.03)</f>
        <v>682.03</v>
      </c>
      <c r="E203" s="141">
        <f ca="1">IFERROR(__xludf.DUMMYFUNCTION("""COMPUTED_VALUE"""),678.45)</f>
        <v>678.45</v>
      </c>
      <c r="F203" s="141">
        <f ca="1">IFERROR(__xludf.DUMMYFUNCTION("""COMPUTED_VALUE"""),679.46)</f>
        <v>679.46</v>
      </c>
      <c r="G203" s="143">
        <f ca="1">IFERROR(__xludf.DUMMYFUNCTION("""COMPUTED_VALUE"""),42253457)</f>
        <v>42253457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IFERROR(__xludf.DUMMYFUNCTION("""COMPUTED_VALUE"""),677.41)</f>
        <v>677.41</v>
      </c>
      <c r="D204" s="141">
        <f ca="1">IFERROR(__xludf.DUMMYFUNCTION("""COMPUTED_VALUE"""),686.3)</f>
        <v>686.3</v>
      </c>
      <c r="E204" s="141">
        <f ca="1">IFERROR(__xludf.DUMMYFUNCTION("""COMPUTED_VALUE"""),676.58)</f>
        <v>676.58</v>
      </c>
      <c r="F204" s="141">
        <f ca="1">IFERROR(__xludf.DUMMYFUNCTION("""COMPUTED_VALUE"""),686.1)</f>
        <v>686.1</v>
      </c>
      <c r="G204" s="143">
        <f ca="1">IFERROR(__xludf.DUMMYFUNCTION("""COMPUTED_VALUE"""),54185820)</f>
        <v>54185820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IFERROR(__xludf.DUMMYFUNCTION("""COMPUTED_VALUE"""),687.69)</f>
        <v>687.69</v>
      </c>
      <c r="D205" s="141">
        <f ca="1">IFERROR(__xludf.DUMMYFUNCTION("""COMPUTED_VALUE"""),694.58)</f>
        <v>694.58</v>
      </c>
      <c r="E205" s="141">
        <f ca="1">IFERROR(__xludf.DUMMYFUNCTION("""COMPUTED_VALUE"""),687.66)</f>
        <v>687.66</v>
      </c>
      <c r="F205" s="141">
        <f ca="1">IFERROR(__xludf.DUMMYFUNCTION("""COMPUTED_VALUE"""),694.46)</f>
        <v>694.46</v>
      </c>
      <c r="G205" s="143">
        <f ca="1">IFERROR(__xludf.DUMMYFUNCTION("""COMPUTED_VALUE"""),63480529)</f>
        <v>63480529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IFERROR(__xludf.DUMMYFUNCTION("""COMPUTED_VALUE"""),695.26)</f>
        <v>695.26</v>
      </c>
      <c r="D206" s="141">
        <f ca="1">IFERROR(__xludf.DUMMYFUNCTION("""COMPUTED_VALUE"""),700.28)</f>
        <v>700.28</v>
      </c>
      <c r="E206" s="141">
        <f ca="1">IFERROR(__xludf.DUMMYFUNCTION("""COMPUTED_VALUE"""),694.2)</f>
        <v>694.2</v>
      </c>
      <c r="F206" s="141">
        <f ca="1">IFERROR(__xludf.DUMMYFUNCTION("""COMPUTED_VALUE"""),699.94)</f>
        <v>699.94</v>
      </c>
      <c r="G206" s="143">
        <f ca="1">IFERROR(__xludf.DUMMYFUNCTION("""COMPUTED_VALUE"""),58240384)</f>
        <v>58240384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IFERROR(__xludf.DUMMYFUNCTION("""COMPUTED_VALUE"""),701.06)</f>
        <v>701.06</v>
      </c>
      <c r="D207" s="141">
        <f ca="1">IFERROR(__xludf.DUMMYFUNCTION("""COMPUTED_VALUE"""),702.78)</f>
        <v>702.78</v>
      </c>
      <c r="E207" s="141">
        <f ca="1">IFERROR(__xludf.DUMMYFUNCTION("""COMPUTED_VALUE"""),698.53)</f>
        <v>698.53</v>
      </c>
      <c r="F207" s="141">
        <f ca="1">IFERROR(__xludf.DUMMYFUNCTION("""COMPUTED_VALUE"""),701.66)</f>
        <v>701.66</v>
      </c>
      <c r="G207" s="143">
        <f ca="1">IFERROR(__xludf.DUMMYFUNCTION("""COMPUTED_VALUE"""),49972364)</f>
        <v>49972364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IFERROR(__xludf.DUMMYFUNCTION("""COMPUTED_VALUE"""),706.14)</f>
        <v>706.14</v>
      </c>
      <c r="D208" s="141">
        <f ca="1">IFERROR(__xludf.DUMMYFUNCTION("""COMPUTED_VALUE"""),712.39)</f>
        <v>712.39</v>
      </c>
      <c r="E208" s="141">
        <f ca="1">IFERROR(__xludf.DUMMYFUNCTION("""COMPUTED_VALUE"""),705.76)</f>
        <v>705.76</v>
      </c>
      <c r="F208" s="141">
        <f ca="1">IFERROR(__xludf.DUMMYFUNCTION("""COMPUTED_VALUE"""),710.14)</f>
        <v>710.14</v>
      </c>
      <c r="G208" s="143">
        <f ca="1">IFERROR(__xludf.DUMMYFUNCTION("""COMPUTED_VALUE"""),70661927)</f>
        <v>70661927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IFERROR(__xludf.DUMMYFUNCTION("""COMPUTED_VALUE"""),708.78)</f>
        <v>708.78</v>
      </c>
      <c r="D209" s="141">
        <f ca="1">IFERROR(__xludf.DUMMYFUNCTION("""COMPUTED_VALUE"""),709.91)</f>
        <v>709.91</v>
      </c>
      <c r="E209" s="141">
        <f ca="1">IFERROR(__xludf.DUMMYFUNCTION("""COMPUTED_VALUE"""),706.14)</f>
        <v>706.14</v>
      </c>
      <c r="F209" s="141">
        <f ca="1">IFERROR(__xludf.DUMMYFUNCTION("""COMPUTED_VALUE"""),708.72)</f>
        <v>708.72</v>
      </c>
      <c r="G209" s="143">
        <f ca="1">IFERROR(__xludf.DUMMYFUNCTION("""COMPUTED_VALUE"""),43546812)</f>
        <v>43546812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IFERROR(__xludf.DUMMYFUNCTION("""COMPUTED_VALUE"""),710.28)</f>
        <v>710.28</v>
      </c>
      <c r="D210" s="141">
        <f ca="1">IFERROR(__xludf.DUMMYFUNCTION("""COMPUTED_VALUE"""),711.28)</f>
        <v>711.28</v>
      </c>
      <c r="E210" s="141">
        <f ca="1">IFERROR(__xludf.DUMMYFUNCTION("""COMPUTED_VALUE"""),702.64)</f>
        <v>702.64</v>
      </c>
      <c r="F210" s="141">
        <f ca="1">IFERROR(__xludf.DUMMYFUNCTION("""COMPUTED_VALUE"""),704.08)</f>
        <v>704.08</v>
      </c>
      <c r="G210" s="143">
        <f ca="1">IFERROR(__xludf.DUMMYFUNCTION("""COMPUTED_VALUE"""),58941385)</f>
        <v>58941385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IFERROR(__xludf.DUMMYFUNCTION("""COMPUTED_VALUE"""),709.15)</f>
        <v>709.15</v>
      </c>
      <c r="D211" s="141">
        <f ca="1">IFERROR(__xludf.DUMMYFUNCTION("""COMPUTED_VALUE"""),711.45)</f>
        <v>711.45</v>
      </c>
      <c r="E211" s="141">
        <f ca="1">IFERROR(__xludf.DUMMYFUNCTION("""COMPUTED_VALUE"""),708.22)</f>
        <v>708.22</v>
      </c>
      <c r="F211" s="141">
        <f ca="1">IFERROR(__xludf.DUMMYFUNCTION("""COMPUTED_VALUE"""),711.21)</f>
        <v>711.21</v>
      </c>
      <c r="G211" s="143">
        <f ca="1">IFERROR(__xludf.DUMMYFUNCTION("""COMPUTED_VALUE"""),42518498)</f>
        <v>42518498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IFERROR(__xludf.DUMMYFUNCTION("""COMPUTED_VALUE"""),709.5)</f>
        <v>709.5</v>
      </c>
      <c r="D212" s="141">
        <f ca="1">IFERROR(__xludf.DUMMYFUNCTION("""COMPUTED_VALUE"""),712.36)</f>
        <v>712.36</v>
      </c>
      <c r="E212" s="141">
        <f ca="1">IFERROR(__xludf.DUMMYFUNCTION("""COMPUTED_VALUE"""),702.28)</f>
        <v>702.28</v>
      </c>
      <c r="F212" s="141">
        <f ca="1">IFERROR(__xludf.DUMMYFUNCTION("""COMPUTED_VALUE"""),708.45)</f>
        <v>708.45</v>
      </c>
      <c r="G212" s="143">
        <f ca="1">IFERROR(__xludf.DUMMYFUNCTION("""COMPUTED_VALUE"""),56173991)</f>
        <v>56173991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IFERROR(__xludf.DUMMYFUNCTION("""COMPUTED_VALUE"""),710.75)</f>
        <v>710.75</v>
      </c>
      <c r="D213" s="141">
        <f ca="1">IFERROR(__xludf.DUMMYFUNCTION("""COMPUTED_VALUE"""),714.47)</f>
        <v>714.47</v>
      </c>
      <c r="E213" s="141">
        <f ca="1">IFERROR(__xludf.DUMMYFUNCTION("""COMPUTED_VALUE"""),709.01)</f>
        <v>709.01</v>
      </c>
      <c r="F213" s="141">
        <f ca="1">IFERROR(__xludf.DUMMYFUNCTION("""COMPUTED_VALUE"""),713.94)</f>
        <v>713.94</v>
      </c>
      <c r="G213" s="143">
        <f ca="1">IFERROR(__xludf.DUMMYFUNCTION("""COMPUTED_VALUE"""),45181957)</f>
        <v>45181957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IFERROR(__xludf.DUMMYFUNCTION("""COMPUTED_VALUE"""),713.17)</f>
        <v>713.17</v>
      </c>
      <c r="D214" s="141">
        <f ca="1">IFERROR(__xludf.DUMMYFUNCTION("""COMPUTED_VALUE"""),715.63)</f>
        <v>715.63</v>
      </c>
      <c r="E214" s="141">
        <f ca="1">IFERROR(__xludf.DUMMYFUNCTION("""COMPUTED_VALUE"""),712.3)</f>
        <v>712.3</v>
      </c>
      <c r="F214" s="141">
        <f ca="1">IFERROR(__xludf.DUMMYFUNCTION("""COMPUTED_VALUE"""),715.17)</f>
        <v>715.17</v>
      </c>
      <c r="G214" s="143">
        <f ca="1">IFERROR(__xludf.DUMMYFUNCTION("""COMPUTED_VALUE"""),33135943)</f>
        <v>33135943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IFERROR(__xludf.DUMMYFUNCTION("""COMPUTED_VALUE"""),711.82)</f>
        <v>711.82</v>
      </c>
      <c r="D215" s="141">
        <f ca="1">IFERROR(__xludf.DUMMYFUNCTION("""COMPUTED_VALUE"""),712.88)</f>
        <v>712.88</v>
      </c>
      <c r="E215" s="141">
        <f ca="1">IFERROR(__xludf.DUMMYFUNCTION("""COMPUTED_VALUE"""),709.25)</f>
        <v>709.25</v>
      </c>
      <c r="F215" s="141">
        <f ca="1">IFERROR(__xludf.DUMMYFUNCTION("""COMPUTED_VALUE"""),711.69)</f>
        <v>711.69</v>
      </c>
      <c r="G215" s="143">
        <f ca="1">IFERROR(__xludf.DUMMYFUNCTION("""COMPUTED_VALUE"""),43117437)</f>
        <v>43117437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IFERROR(__xludf.DUMMYFUNCTION("""COMPUTED_VALUE"""),711)</f>
        <v>711</v>
      </c>
      <c r="D216" s="141">
        <f ca="1">IFERROR(__xludf.DUMMYFUNCTION("""COMPUTED_VALUE"""),712.2)</f>
        <v>712.2</v>
      </c>
      <c r="E216" s="141">
        <f ca="1">IFERROR(__xludf.DUMMYFUNCTION("""COMPUTED_VALUE"""),708.37)</f>
        <v>708.37</v>
      </c>
      <c r="F216" s="141">
        <f ca="1">IFERROR(__xludf.DUMMYFUNCTION("""COMPUTED_VALUE"""),711.58)</f>
        <v>711.58</v>
      </c>
      <c r="G216" s="143">
        <f ca="1">IFERROR(__xludf.DUMMYFUNCTION("""COMPUTED_VALUE"""),41859228)</f>
        <v>41859228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IFERROR(__xludf.DUMMYFUNCTION("""COMPUTED_VALUE"""),714.63)</f>
        <v>714.63</v>
      </c>
      <c r="D217" s="141">
        <f ca="1">IFERROR(__xludf.DUMMYFUNCTION("""COMPUTED_VALUE"""),719.79)</f>
        <v>719.79</v>
      </c>
      <c r="E217" s="141">
        <f ca="1">IFERROR(__xludf.DUMMYFUNCTION("""COMPUTED_VALUE"""),710.45)</f>
        <v>710.45</v>
      </c>
      <c r="F217" s="141">
        <f ca="1">IFERROR(__xludf.DUMMYFUNCTION("""COMPUTED_VALUE"""),718.66)</f>
        <v>718.66</v>
      </c>
      <c r="G217" s="143">
        <f ca="1">IFERROR(__xludf.DUMMYFUNCTION("""COMPUTED_VALUE"""),67240949)</f>
        <v>67240949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IFERROR(__xludf.DUMMYFUNCTION("""COMPUTED_VALUE"""),721.25)</f>
        <v>721.25</v>
      </c>
      <c r="D218" s="141">
        <f ca="1">IFERROR(__xludf.DUMMYFUNCTION("""COMPUTED_VALUE"""),724.87)</f>
        <v>724.87</v>
      </c>
      <c r="E218" s="141">
        <f ca="1">IFERROR(__xludf.DUMMYFUNCTION("""COMPUTED_VALUE"""),720.47)</f>
        <v>720.47</v>
      </c>
      <c r="F218" s="141">
        <f ca="1">IFERROR(__xludf.DUMMYFUNCTION("""COMPUTED_VALUE"""),720.65)</f>
        <v>720.65</v>
      </c>
      <c r="G218" s="143">
        <f ca="1">IFERROR(__xludf.DUMMYFUNCTION("""COMPUTED_VALUE"""),43049849)</f>
        <v>43049849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IFERROR(__xludf.DUMMYFUNCTION("""COMPUTED_VALUE"""),720.07)</f>
        <v>720.07</v>
      </c>
      <c r="D219" s="141">
        <f ca="1">IFERROR(__xludf.DUMMYFUNCTION("""COMPUTED_VALUE"""),722.12)</f>
        <v>722.12</v>
      </c>
      <c r="E219" s="141">
        <f ca="1">IFERROR(__xludf.DUMMYFUNCTION("""COMPUTED_VALUE"""),714.99)</f>
        <v>714.99</v>
      </c>
      <c r="F219" s="141">
        <f ca="1">IFERROR(__xludf.DUMMYFUNCTION("""COMPUTED_VALUE"""),718.01)</f>
        <v>718.01</v>
      </c>
      <c r="G219" s="143">
        <f ca="1">IFERROR(__xludf.DUMMYFUNCTION("""COMPUTED_VALUE"""),51950559)</f>
        <v>51950559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IFERROR(__xludf.DUMMYFUNCTION("""COMPUTED_VALUE"""),721.77)</f>
        <v>721.77</v>
      </c>
      <c r="D220" s="141">
        <f ca="1">IFERROR(__xludf.DUMMYFUNCTION("""COMPUTED_VALUE"""),725.04)</f>
        <v>725.04</v>
      </c>
      <c r="E220" s="141">
        <f ca="1">IFERROR(__xludf.DUMMYFUNCTION("""COMPUTED_VALUE"""),721.49)</f>
        <v>721.49</v>
      </c>
      <c r="F220" s="141">
        <f ca="1">IFERROR(__xludf.DUMMYFUNCTION("""COMPUTED_VALUE"""),723.77)</f>
        <v>723.77</v>
      </c>
      <c r="G220" s="143">
        <f ca="1">IFERROR(__xludf.DUMMYFUNCTION("""COMPUTED_VALUE"""),36933226)</f>
        <v>36933226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IFERROR(__xludf.DUMMYFUNCTION("""COMPUTED_VALUE"""),728.16)</f>
        <v>728.16</v>
      </c>
      <c r="D221" s="141">
        <f ca="1">IFERROR(__xludf.DUMMYFUNCTION("""COMPUTED_VALUE"""),734.59)</f>
        <v>734.59</v>
      </c>
      <c r="E221" s="141">
        <f ca="1">IFERROR(__xludf.DUMMYFUNCTION("""COMPUTED_VALUE"""),727.82)</f>
        <v>727.82</v>
      </c>
      <c r="F221" s="141">
        <f ca="1">IFERROR(__xludf.DUMMYFUNCTION("""COMPUTED_VALUE"""),733.83)</f>
        <v>733.83</v>
      </c>
      <c r="G221" s="143">
        <f ca="1">IFERROR(__xludf.DUMMYFUNCTION("""COMPUTED_VALUE"""),53288941)</f>
        <v>53288941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IFERROR(__xludf.DUMMYFUNCTION("""COMPUTED_VALUE"""),735.05)</f>
        <v>735.05</v>
      </c>
      <c r="D222" s="141">
        <f ca="1">IFERROR(__xludf.DUMMYFUNCTION("""COMPUTED_VALUE"""),736.13)</f>
        <v>736.13</v>
      </c>
      <c r="E222" s="141">
        <f ca="1">IFERROR(__xludf.DUMMYFUNCTION("""COMPUTED_VALUE"""),729.75)</f>
        <v>729.75</v>
      </c>
      <c r="F222" s="141">
        <f ca="1">IFERROR(__xludf.DUMMYFUNCTION("""COMPUTED_VALUE"""),731.58)</f>
        <v>731.58</v>
      </c>
      <c r="G222" s="143">
        <f ca="1">IFERROR(__xludf.DUMMYFUNCTION("""COMPUTED_VALUE"""),51724643)</f>
        <v>51724643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IFERROR(__xludf.DUMMYFUNCTION("""COMPUTED_VALUE"""),734.93)</f>
        <v>734.93</v>
      </c>
      <c r="D223" s="141">
        <f ca="1">IFERROR(__xludf.DUMMYFUNCTION("""COMPUTED_VALUE"""),738.08)</f>
        <v>738.08</v>
      </c>
      <c r="E223" s="141">
        <f ca="1">IFERROR(__xludf.DUMMYFUNCTION("""COMPUTED_VALUE"""),734.57)</f>
        <v>734.57</v>
      </c>
      <c r="F223" s="141">
        <f ca="1">IFERROR(__xludf.DUMMYFUNCTION("""COMPUTED_VALUE"""),737.62)</f>
        <v>737.62</v>
      </c>
      <c r="G223" s="143">
        <f ca="1">IFERROR(__xludf.DUMMYFUNCTION("""COMPUTED_VALUE"""),47227085)</f>
        <v>47227085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IFERROR(__xludf.DUMMYFUNCTION("""COMPUTED_VALUE"""),736.45)</f>
        <v>736.45</v>
      </c>
      <c r="D224" s="141">
        <f ca="1">IFERROR(__xludf.DUMMYFUNCTION("""COMPUTED_VALUE"""),740.79)</f>
        <v>740.79</v>
      </c>
      <c r="E224" s="141">
        <f ca="1">IFERROR(__xludf.DUMMYFUNCTION("""COMPUTED_VALUE"""),736.45)</f>
        <v>736.45</v>
      </c>
      <c r="F224" s="141">
        <f ca="1">IFERROR(__xludf.DUMMYFUNCTION("""COMPUTED_VALUE"""),739.3)</f>
        <v>739.3</v>
      </c>
      <c r="G224" s="143">
        <f ca="1">IFERROR(__xludf.DUMMYFUNCTION("""COMPUTED_VALUE"""),44023952)</f>
        <v>44023952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IFERROR(__xludf.DUMMYFUNCTION("""COMPUTED_VALUE"""),736.89)</f>
        <v>736.89</v>
      </c>
      <c r="D225" s="141">
        <f ca="1">IFERROR(__xludf.DUMMYFUNCTION("""COMPUTED_VALUE"""),738.84)</f>
        <v>738.84</v>
      </c>
      <c r="E225" s="141">
        <f ca="1">IFERROR(__xludf.DUMMYFUNCTION("""COMPUTED_VALUE"""),731.83)</f>
        <v>731.83</v>
      </c>
      <c r="F225" s="141">
        <f ca="1">IFERROR(__xludf.DUMMYFUNCTION("""COMPUTED_VALUE"""),738.18)</f>
        <v>738.18</v>
      </c>
      <c r="G225" s="143">
        <f ca="1">IFERROR(__xludf.DUMMYFUNCTION("""COMPUTED_VALUE"""),54185274)</f>
        <v>54185274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IFERROR(__xludf.DUMMYFUNCTION("""COMPUTED_VALUE"""),738.47)</f>
        <v>738.47</v>
      </c>
      <c r="D226" s="141">
        <f ca="1">IFERROR(__xludf.DUMMYFUNCTION("""COMPUTED_VALUE"""),743.91)</f>
        <v>743.91</v>
      </c>
      <c r="E226" s="141">
        <f ca="1">IFERROR(__xludf.DUMMYFUNCTION("""COMPUTED_VALUE"""),735.47)</f>
        <v>735.47</v>
      </c>
      <c r="F226" s="141">
        <f ca="1">IFERROR(__xludf.DUMMYFUNCTION("""COMPUTED_VALUE"""),742.31)</f>
        <v>742.31</v>
      </c>
      <c r="G226" s="143">
        <f ca="1">IFERROR(__xludf.DUMMYFUNCTION("""COMPUTED_VALUE"""),44200203)</f>
        <v>44200203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IFERROR(__xludf.DUMMYFUNCTION("""COMPUTED_VALUE"""),743.65)</f>
        <v>743.65</v>
      </c>
      <c r="D227" s="141">
        <f ca="1">IFERROR(__xludf.DUMMYFUNCTION("""COMPUTED_VALUE"""),749.53)</f>
        <v>749.53</v>
      </c>
      <c r="E227" s="141">
        <f ca="1">IFERROR(__xludf.DUMMYFUNCTION("""COMPUTED_VALUE"""),743.56)</f>
        <v>743.56</v>
      </c>
      <c r="F227" s="141">
        <f ca="1">IFERROR(__xludf.DUMMYFUNCTION("""COMPUTED_VALUE"""),748.17)</f>
        <v>748.17</v>
      </c>
      <c r="G227" s="143">
        <f ca="1">IFERROR(__xludf.DUMMYFUNCTION("""COMPUTED_VALUE"""),45307604)</f>
        <v>45307604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IFERROR(__xludf.DUMMYFUNCTION("""COMPUTED_VALUE"""),741.79)</f>
        <v>741.79</v>
      </c>
      <c r="D228" s="141">
        <f ca="1">IFERROR(__xludf.DUMMYFUNCTION("""COMPUTED_VALUE"""),743.46)</f>
        <v>743.46</v>
      </c>
      <c r="E228" s="141">
        <f ca="1">IFERROR(__xludf.DUMMYFUNCTION("""COMPUTED_VALUE"""),737.96)</f>
        <v>737.96</v>
      </c>
      <c r="F228" s="141">
        <f ca="1">IFERROR(__xludf.DUMMYFUNCTION("""COMPUTED_VALUE"""),739.17)</f>
        <v>739.17</v>
      </c>
      <c r="G228" s="143">
        <f ca="1">IFERROR(__xludf.DUMMYFUNCTION("""COMPUTED_VALUE"""),60410772)</f>
        <v>60410772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IFERROR(__xludf.DUMMYFUNCTION("""COMPUTED_VALUE"""),739.83)</f>
        <v>739.83</v>
      </c>
      <c r="D229" s="141">
        <f ca="1">IFERROR(__xludf.DUMMYFUNCTION("""COMPUTED_VALUE"""),741.42)</f>
        <v>741.42</v>
      </c>
      <c r="E229" s="141">
        <f ca="1">IFERROR(__xludf.DUMMYFUNCTION("""COMPUTED_VALUE"""),733.39)</f>
        <v>733.39</v>
      </c>
      <c r="F229" s="141">
        <f ca="1">IFERROR(__xludf.DUMMYFUNCTION("""COMPUTED_VALUE"""),738.65)</f>
        <v>738.65</v>
      </c>
      <c r="G229" s="143">
        <f ca="1">IFERROR(__xludf.DUMMYFUNCTION("""COMPUTED_VALUE"""),47843866)</f>
        <v>47843866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IFERROR(__xludf.DUMMYFUNCTION("""COMPUTED_VALUE"""),734.78)</f>
        <v>734.78</v>
      </c>
      <c r="D230" s="141">
        <f ca="1">IFERROR(__xludf.DUMMYFUNCTION("""COMPUTED_VALUE"""),737.65)</f>
        <v>737.65</v>
      </c>
      <c r="E230" s="141">
        <f ca="1">IFERROR(__xludf.DUMMYFUNCTION("""COMPUTED_VALUE"""),731.53)</f>
        <v>731.53</v>
      </c>
      <c r="F230" s="141">
        <f ca="1">IFERROR(__xludf.DUMMYFUNCTION("""COMPUTED_VALUE"""),733.73)</f>
        <v>733.73</v>
      </c>
      <c r="G230" s="143">
        <f ca="1">IFERROR(__xludf.DUMMYFUNCTION("""COMPUTED_VALUE"""),54255914)</f>
        <v>54255914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IFERROR(__xludf.DUMMYFUNCTION("""COMPUTED_VALUE"""),735.71)</f>
        <v>735.71</v>
      </c>
      <c r="D231" s="141">
        <f ca="1">IFERROR(__xludf.DUMMYFUNCTION("""COMPUTED_VALUE"""),741.87)</f>
        <v>741.87</v>
      </c>
      <c r="E231" s="141">
        <f ca="1">IFERROR(__xludf.DUMMYFUNCTION("""COMPUTED_VALUE"""),733.89)</f>
        <v>733.89</v>
      </c>
      <c r="F231" s="141">
        <f ca="1">IFERROR(__xludf.DUMMYFUNCTION("""COMPUTED_VALUE"""),741.25)</f>
        <v>741.25</v>
      </c>
      <c r="G231" s="143">
        <f ca="1">IFERROR(__xludf.DUMMYFUNCTION("""COMPUTED_VALUE"""),45768036)</f>
        <v>45768036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IFERROR(__xludf.DUMMYFUNCTION("""COMPUTED_VALUE"""),738.64)</f>
        <v>738.64</v>
      </c>
      <c r="D232" s="141">
        <f ca="1">IFERROR(__xludf.DUMMYFUNCTION("""COMPUTED_VALUE"""),744.87)</f>
        <v>744.87</v>
      </c>
      <c r="E232" s="141">
        <f ca="1">IFERROR(__xludf.DUMMYFUNCTION("""COMPUTED_VALUE"""),737.03)</f>
        <v>737.03</v>
      </c>
      <c r="F232" s="141">
        <f ca="1">IFERROR(__xludf.DUMMYFUNCTION("""COMPUTED_VALUE"""),742.72)</f>
        <v>742.72</v>
      </c>
      <c r="G232" s="143">
        <f ca="1">IFERROR(__xludf.DUMMYFUNCTION("""COMPUTED_VALUE"""),43332226)</f>
        <v>43332226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IFERROR(__xludf.DUMMYFUNCTION("""COMPUTED_VALUE"""),746.24)</f>
        <v>746.24</v>
      </c>
      <c r="D233" s="141">
        <f ca="1">IFERROR(__xludf.DUMMYFUNCTION("""COMPUTED_VALUE"""),748.94)</f>
        <v>748.94</v>
      </c>
      <c r="E233" s="141">
        <f ca="1">IFERROR(__xludf.DUMMYFUNCTION("""COMPUTED_VALUE"""),744.48)</f>
        <v>744.48</v>
      </c>
      <c r="F233" s="141">
        <f ca="1">IFERROR(__xludf.DUMMYFUNCTION("""COMPUTED_VALUE"""),745.64)</f>
        <v>745.64</v>
      </c>
      <c r="G233" s="143">
        <f ca="1">IFERROR(__xludf.DUMMYFUNCTION("""COMPUTED_VALUE"""),41762007)</f>
        <v>41762007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IFERROR(__xludf.DUMMYFUNCTION("""COMPUTED_VALUE"""),750.01)</f>
        <v>750.01</v>
      </c>
      <c r="D234" s="141">
        <f ca="1">IFERROR(__xludf.DUMMYFUNCTION("""COMPUTED_VALUE"""),752.13)</f>
        <v>752.13</v>
      </c>
      <c r="E234" s="141">
        <f ca="1">IFERROR(__xludf.DUMMYFUNCTION("""COMPUTED_VALUE"""),748.37)</f>
        <v>748.37</v>
      </c>
      <c r="F234" s="141">
        <f ca="1">IFERROR(__xludf.DUMMYFUNCTION("""COMPUTED_VALUE"""),750.59)</f>
        <v>750.59</v>
      </c>
      <c r="G234" s="143">
        <f ca="1">IFERROR(__xludf.DUMMYFUNCTION("""COMPUTED_VALUE"""),41123621)</f>
        <v>41123621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IFERROR(__xludf.DUMMYFUNCTION("""COMPUTED_VALUE"""),750.88)</f>
        <v>750.88</v>
      </c>
      <c r="D235" s="141">
        <f ca="1">IFERROR(__xludf.DUMMYFUNCTION("""COMPUTED_VALUE"""),751.38)</f>
        <v>751.38</v>
      </c>
      <c r="E235" s="141">
        <f ca="1">IFERROR(__xludf.DUMMYFUNCTION("""COMPUTED_VALUE"""),748.22)</f>
        <v>748.22</v>
      </c>
      <c r="F235" s="141">
        <f ca="1">IFERROR(__xludf.DUMMYFUNCTION("""COMPUTED_VALUE"""),750.46)</f>
        <v>750.46</v>
      </c>
      <c r="G235" s="143">
        <f ca="1">IFERROR(__xludf.DUMMYFUNCTION("""COMPUTED_VALUE"""),42106286)</f>
        <v>42106286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IFERROR(__xludf.DUMMYFUNCTION("""COMPUTED_VALUE"""),750.25)</f>
        <v>750.25</v>
      </c>
      <c r="D236" s="141">
        <f ca="1">IFERROR(__xludf.DUMMYFUNCTION("""COMPUTED_VALUE"""),755.15)</f>
        <v>755.15</v>
      </c>
      <c r="E236" s="141">
        <f ca="1">IFERROR(__xludf.DUMMYFUNCTION("""COMPUTED_VALUE"""),749.23)</f>
        <v>749.23</v>
      </c>
      <c r="F236" s="141">
        <f ca="1">IFERROR(__xludf.DUMMYFUNCTION("""COMPUTED_VALUE"""),754.6)</f>
        <v>754.6</v>
      </c>
      <c r="G236" s="143">
        <f ca="1">IFERROR(__xludf.DUMMYFUNCTION("""COMPUTED_VALUE"""),41562563)</f>
        <v>41562563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IFERROR(__xludf.DUMMYFUNCTION("""COMPUTED_VALUE"""),755.9)</f>
        <v>755.9</v>
      </c>
      <c r="D237" s="141">
        <f ca="1">IFERROR(__xludf.DUMMYFUNCTION("""COMPUTED_VALUE"""),758.08)</f>
        <v>758.08</v>
      </c>
      <c r="E237" s="141">
        <f ca="1">IFERROR(__xludf.DUMMYFUNCTION("""COMPUTED_VALUE"""),754.69)</f>
        <v>754.69</v>
      </c>
      <c r="F237" s="141">
        <f ca="1">IFERROR(__xludf.DUMMYFUNCTION("""COMPUTED_VALUE"""),756.48)</f>
        <v>756.48</v>
      </c>
      <c r="G237" s="143">
        <f ca="1">IFERROR(__xludf.DUMMYFUNCTION("""COMPUTED_VALUE"""),55075739)</f>
        <v>55075739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IFERROR(__xludf.DUMMYFUNCTION("""COMPUTED_VALUE"""),755.36)</f>
        <v>755.36</v>
      </c>
      <c r="D238" s="141">
        <f ca="1">IFERROR(__xludf.DUMMYFUNCTION("""COMPUTED_VALUE"""),760.28)</f>
        <v>760.28</v>
      </c>
      <c r="E238" s="141">
        <f ca="1">IFERROR(__xludf.DUMMYFUNCTION("""COMPUTED_VALUE"""),754.69)</f>
        <v>754.69</v>
      </c>
      <c r="F238" s="141">
        <f ca="1">IFERROR(__xludf.DUMMYFUNCTION("""COMPUTED_VALUE"""),758.54)</f>
        <v>758.54</v>
      </c>
      <c r="G238" s="143">
        <f ca="1">IFERROR(__xludf.DUMMYFUNCTION("""COMPUTED_VALUE"""),43634933)</f>
        <v>43634933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IFERROR(__xludf.DUMMYFUNCTION("""COMPUTED_VALUE"""),757.03)</f>
        <v>757.03</v>
      </c>
      <c r="D239" s="141">
        <f ca="1">IFERROR(__xludf.DUMMYFUNCTION("""COMPUTED_VALUE"""),760.4)</f>
        <v>760.4</v>
      </c>
      <c r="E239" s="141">
        <f ca="1">IFERROR(__xludf.DUMMYFUNCTION("""COMPUTED_VALUE"""),756.75)</f>
        <v>756.75</v>
      </c>
      <c r="F239" s="141">
        <f ca="1">IFERROR(__xludf.DUMMYFUNCTION("""COMPUTED_VALUE"""),759.57)</f>
        <v>759.57</v>
      </c>
      <c r="G239" s="143">
        <f ca="1">IFERROR(__xludf.DUMMYFUNCTION("""COMPUTED_VALUE"""),31581852)</f>
        <v>31581852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IFERROR(__xludf.DUMMYFUNCTION("""COMPUTED_VALUE"""),758.15)</f>
        <v>758.15</v>
      </c>
      <c r="D240" s="141">
        <f ca="1">IFERROR(__xludf.DUMMYFUNCTION("""COMPUTED_VALUE"""),758.8)</f>
        <v>758.8</v>
      </c>
      <c r="E240" s="141">
        <f ca="1">IFERROR(__xludf.DUMMYFUNCTION("""COMPUTED_VALUE"""),753.57)</f>
        <v>753.57</v>
      </c>
      <c r="F240" s="141">
        <f ca="1">IFERROR(__xludf.DUMMYFUNCTION("""COMPUTED_VALUE"""),754.24)</f>
        <v>754.24</v>
      </c>
      <c r="G240" s="143">
        <f ca="1">IFERROR(__xludf.DUMMYFUNCTION("""COMPUTED_VALUE"""),51402518)</f>
        <v>51402518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IFERROR(__xludf.DUMMYFUNCTION("""COMPUTED_VALUE"""),752.1)</f>
        <v>752.1</v>
      </c>
      <c r="D241" s="141">
        <f ca="1">IFERROR(__xludf.DUMMYFUNCTION("""COMPUTED_VALUE"""),758.31)</f>
        <v>758.31</v>
      </c>
      <c r="E241" s="141">
        <f ca="1">IFERROR(__xludf.DUMMYFUNCTION("""COMPUTED_VALUE"""),751.47)</f>
        <v>751.47</v>
      </c>
      <c r="F241" s="141">
        <f ca="1">IFERROR(__xludf.DUMMYFUNCTION("""COMPUTED_VALUE"""),757.09)</f>
        <v>757.09</v>
      </c>
      <c r="G241" s="143">
        <f ca="1">IFERROR(__xludf.DUMMYFUNCTION("""COMPUTED_VALUE"""),49923036)</f>
        <v>49923036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IFERROR(__xludf.DUMMYFUNCTION("""COMPUTED_VALUE"""),752.31)</f>
        <v>752.31</v>
      </c>
      <c r="D242" s="141">
        <f ca="1">IFERROR(__xludf.DUMMYFUNCTION("""COMPUTED_VALUE"""),752.82)</f>
        <v>752.82</v>
      </c>
      <c r="E242" s="141">
        <f ca="1">IFERROR(__xludf.DUMMYFUNCTION("""COMPUTED_VALUE"""),735.53)</f>
        <v>735.53</v>
      </c>
      <c r="F242" s="141">
        <f ca="1">IFERROR(__xludf.DUMMYFUNCTION("""COMPUTED_VALUE"""),737.55)</f>
        <v>737.55</v>
      </c>
      <c r="G242" s="143">
        <f ca="1">IFERROR(__xludf.DUMMYFUNCTION("""COMPUTED_VALUE"""),93989416)</f>
        <v>93989416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IFERROR(__xludf.DUMMYFUNCTION("""COMPUTED_VALUE"""),743.36)</f>
        <v>743.36</v>
      </c>
      <c r="D243" s="141">
        <f ca="1">IFERROR(__xludf.DUMMYFUNCTION("""COMPUTED_VALUE"""),745.34)</f>
        <v>745.34</v>
      </c>
      <c r="E243" s="141">
        <f ca="1">IFERROR(__xludf.DUMMYFUNCTION("""COMPUTED_VALUE"""),738.19)</f>
        <v>738.19</v>
      </c>
      <c r="F243" s="141">
        <f ca="1">IFERROR(__xludf.DUMMYFUNCTION("""COMPUTED_VALUE"""),739.22)</f>
        <v>739.22</v>
      </c>
      <c r="G243" s="143">
        <f ca="1">IFERROR(__xludf.DUMMYFUNCTION("""COMPUTED_VALUE"""),49319144)</f>
        <v>49319144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IFERROR(__xludf.DUMMYFUNCTION("""COMPUTED_VALUE"""),743.63)</f>
        <v>743.63</v>
      </c>
      <c r="D244" s="141">
        <f ca="1">IFERROR(__xludf.DUMMYFUNCTION("""COMPUTED_VALUE"""),746.9)</f>
        <v>746.9</v>
      </c>
      <c r="E244" s="141">
        <f ca="1">IFERROR(__xludf.DUMMYFUNCTION("""COMPUTED_VALUE"""),722.59)</f>
        <v>722.59</v>
      </c>
      <c r="F244" s="141">
        <f ca="1">IFERROR(__xludf.DUMMYFUNCTION("""COMPUTED_VALUE"""),737.05)</f>
        <v>737.05</v>
      </c>
      <c r="G244" s="143">
        <f ca="1">IFERROR(__xludf.DUMMYFUNCTION("""COMPUTED_VALUE"""),87683517)</f>
        <v>87683517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IFERROR(__xludf.DUMMYFUNCTION("""COMPUTED_VALUE"""),733.39)</f>
        <v>733.39</v>
      </c>
      <c r="D245" s="141">
        <f ca="1">IFERROR(__xludf.DUMMYFUNCTION("""COMPUTED_VALUE"""),738.38)</f>
        <v>738.38</v>
      </c>
      <c r="E245" s="141">
        <f ca="1">IFERROR(__xludf.DUMMYFUNCTION("""COMPUTED_VALUE"""),725.33)</f>
        <v>725.33</v>
      </c>
      <c r="F245" s="141">
        <f ca="1">IFERROR(__xludf.DUMMYFUNCTION("""COMPUTED_VALUE"""),725.43)</f>
        <v>725.43</v>
      </c>
      <c r="G245" s="143">
        <f ca="1">IFERROR(__xludf.DUMMYFUNCTION("""COMPUTED_VALUE"""),60341350)</f>
        <v>60341350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IFERROR(__xludf.DUMMYFUNCTION("""COMPUTED_VALUE"""),728.76)</f>
        <v>728.76</v>
      </c>
      <c r="D246" s="141">
        <f ca="1">IFERROR(__xludf.DUMMYFUNCTION("""COMPUTED_VALUE"""),740)</f>
        <v>740</v>
      </c>
      <c r="E246" s="141">
        <f ca="1">IFERROR(__xludf.DUMMYFUNCTION("""COMPUTED_VALUE"""),724.41)</f>
        <v>724.41</v>
      </c>
      <c r="F246" s="141">
        <f ca="1">IFERROR(__xludf.DUMMYFUNCTION("""COMPUTED_VALUE"""),737.76)</f>
        <v>737.76</v>
      </c>
      <c r="G246" s="143">
        <f ca="1">IFERROR(__xludf.DUMMYFUNCTION("""COMPUTED_VALUE"""),86330522)</f>
        <v>86330522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IFERROR(__xludf.DUMMYFUNCTION("""COMPUTED_VALUE"""),740.71)</f>
        <v>740.71</v>
      </c>
      <c r="D247" s="141">
        <f ca="1">IFERROR(__xludf.DUMMYFUNCTION("""COMPUTED_VALUE"""),744.44)</f>
        <v>744.44</v>
      </c>
      <c r="E247" s="141">
        <f ca="1">IFERROR(__xludf.DUMMYFUNCTION("""COMPUTED_VALUE"""),735.03)</f>
        <v>735.03</v>
      </c>
      <c r="F247" s="141">
        <f ca="1">IFERROR(__xludf.DUMMYFUNCTION("""COMPUTED_VALUE"""),741.75)</f>
        <v>741.75</v>
      </c>
      <c r="G247" s="143">
        <f ca="1">IFERROR(__xludf.DUMMYFUNCTION("""COMPUTED_VALUE"""),57079533)</f>
        <v>57079533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IFERROR(__xludf.DUMMYFUNCTION("""COMPUTED_VALUE"""),751.85)</f>
        <v>751.85</v>
      </c>
      <c r="D248" s="141">
        <f ca="1">IFERROR(__xludf.DUMMYFUNCTION("""COMPUTED_VALUE"""),756.68)</f>
        <v>756.68</v>
      </c>
      <c r="E248" s="141">
        <f ca="1">IFERROR(__xludf.DUMMYFUNCTION("""COMPUTED_VALUE"""),751.76)</f>
        <v>751.76</v>
      </c>
      <c r="F248" s="141">
        <f ca="1">IFERROR(__xludf.DUMMYFUNCTION("""COMPUTED_VALUE"""),754.83)</f>
        <v>754.83</v>
      </c>
      <c r="G248" s="143">
        <f ca="1">IFERROR(__xludf.DUMMYFUNCTION("""COMPUTED_VALUE"""),60176425)</f>
        <v>60176425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IFERROR(__xludf.DUMMYFUNCTION("""COMPUTED_VALUE"""),754.55)</f>
        <v>754.55</v>
      </c>
      <c r="D249" s="141">
        <f ca="1">IFERROR(__xludf.DUMMYFUNCTION("""COMPUTED_VALUE"""),755.44)</f>
        <v>755.44</v>
      </c>
      <c r="E249" s="141">
        <f ca="1">IFERROR(__xludf.DUMMYFUNCTION("""COMPUTED_VALUE"""),749.88)</f>
        <v>749.88</v>
      </c>
      <c r="F249" s="141">
        <f ca="1">IFERROR(__xludf.DUMMYFUNCTION("""COMPUTED_VALUE"""),750.33)</f>
        <v>750.33</v>
      </c>
      <c r="G249" s="143">
        <f ca="1">IFERROR(__xludf.DUMMYFUNCTION("""COMPUTED_VALUE"""),67093143)</f>
        <v>67093143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IFERROR(__xludf.DUMMYFUNCTION("""COMPUTED_VALUE"""),751.29)</f>
        <v>751.29</v>
      </c>
      <c r="D250" s="141">
        <f ca="1">IFERROR(__xludf.DUMMYFUNCTION("""COMPUTED_VALUE"""),752.15)</f>
        <v>752.15</v>
      </c>
      <c r="E250" s="141">
        <f ca="1">IFERROR(__xludf.DUMMYFUNCTION("""COMPUTED_VALUE"""),739.22)</f>
        <v>739.22</v>
      </c>
      <c r="F250" s="141">
        <f ca="1">IFERROR(__xludf.DUMMYFUNCTION("""COMPUTED_VALUE"""),740.96)</f>
        <v>740.96</v>
      </c>
      <c r="G250" s="143">
        <f ca="1">IFERROR(__xludf.DUMMYFUNCTION("""COMPUTED_VALUE"""),85945227)</f>
        <v>85945227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IFERROR(__xludf.DUMMYFUNCTION("""COMPUTED_VALUE"""),747.76)</f>
        <v>747.76</v>
      </c>
      <c r="D251" s="141">
        <f ca="1">IFERROR(__xludf.DUMMYFUNCTION("""COMPUTED_VALUE"""),748.23)</f>
        <v>748.23</v>
      </c>
      <c r="E251" s="141">
        <f ca="1">IFERROR(__xludf.DUMMYFUNCTION("""COMPUTED_VALUE"""),743.86)</f>
        <v>743.86</v>
      </c>
      <c r="F251" s="141">
        <f ca="1">IFERROR(__xludf.DUMMYFUNCTION("""COMPUTED_VALUE"""),746.74)</f>
        <v>746.74</v>
      </c>
      <c r="G251" s="143">
        <f ca="1">IFERROR(__xludf.DUMMYFUNCTION("""COMPUTED_VALUE"""),80875658)</f>
        <v>80875658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IFERROR(__xludf.DUMMYFUNCTION("""COMPUTED_VALUE"""),747.7)</f>
        <v>747.7</v>
      </c>
      <c r="D252" s="141">
        <f ca="1">IFERROR(__xludf.DUMMYFUNCTION("""COMPUTED_VALUE"""),750.18)</f>
        <v>750.18</v>
      </c>
      <c r="E252" s="141">
        <f ca="1">IFERROR(__xludf.DUMMYFUNCTION("""COMPUTED_VALUE"""),743.13)</f>
        <v>743.13</v>
      </c>
      <c r="F252" s="141">
        <f ca="1">IFERROR(__xludf.DUMMYFUNCTION("""COMPUTED_VALUE"""),744.39)</f>
        <v>744.39</v>
      </c>
      <c r="G252" s="143">
        <f ca="1">IFERROR(__xludf.DUMMYFUNCTION("""COMPUTED_VALUE"""),46628075)</f>
        <v>46628075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IFERROR(__xludf.DUMMYFUNCTION("""COMPUTED_VALUE"""),733.81)</f>
        <v>733.81</v>
      </c>
      <c r="D253" s="141">
        <f ca="1">IFERROR(__xludf.DUMMYFUNCTION("""COMPUTED_VALUE"""),739.63)</f>
        <v>739.63</v>
      </c>
      <c r="E253" s="141">
        <f ca="1">IFERROR(__xludf.DUMMYFUNCTION("""COMPUTED_VALUE"""),732.3)</f>
        <v>732.3</v>
      </c>
      <c r="F253" s="141">
        <f ca="1">IFERROR(__xludf.DUMMYFUNCTION("""COMPUTED_VALUE"""),733.58)</f>
        <v>733.58</v>
      </c>
      <c r="G253" s="143">
        <f ca="1">IFERROR(__xludf.DUMMYFUNCTION("""COMPUTED_VALUE"""),66846780)</f>
        <v>66846780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IFERROR(__xludf.DUMMYFUNCTION("""COMPUTED_VALUE"""),735.17)</f>
        <v>735.17</v>
      </c>
      <c r="D254" s="141">
        <f ca="1">IFERROR(__xludf.DUMMYFUNCTION("""COMPUTED_VALUE"""),739.95)</f>
        <v>739.95</v>
      </c>
      <c r="E254" s="141">
        <f ca="1">IFERROR(__xludf.DUMMYFUNCTION("""COMPUTED_VALUE"""),730.84)</f>
        <v>730.84</v>
      </c>
      <c r="F254" s="141">
        <f ca="1">IFERROR(__xludf.DUMMYFUNCTION("""COMPUTED_VALUE"""),733.24)</f>
        <v>733.24</v>
      </c>
      <c r="G254" s="143">
        <f ca="1">IFERROR(__xludf.DUMMYFUNCTION("""COMPUTED_VALUE"""),57439508)</f>
        <v>57439508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IFERROR(__xludf.DUMMYFUNCTION("""COMPUTED_VALUE"""),738.91)</f>
        <v>738.91</v>
      </c>
      <c r="D255" s="141">
        <f ca="1">IFERROR(__xludf.DUMMYFUNCTION("""COMPUTED_VALUE"""),739.37)</f>
        <v>739.37</v>
      </c>
      <c r="E255" s="141">
        <f ca="1">IFERROR(__xludf.DUMMYFUNCTION("""COMPUTED_VALUE"""),729.6)</f>
        <v>729.6</v>
      </c>
      <c r="F255" s="141">
        <f ca="1">IFERROR(__xludf.DUMMYFUNCTION("""COMPUTED_VALUE"""),734.3)</f>
        <v>734.3</v>
      </c>
      <c r="G255" s="143">
        <f ca="1">IFERROR(__xludf.DUMMYFUNCTION("""COMPUTED_VALUE"""),54128065)</f>
        <v>54128065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IFERROR(__xludf.DUMMYFUNCTION("""COMPUTED_VALUE"""),728.95)</f>
        <v>728.95</v>
      </c>
      <c r="D256" s="141">
        <f ca="1">IFERROR(__xludf.DUMMYFUNCTION("""COMPUTED_VALUE"""),736.53)</f>
        <v>736.53</v>
      </c>
      <c r="E256" s="141">
        <f ca="1">IFERROR(__xludf.DUMMYFUNCTION("""COMPUTED_VALUE"""),716.58)</f>
        <v>716.58</v>
      </c>
      <c r="F256" s="141">
        <f ca="1">IFERROR(__xludf.DUMMYFUNCTION("""COMPUTED_VALUE"""),728.99)</f>
        <v>728.99</v>
      </c>
      <c r="G256" s="143">
        <f ca="1">IFERROR(__xludf.DUMMYFUNCTION("""COMPUTED_VALUE"""),71033970)</f>
        <v>71033970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IFERROR(__xludf.DUMMYFUNCTION("""COMPUTED_VALUE"""),736.53)</f>
        <v>736.53</v>
      </c>
      <c r="D257" s="141">
        <f ca="1">IFERROR(__xludf.DUMMYFUNCTION("""COMPUTED_VALUE"""),741.56)</f>
        <v>741.56</v>
      </c>
      <c r="E257" s="141">
        <f ca="1">IFERROR(__xludf.DUMMYFUNCTION("""COMPUTED_VALUE"""),732.09)</f>
        <v>732.09</v>
      </c>
      <c r="F257" s="141">
        <f ca="1">IFERROR(__xludf.DUMMYFUNCTION("""COMPUTED_VALUE"""),741)</f>
        <v>741</v>
      </c>
      <c r="G257" s="143">
        <f ca="1">IFERROR(__xludf.DUMMYFUNCTION("""COMPUTED_VALUE"""),58035229)</f>
        <v>58035229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IFERROR(__xludf.DUMMYFUNCTION("""COMPUTED_VALUE"""),741.29)</f>
        <v>741.29</v>
      </c>
      <c r="D258" s="141">
        <f ca="1">IFERROR(__xludf.DUMMYFUNCTION("""COMPUTED_VALUE"""),748.02)</f>
        <v>748.02</v>
      </c>
      <c r="E258" s="141">
        <f ca="1">IFERROR(__xludf.DUMMYFUNCTION("""COMPUTED_VALUE"""),740.89)</f>
        <v>740.89</v>
      </c>
      <c r="F258" s="141">
        <f ca="1">IFERROR(__xludf.DUMMYFUNCTION("""COMPUTED_VALUE"""),746.77)</f>
        <v>746.77</v>
      </c>
      <c r="G258" s="143">
        <f ca="1">IFERROR(__xludf.DUMMYFUNCTION("""COMPUTED_VALUE"""),55626035)</f>
        <v>55626035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IFERROR(__xludf.DUMMYFUNCTION("""COMPUTED_VALUE"""),745)</f>
        <v>745</v>
      </c>
      <c r="D259" s="141">
        <f ca="1">IFERROR(__xludf.DUMMYFUNCTION("""COMPUTED_VALUE"""),749.44)</f>
        <v>749.44</v>
      </c>
      <c r="E259" s="141">
        <f ca="1">IFERROR(__xludf.DUMMYFUNCTION("""COMPUTED_VALUE"""),742.38)</f>
        <v>742.38</v>
      </c>
      <c r="F259" s="141">
        <f ca="1">IFERROR(__xludf.DUMMYFUNCTION("""COMPUTED_VALUE"""),745.76)</f>
        <v>745.76</v>
      </c>
      <c r="G259" s="143">
        <f ca="1">IFERROR(__xludf.DUMMYFUNCTION("""COMPUTED_VALUE"""),47100879)</f>
        <v>47100879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IFERROR(__xludf.DUMMYFUNCTION("""COMPUTED_VALUE"""),747.4)</f>
        <v>747.4</v>
      </c>
      <c r="D260" s="141">
        <f ca="1">IFERROR(__xludf.DUMMYFUNCTION("""COMPUTED_VALUE"""),751.31)</f>
        <v>751.31</v>
      </c>
      <c r="E260" s="141">
        <f ca="1">IFERROR(__xludf.DUMMYFUNCTION("""COMPUTED_VALUE"""),740.03)</f>
        <v>740.03</v>
      </c>
      <c r="F260" s="141">
        <f ca="1">IFERROR(__xludf.DUMMYFUNCTION("""COMPUTED_VALUE"""),744.78)</f>
        <v>744.78</v>
      </c>
      <c r="G260" s="143">
        <f ca="1">IFERROR(__xludf.DUMMYFUNCTION("""COMPUTED_VALUE"""),57505954)</f>
        <v>57505954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IFERROR(__xludf.DUMMYFUNCTION("""COMPUTED_VALUE"""),748.74)</f>
        <v>748.74</v>
      </c>
      <c r="D261" s="141">
        <f ca="1">IFERROR(__xludf.DUMMYFUNCTION("""COMPUTED_VALUE"""),752.41)</f>
        <v>752.41</v>
      </c>
      <c r="E261" s="141">
        <f ca="1">IFERROR(__xludf.DUMMYFUNCTION("""COMPUTED_VALUE"""),747.41)</f>
        <v>747.41</v>
      </c>
      <c r="F261" s="141">
        <f ca="1">IFERROR(__xludf.DUMMYFUNCTION("""COMPUTED_VALUE"""),751.28)</f>
        <v>751.28</v>
      </c>
      <c r="G261" s="143">
        <f ca="1">IFERROR(__xludf.DUMMYFUNCTION("""COMPUTED_VALUE"""),50673311)</f>
        <v>50673311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IFERROR(__xludf.DUMMYFUNCTION("""COMPUTED_VALUE"""),750.22)</f>
        <v>750.22</v>
      </c>
      <c r="D262" s="141">
        <f ca="1">IFERROR(__xludf.DUMMYFUNCTION("""COMPUTED_VALUE"""),750.96)</f>
        <v>750.96</v>
      </c>
      <c r="E262" s="141">
        <f ca="1">IFERROR(__xludf.DUMMYFUNCTION("""COMPUTED_VALUE"""),745.21)</f>
        <v>745.21</v>
      </c>
      <c r="F262" s="141">
        <f ca="1">IFERROR(__xludf.DUMMYFUNCTION("""COMPUTED_VALUE"""),747.71)</f>
        <v>747.71</v>
      </c>
      <c r="G262" s="143">
        <f ca="1">IFERROR(__xludf.DUMMYFUNCTION("""COMPUTED_VALUE"""),43721494)</f>
        <v>43721494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IFERROR(__xludf.DUMMYFUNCTION("""COMPUTED_VALUE"""),743.16)</f>
        <v>743.16</v>
      </c>
      <c r="D263" s="141">
        <f ca="1">IFERROR(__xludf.DUMMYFUNCTION("""COMPUTED_VALUE"""),746.15)</f>
        <v>746.15</v>
      </c>
      <c r="E263" s="141">
        <f ca="1">IFERROR(__xludf.DUMMYFUNCTION("""COMPUTED_VALUE"""),739.51)</f>
        <v>739.51</v>
      </c>
      <c r="F263" s="141">
        <f ca="1">IFERROR(__xludf.DUMMYFUNCTION("""COMPUTED_VALUE"""),745.4)</f>
        <v>745.4</v>
      </c>
      <c r="G263" s="143">
        <f ca="1">IFERROR(__xludf.DUMMYFUNCTION("""COMPUTED_VALUE"""),43767393)</f>
        <v>43767393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IFERROR(__xludf.DUMMYFUNCTION("""COMPUTED_VALUE"""),747.35)</f>
        <v>747.35</v>
      </c>
      <c r="D264" s="141">
        <f ca="1">IFERROR(__xludf.DUMMYFUNCTION("""COMPUTED_VALUE"""),751.97)</f>
        <v>751.97</v>
      </c>
      <c r="E264" s="141">
        <f ca="1">IFERROR(__xludf.DUMMYFUNCTION("""COMPUTED_VALUE"""),745.59)</f>
        <v>745.59</v>
      </c>
      <c r="F264" s="141">
        <f ca="1">IFERROR(__xludf.DUMMYFUNCTION("""COMPUTED_VALUE"""),751.71)</f>
        <v>751.71</v>
      </c>
      <c r="G264" s="143">
        <f ca="1">IFERROR(__xludf.DUMMYFUNCTION("""COMPUTED_VALUE"""),41441718)</f>
        <v>41441718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IFERROR(__xludf.DUMMYFUNCTION("""COMPUTED_VALUE"""),752.05)</f>
        <v>752.05</v>
      </c>
      <c r="D265" s="141">
        <f ca="1">IFERROR(__xludf.DUMMYFUNCTION("""COMPUTED_VALUE"""),755.42)</f>
        <v>755.42</v>
      </c>
      <c r="E265" s="141">
        <f ca="1">IFERROR(__xludf.DUMMYFUNCTION("""COMPUTED_VALUE"""),748.1)</f>
        <v>748.1</v>
      </c>
      <c r="F265" s="141">
        <f ca="1">IFERROR(__xludf.DUMMYFUNCTION("""COMPUTED_VALUE"""),754.95)</f>
        <v>754.95</v>
      </c>
      <c r="G265" s="143">
        <f ca="1">IFERROR(__xludf.DUMMYFUNCTION("""COMPUTED_VALUE"""),42191313)</f>
        <v>42191313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IFERROR(__xludf.DUMMYFUNCTION("""COMPUTED_VALUE"""),752.47)</f>
        <v>752.47</v>
      </c>
      <c r="D266" s="141">
        <f ca="1">IFERROR(__xludf.DUMMYFUNCTION("""COMPUTED_VALUE"""),753.91)</f>
        <v>753.91</v>
      </c>
      <c r="E266" s="141">
        <f ca="1">IFERROR(__xludf.DUMMYFUNCTION("""COMPUTED_VALUE"""),748)</f>
        <v>748</v>
      </c>
      <c r="F266" s="141">
        <f ca="1">IFERROR(__xludf.DUMMYFUNCTION("""COMPUTED_VALUE"""),749.17)</f>
        <v>749.17</v>
      </c>
      <c r="G266" s="143">
        <f ca="1">IFERROR(__xludf.DUMMYFUNCTION("""COMPUTED_VALUE"""),44013628)</f>
        <v>44013628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IFERROR(__xludf.DUMMYFUNCTION("""COMPUTED_VALUE"""),750.91)</f>
        <v>750.91</v>
      </c>
      <c r="D267" s="141">
        <f ca="1">IFERROR(__xludf.DUMMYFUNCTION("""COMPUTED_VALUE"""),753.34)</f>
        <v>753.34</v>
      </c>
      <c r="E267" s="141">
        <f ca="1">IFERROR(__xludf.DUMMYFUNCTION("""COMPUTED_VALUE"""),748.66)</f>
        <v>748.66</v>
      </c>
      <c r="F267" s="141">
        <f ca="1">IFERROR(__xludf.DUMMYFUNCTION("""COMPUTED_VALUE"""),751.83)</f>
        <v>751.83</v>
      </c>
      <c r="G267" s="143">
        <f ca="1">IFERROR(__xludf.DUMMYFUNCTION("""COMPUTED_VALUE"""),35143139)</f>
        <v>35143139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IFERROR(__xludf.DUMMYFUNCTION("""COMPUTED_VALUE"""),754.24)</f>
        <v>754.24</v>
      </c>
      <c r="D268" s="141">
        <f ca="1">IFERROR(__xludf.DUMMYFUNCTION("""COMPUTED_VALUE"""),755.58)</f>
        <v>755.58</v>
      </c>
      <c r="E268" s="141">
        <f ca="1">IFERROR(__xludf.DUMMYFUNCTION("""COMPUTED_VALUE"""),750.2)</f>
        <v>750.2</v>
      </c>
      <c r="F268" s="141">
        <f ca="1">IFERROR(__xludf.DUMMYFUNCTION("""COMPUTED_VALUE"""),754.81)</f>
        <v>754.81</v>
      </c>
      <c r="G268" s="143">
        <f ca="1">IFERROR(__xludf.DUMMYFUNCTION("""COMPUTED_VALUE"""),43844769)</f>
        <v>43844769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IFERROR(__xludf.DUMMYFUNCTION("""COMPUTED_VALUE"""),752.76)</f>
        <v>752.76</v>
      </c>
      <c r="D269" s="141">
        <f ca="1">IFERROR(__xludf.DUMMYFUNCTION("""COMPUTED_VALUE"""),754.57)</f>
        <v>754.57</v>
      </c>
      <c r="E269" s="141">
        <f ca="1">IFERROR(__xludf.DUMMYFUNCTION("""COMPUTED_VALUE"""),747.88)</f>
        <v>747.88</v>
      </c>
      <c r="F269" s="141">
        <f ca="1">IFERROR(__xludf.DUMMYFUNCTION("""COMPUTED_VALUE"""),750.72)</f>
        <v>750.72</v>
      </c>
      <c r="G269" s="143">
        <f ca="1">IFERROR(__xludf.DUMMYFUNCTION("""COMPUTED_VALUE"""),46409814)</f>
        <v>46409814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IFERROR(__xludf.DUMMYFUNCTION("""COMPUTED_VALUE"""),742.08)</f>
        <v>742.08</v>
      </c>
      <c r="D270" s="141">
        <f ca="1">IFERROR(__xludf.DUMMYFUNCTION("""COMPUTED_VALUE"""),747.29)</f>
        <v>747.29</v>
      </c>
      <c r="E270" s="141">
        <f ca="1">IFERROR(__xludf.DUMMYFUNCTION("""COMPUTED_VALUE"""),740.8)</f>
        <v>740.8</v>
      </c>
      <c r="F270" s="141">
        <f ca="1">IFERROR(__xludf.DUMMYFUNCTION("""COMPUTED_VALUE"""),743.29)</f>
        <v>743.29</v>
      </c>
      <c r="G270" s="143">
        <f ca="1">IFERROR(__xludf.DUMMYFUNCTION("""COMPUTED_VALUE"""),62650962)</f>
        <v>62650962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IFERROR(__xludf.DUMMYFUNCTION("""COMPUTED_VALUE"""),747.06)</f>
        <v>747.06</v>
      </c>
      <c r="D271" s="141">
        <f ca="1">IFERROR(__xludf.DUMMYFUNCTION("""COMPUTED_VALUE"""),748.73)</f>
        <v>748.73</v>
      </c>
      <c r="E271" s="141">
        <f ca="1">IFERROR(__xludf.DUMMYFUNCTION("""COMPUTED_VALUE"""),741.51)</f>
        <v>741.51</v>
      </c>
      <c r="F271" s="141">
        <f ca="1">IFERROR(__xludf.DUMMYFUNCTION("""COMPUTED_VALUE"""),742.09)</f>
        <v>742.09</v>
      </c>
      <c r="G271" s="143">
        <f ca="1">IFERROR(__xludf.DUMMYFUNCTION("""COMPUTED_VALUE"""),50422325)</f>
        <v>50422325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IFERROR(__xludf.DUMMYFUNCTION("""COMPUTED_VALUE"""),746.29)</f>
        <v>746.29</v>
      </c>
      <c r="D272" s="141">
        <f ca="1">IFERROR(__xludf.DUMMYFUNCTION("""COMPUTED_VALUE"""),749.04)</f>
        <v>749.04</v>
      </c>
      <c r="E272" s="141">
        <f ca="1">IFERROR(__xludf.DUMMYFUNCTION("""COMPUTED_VALUE"""),744.18)</f>
        <v>744.18</v>
      </c>
      <c r="F272" s="141">
        <f ca="1">IFERROR(__xludf.DUMMYFUNCTION("""COMPUTED_VALUE"""),748.28)</f>
        <v>748.28</v>
      </c>
      <c r="G272" s="143">
        <f ca="1">IFERROR(__xludf.DUMMYFUNCTION("""COMPUTED_VALUE"""),34324262)</f>
        <v>34324262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IFERROR(__xludf.DUMMYFUNCTION("""COMPUTED_VALUE"""),746.62)</f>
        <v>746.62</v>
      </c>
      <c r="D273" s="141">
        <f ca="1">IFERROR(__xludf.DUMMYFUNCTION("""COMPUTED_VALUE"""),750.02)</f>
        <v>750.02</v>
      </c>
      <c r="E273" s="141">
        <f ca="1">IFERROR(__xludf.DUMMYFUNCTION("""COMPUTED_VALUE"""),746.37)</f>
        <v>746.37</v>
      </c>
      <c r="F273" s="141">
        <f ca="1">IFERROR(__xludf.DUMMYFUNCTION("""COMPUTED_VALUE"""),747.41)</f>
        <v>747.41</v>
      </c>
      <c r="G273" s="143">
        <f ca="1">IFERROR(__xludf.DUMMYFUNCTION("""COMPUTED_VALUE"""),32836200)</f>
        <v>32836200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IFERROR(__xludf.DUMMYFUNCTION("""COMPUTED_VALUE"""),739.37)</f>
        <v>739.37</v>
      </c>
      <c r="D274" s="141">
        <f ca="1">IFERROR(__xludf.DUMMYFUNCTION("""COMPUTED_VALUE"""),742.56)</f>
        <v>742.56</v>
      </c>
      <c r="E274" s="141">
        <f ca="1">IFERROR(__xludf.DUMMYFUNCTION("""COMPUTED_VALUE"""),735.21)</f>
        <v>735.21</v>
      </c>
      <c r="F274" s="141">
        <f ca="1">IFERROR(__xludf.DUMMYFUNCTION("""COMPUTED_VALUE"""),738.18)</f>
        <v>738.18</v>
      </c>
      <c r="G274" s="143">
        <f ca="1">IFERROR(__xludf.DUMMYFUNCTION("""COMPUTED_VALUE"""),55437332)</f>
        <v>55437332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IFERROR(__xludf.DUMMYFUNCTION("""COMPUTED_VALUE"""),738.51)</f>
        <v>738.51</v>
      </c>
      <c r="D275" s="141">
        <f ca="1">IFERROR(__xludf.DUMMYFUNCTION("""COMPUTED_VALUE"""),743.72)</f>
        <v>743.72</v>
      </c>
      <c r="E275" s="141">
        <f ca="1">IFERROR(__xludf.DUMMYFUNCTION("""COMPUTED_VALUE"""),737.29)</f>
        <v>737.29</v>
      </c>
      <c r="F275" s="141">
        <f ca="1">IFERROR(__xludf.DUMMYFUNCTION("""COMPUTED_VALUE"""),738.93)</f>
        <v>738.93</v>
      </c>
      <c r="G275" s="143">
        <f ca="1">IFERROR(__xludf.DUMMYFUNCTION("""COMPUTED_VALUE"""),44781984)</f>
        <v>44781984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IFERROR(__xludf.DUMMYFUNCTION("""COMPUTED_VALUE"""),744.91)</f>
        <v>744.91</v>
      </c>
      <c r="D276" s="141">
        <f ca="1">IFERROR(__xludf.DUMMYFUNCTION("""COMPUTED_VALUE"""),745.53)</f>
        <v>745.53</v>
      </c>
      <c r="E276" s="141">
        <f ca="1">IFERROR(__xludf.DUMMYFUNCTION("""COMPUTED_VALUE"""),735.87)</f>
        <v>735.87</v>
      </c>
      <c r="F276" s="141">
        <f ca="1">IFERROR(__xludf.DUMMYFUNCTION("""COMPUTED_VALUE"""),739.09)</f>
        <v>739.09</v>
      </c>
      <c r="G276" s="143">
        <f ca="1">IFERROR(__xludf.DUMMYFUNCTION("""COMPUTED_VALUE"""),41461194)</f>
        <v>41461194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IFERROR(__xludf.DUMMYFUNCTION("""COMPUTED_VALUE"""),739.19)</f>
        <v>739.19</v>
      </c>
      <c r="D277" s="141">
        <f ca="1">IFERROR(__xludf.DUMMYFUNCTION("""COMPUTED_VALUE"""),742.79)</f>
        <v>742.79</v>
      </c>
      <c r="E277" s="141">
        <f ca="1">IFERROR(__xludf.DUMMYFUNCTION("""COMPUTED_VALUE"""),735.98)</f>
        <v>735.98</v>
      </c>
      <c r="F277" s="141">
        <f ca="1">IFERROR(__xludf.DUMMYFUNCTION("""COMPUTED_VALUE"""),740.86)</f>
        <v>740.86</v>
      </c>
      <c r="G277" s="143">
        <f ca="1">IFERROR(__xludf.DUMMYFUNCTION("""COMPUTED_VALUE"""),47322248)</f>
        <v>47322248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IFERROR(__xludf.DUMMYFUNCTION("""COMPUTED_VALUE"""),739.97)</f>
        <v>739.97</v>
      </c>
      <c r="D278" s="141">
        <f ca="1">IFERROR(__xludf.DUMMYFUNCTION("""COMPUTED_VALUE"""),742.68)</f>
        <v>742.68</v>
      </c>
      <c r="E278" s="141">
        <f ca="1">IFERROR(__xludf.DUMMYFUNCTION("""COMPUTED_VALUE"""),729.1)</f>
        <v>729.1</v>
      </c>
      <c r="F278" s="141">
        <f ca="1">IFERROR(__xludf.DUMMYFUNCTION("""COMPUTED_VALUE"""),729.46)</f>
        <v>729.46</v>
      </c>
      <c r="G278" s="143">
        <f ca="1">IFERROR(__xludf.DUMMYFUNCTION("""COMPUTED_VALUE"""),66933084)</f>
        <v>66933084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37" priority="5" operator="lessThan">
      <formula>0</formula>
    </cfRule>
    <cfRule type="cellIs" dxfId="136" priority="6" operator="greaterThan">
      <formula>0</formula>
    </cfRule>
  </conditionalFormatting>
  <conditionalFormatting sqref="F28:F1000">
    <cfRule type="expression" dxfId="135" priority="1">
      <formula>AND(F28=MAX(F$28:F$1000),F28&gt;0)</formula>
    </cfRule>
    <cfRule type="expression" dxfId="134" priority="2">
      <formula>AND(F28=MIN(F$28:F$1000),F28&gt;0)</formula>
    </cfRule>
  </conditionalFormatting>
  <conditionalFormatting sqref="F29:F1000">
    <cfRule type="expression" dxfId="133" priority="3">
      <formula>F29&gt;F27</formula>
    </cfRule>
    <cfRule type="expression" dxfId="132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300-000000000000}">
      <formula1>"1 Month,3 Months,6 Months,12 Months,36 Months"</formula1>
    </dataValidation>
  </dataValidations>
  <hyperlinks>
    <hyperlink ref="G2" r:id="rId1" xr:uid="{00000000-0004-0000-03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135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IFERROR(__xludf.DUMMYFUNCTION("GOOGLEFINANCE(B18,""name"")"),"Vanguard Real Estate Index Fund ETF")</f>
        <v>Vanguard Real Estate Index Fund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IFERROR(__xludf.DUMMYFUNCTION("GOOGLEFINANCE(B18,""price"")"),100.66)</f>
        <v>100.66</v>
      </c>
      <c r="C10" s="322"/>
      <c r="D10" s="100">
        <f ca="1">IFERROR(__xludf.DUMMYFUNCTION("IFERROR(GOOGLEFINANCE(B18,""change""),""-"")"),-0.29)</f>
        <v>-0.28999999999999998</v>
      </c>
      <c r="E10" s="103">
        <f ca="1">IFERROR(__xludf.DUMMYFUNCTION("IFERROR(GOOGLEFINANCE(B18,""changepct"")/100,""-"")"),-0.0029)</f>
        <v>-2.8999999999999998E-3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 t="str">
        <f ca="1">IFERROR(__xludf.DUMMYFUNCTION("IFERROR(GOOGLEFINANCE(B18,""marketcap""),""-"")"),"-")</f>
        <v>-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vnq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IFERROR(__xludf.DUMMYFUNCTION("""COMPUTED_VALUE"""),91.67)</f>
        <v>91.67</v>
      </c>
      <c r="D28" s="141">
        <f ca="1">IFERROR(__xludf.DUMMYFUNCTION("""COMPUTED_VALUE"""),91.83)</f>
        <v>91.83</v>
      </c>
      <c r="E28" s="141">
        <f ca="1">IFERROR(__xludf.DUMMYFUNCTION("""COMPUTED_VALUE"""),89.83)</f>
        <v>89.83</v>
      </c>
      <c r="F28" s="141">
        <f ca="1">IFERROR(__xludf.DUMMYFUNCTION("""COMPUTED_VALUE"""),90.41)</f>
        <v>90.41</v>
      </c>
      <c r="G28" s="143">
        <f ca="1">IFERROR(__xludf.DUMMYFUNCTION("""COMPUTED_VALUE"""),4408198)</f>
        <v>4408198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IFERROR(__xludf.DUMMYFUNCTION("""COMPUTED_VALUE"""),89.9)</f>
        <v>89.9</v>
      </c>
      <c r="D29" s="141">
        <f ca="1">IFERROR(__xludf.DUMMYFUNCTION("""COMPUTED_VALUE"""),90.36)</f>
        <v>90.36</v>
      </c>
      <c r="E29" s="141">
        <f ca="1">IFERROR(__xludf.DUMMYFUNCTION("""COMPUTED_VALUE"""),89.02)</f>
        <v>89.02</v>
      </c>
      <c r="F29" s="141">
        <f ca="1">IFERROR(__xludf.DUMMYFUNCTION("""COMPUTED_VALUE"""),89.14)</f>
        <v>89.14</v>
      </c>
      <c r="G29" s="143">
        <f ca="1">IFERROR(__xludf.DUMMYFUNCTION("""COMPUTED_VALUE"""),4823608)</f>
        <v>4823608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IFERROR(__xludf.DUMMYFUNCTION("""COMPUTED_VALUE"""),90.03)</f>
        <v>90.03</v>
      </c>
      <c r="D30" s="141">
        <f ca="1">IFERROR(__xludf.DUMMYFUNCTION("""COMPUTED_VALUE"""),90.1)</f>
        <v>90.1</v>
      </c>
      <c r="E30" s="141">
        <f ca="1">IFERROR(__xludf.DUMMYFUNCTION("""COMPUTED_VALUE"""),88.29)</f>
        <v>88.29</v>
      </c>
      <c r="F30" s="141">
        <f ca="1">IFERROR(__xludf.DUMMYFUNCTION("""COMPUTED_VALUE"""),88.92)</f>
        <v>88.92</v>
      </c>
      <c r="G30" s="143">
        <f ca="1">IFERROR(__xludf.DUMMYFUNCTION("""COMPUTED_VALUE"""),5395749)</f>
        <v>5395749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IFERROR(__xludf.DUMMYFUNCTION("""COMPUTED_VALUE"""),89.11)</f>
        <v>89.11</v>
      </c>
      <c r="D31" s="141">
        <f ca="1">IFERROR(__xludf.DUMMYFUNCTION("""COMPUTED_VALUE"""),90.06)</f>
        <v>90.06</v>
      </c>
      <c r="E31" s="141">
        <f ca="1">IFERROR(__xludf.DUMMYFUNCTION("""COMPUTED_VALUE"""),89.08)</f>
        <v>89.08</v>
      </c>
      <c r="F31" s="141">
        <f ca="1">IFERROR(__xludf.DUMMYFUNCTION("""COMPUTED_VALUE"""),89.83)</f>
        <v>89.83</v>
      </c>
      <c r="G31" s="143">
        <f ca="1">IFERROR(__xludf.DUMMYFUNCTION("""COMPUTED_VALUE"""),3385713)</f>
        <v>3385713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IFERROR(__xludf.DUMMYFUNCTION("""COMPUTED_VALUE"""),89.9)</f>
        <v>89.9</v>
      </c>
      <c r="D32" s="141">
        <f ca="1">IFERROR(__xludf.DUMMYFUNCTION("""COMPUTED_VALUE"""),90.34)</f>
        <v>90.34</v>
      </c>
      <c r="E32" s="141">
        <f ca="1">IFERROR(__xludf.DUMMYFUNCTION("""COMPUTED_VALUE"""),89.51)</f>
        <v>89.51</v>
      </c>
      <c r="F32" s="141">
        <f ca="1">IFERROR(__xludf.DUMMYFUNCTION("""COMPUTED_VALUE"""),90.24)</f>
        <v>90.24</v>
      </c>
      <c r="G32" s="143">
        <f ca="1">IFERROR(__xludf.DUMMYFUNCTION("""COMPUTED_VALUE"""),3752663)</f>
        <v>3752663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IFERROR(__xludf.DUMMYFUNCTION("""COMPUTED_VALUE"""),90.3)</f>
        <v>90.3</v>
      </c>
      <c r="D33" s="141">
        <f ca="1">IFERROR(__xludf.DUMMYFUNCTION("""COMPUTED_VALUE"""),90.39)</f>
        <v>90.39</v>
      </c>
      <c r="E33" s="141">
        <f ca="1">IFERROR(__xludf.DUMMYFUNCTION("""COMPUTED_VALUE"""),89.5)</f>
        <v>89.5</v>
      </c>
      <c r="F33" s="141">
        <f ca="1">IFERROR(__xludf.DUMMYFUNCTION("""COMPUTED_VALUE"""),89.54)</f>
        <v>89.54</v>
      </c>
      <c r="G33" s="143">
        <f ca="1">IFERROR(__xludf.DUMMYFUNCTION("""COMPUTED_VALUE"""),3604809)</f>
        <v>3604809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IFERROR(__xludf.DUMMYFUNCTION("""COMPUTED_VALUE"""),90)</f>
        <v>90</v>
      </c>
      <c r="D34" s="141">
        <f ca="1">IFERROR(__xludf.DUMMYFUNCTION("""COMPUTED_VALUE"""),90)</f>
        <v>90</v>
      </c>
      <c r="E34" s="141">
        <f ca="1">IFERROR(__xludf.DUMMYFUNCTION("""COMPUTED_VALUE"""),89.24)</f>
        <v>89.24</v>
      </c>
      <c r="F34" s="141">
        <f ca="1">IFERROR(__xludf.DUMMYFUNCTION("""COMPUTED_VALUE"""),89.8)</f>
        <v>89.8</v>
      </c>
      <c r="G34" s="143">
        <f ca="1">IFERROR(__xludf.DUMMYFUNCTION("""COMPUTED_VALUE"""),3345583)</f>
        <v>3345583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IFERROR(__xludf.DUMMYFUNCTION("""COMPUTED_VALUE"""),89.94)</f>
        <v>89.94</v>
      </c>
      <c r="D35" s="141">
        <f ca="1">IFERROR(__xludf.DUMMYFUNCTION("""COMPUTED_VALUE"""),89.99)</f>
        <v>89.99</v>
      </c>
      <c r="E35" s="141">
        <f ca="1">IFERROR(__xludf.DUMMYFUNCTION("""COMPUTED_VALUE"""),88.86)</f>
        <v>88.86</v>
      </c>
      <c r="F35" s="141">
        <f ca="1">IFERROR(__xludf.DUMMYFUNCTION("""COMPUTED_VALUE"""),89.06)</f>
        <v>89.06</v>
      </c>
      <c r="G35" s="143">
        <f ca="1">IFERROR(__xludf.DUMMYFUNCTION("""COMPUTED_VALUE"""),3228809)</f>
        <v>3228809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IFERROR(__xludf.DUMMYFUNCTION("""COMPUTED_VALUE"""),88.71)</f>
        <v>88.71</v>
      </c>
      <c r="D36" s="141">
        <f ca="1">IFERROR(__xludf.DUMMYFUNCTION("""COMPUTED_VALUE"""),89.15)</f>
        <v>89.15</v>
      </c>
      <c r="E36" s="141">
        <f ca="1">IFERROR(__xludf.DUMMYFUNCTION("""COMPUTED_VALUE"""),88.44)</f>
        <v>88.44</v>
      </c>
      <c r="F36" s="141">
        <f ca="1">IFERROR(__xludf.DUMMYFUNCTION("""COMPUTED_VALUE"""),88.47)</f>
        <v>88.47</v>
      </c>
      <c r="G36" s="143">
        <f ca="1">IFERROR(__xludf.DUMMYFUNCTION("""COMPUTED_VALUE"""),2623521)</f>
        <v>2623521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IFERROR(__xludf.DUMMYFUNCTION("""COMPUTED_VALUE"""),88.74)</f>
        <v>88.74</v>
      </c>
      <c r="D37" s="141">
        <f ca="1">IFERROR(__xludf.DUMMYFUNCTION("""COMPUTED_VALUE"""),88.99)</f>
        <v>88.99</v>
      </c>
      <c r="E37" s="141">
        <f ca="1">IFERROR(__xludf.DUMMYFUNCTION("""COMPUTED_VALUE"""),88.08)</f>
        <v>88.08</v>
      </c>
      <c r="F37" s="141">
        <f ca="1">IFERROR(__xludf.DUMMYFUNCTION("""COMPUTED_VALUE"""),88.97)</f>
        <v>88.97</v>
      </c>
      <c r="G37" s="143">
        <f ca="1">IFERROR(__xludf.DUMMYFUNCTION("""COMPUTED_VALUE"""),3240967)</f>
        <v>3240967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IFERROR(__xludf.DUMMYFUNCTION("""COMPUTED_VALUE"""),89.16)</f>
        <v>89.16</v>
      </c>
      <c r="D38" s="141">
        <f ca="1">IFERROR(__xludf.DUMMYFUNCTION("""COMPUTED_VALUE"""),89.94)</f>
        <v>89.94</v>
      </c>
      <c r="E38" s="141">
        <f ca="1">IFERROR(__xludf.DUMMYFUNCTION("""COMPUTED_VALUE"""),88.82)</f>
        <v>88.82</v>
      </c>
      <c r="F38" s="141">
        <f ca="1">IFERROR(__xludf.DUMMYFUNCTION("""COMPUTED_VALUE"""),89.8)</f>
        <v>89.8</v>
      </c>
      <c r="G38" s="143">
        <f ca="1">IFERROR(__xludf.DUMMYFUNCTION("""COMPUTED_VALUE"""),3577271)</f>
        <v>3577271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IFERROR(__xludf.DUMMYFUNCTION("""COMPUTED_VALUE"""),89.23)</f>
        <v>89.23</v>
      </c>
      <c r="D39" s="141">
        <f ca="1">IFERROR(__xludf.DUMMYFUNCTION("""COMPUTED_VALUE"""),89.38)</f>
        <v>89.38</v>
      </c>
      <c r="E39" s="141">
        <f ca="1">IFERROR(__xludf.DUMMYFUNCTION("""COMPUTED_VALUE"""),88.59)</f>
        <v>88.59</v>
      </c>
      <c r="F39" s="141">
        <f ca="1">IFERROR(__xludf.DUMMYFUNCTION("""COMPUTED_VALUE"""),89.16)</f>
        <v>89.16</v>
      </c>
      <c r="G39" s="143">
        <f ca="1">IFERROR(__xludf.DUMMYFUNCTION("""COMPUTED_VALUE"""),3524506)</f>
        <v>3524506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IFERROR(__xludf.DUMMYFUNCTION("""COMPUTED_VALUE"""),89.17)</f>
        <v>89.17</v>
      </c>
      <c r="D40" s="141">
        <f ca="1">IFERROR(__xludf.DUMMYFUNCTION("""COMPUTED_VALUE"""),89.92)</f>
        <v>89.92</v>
      </c>
      <c r="E40" s="141">
        <f ca="1">IFERROR(__xludf.DUMMYFUNCTION("""COMPUTED_VALUE"""),89.09)</f>
        <v>89.09</v>
      </c>
      <c r="F40" s="141">
        <f ca="1">IFERROR(__xludf.DUMMYFUNCTION("""COMPUTED_VALUE"""),89.67)</f>
        <v>89.67</v>
      </c>
      <c r="G40" s="143">
        <f ca="1">IFERROR(__xludf.DUMMYFUNCTION("""COMPUTED_VALUE"""),2399452)</f>
        <v>2399452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IFERROR(__xludf.DUMMYFUNCTION("""COMPUTED_VALUE"""),89.68)</f>
        <v>89.68</v>
      </c>
      <c r="D41" s="141">
        <f ca="1">IFERROR(__xludf.DUMMYFUNCTION("""COMPUTED_VALUE"""),89.82)</f>
        <v>89.82</v>
      </c>
      <c r="E41" s="141">
        <f ca="1">IFERROR(__xludf.DUMMYFUNCTION("""COMPUTED_VALUE"""),88.88)</f>
        <v>88.88</v>
      </c>
      <c r="F41" s="141">
        <f ca="1">IFERROR(__xludf.DUMMYFUNCTION("""COMPUTED_VALUE"""),88.91)</f>
        <v>88.91</v>
      </c>
      <c r="G41" s="143">
        <f ca="1">IFERROR(__xludf.DUMMYFUNCTION("""COMPUTED_VALUE"""),2562582)</f>
        <v>2562582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IFERROR(__xludf.DUMMYFUNCTION("""COMPUTED_VALUE"""),89.38)</f>
        <v>89.38</v>
      </c>
      <c r="D42" s="141">
        <f ca="1">IFERROR(__xludf.DUMMYFUNCTION("""COMPUTED_VALUE"""),90.48)</f>
        <v>90.48</v>
      </c>
      <c r="E42" s="141">
        <f ca="1">IFERROR(__xludf.DUMMYFUNCTION("""COMPUTED_VALUE"""),89.29)</f>
        <v>89.29</v>
      </c>
      <c r="F42" s="141">
        <f ca="1">IFERROR(__xludf.DUMMYFUNCTION("""COMPUTED_VALUE"""),90.44)</f>
        <v>90.44</v>
      </c>
      <c r="G42" s="143">
        <f ca="1">IFERROR(__xludf.DUMMYFUNCTION("""COMPUTED_VALUE"""),4168362)</f>
        <v>4168362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IFERROR(__xludf.DUMMYFUNCTION("""COMPUTED_VALUE"""),90.66)</f>
        <v>90.66</v>
      </c>
      <c r="D43" s="141">
        <f ca="1">IFERROR(__xludf.DUMMYFUNCTION("""COMPUTED_VALUE"""),91.43)</f>
        <v>91.43</v>
      </c>
      <c r="E43" s="141">
        <f ca="1">IFERROR(__xludf.DUMMYFUNCTION("""COMPUTED_VALUE"""),90.44)</f>
        <v>90.44</v>
      </c>
      <c r="F43" s="141">
        <f ca="1">IFERROR(__xludf.DUMMYFUNCTION("""COMPUTED_VALUE"""),90.7)</f>
        <v>90.7</v>
      </c>
      <c r="G43" s="143">
        <f ca="1">IFERROR(__xludf.DUMMYFUNCTION("""COMPUTED_VALUE"""),2931894)</f>
        <v>2931894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IFERROR(__xludf.DUMMYFUNCTION("""COMPUTED_VALUE"""),90.26)</f>
        <v>90.26</v>
      </c>
      <c r="D44" s="141">
        <f ca="1">IFERROR(__xludf.DUMMYFUNCTION("""COMPUTED_VALUE"""),90.76)</f>
        <v>90.76</v>
      </c>
      <c r="E44" s="141">
        <f ca="1">IFERROR(__xludf.DUMMYFUNCTION("""COMPUTED_VALUE"""),90.06)</f>
        <v>90.06</v>
      </c>
      <c r="F44" s="141">
        <f ca="1">IFERROR(__xludf.DUMMYFUNCTION("""COMPUTED_VALUE"""),90.43)</f>
        <v>90.43</v>
      </c>
      <c r="G44" s="143">
        <f ca="1">IFERROR(__xludf.DUMMYFUNCTION("""COMPUTED_VALUE"""),2630017)</f>
        <v>2630017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IFERROR(__xludf.DUMMYFUNCTION("""COMPUTED_VALUE"""),91.06)</f>
        <v>91.06</v>
      </c>
      <c r="D45" s="141">
        <f ca="1">IFERROR(__xludf.DUMMYFUNCTION("""COMPUTED_VALUE"""),92.62)</f>
        <v>92.62</v>
      </c>
      <c r="E45" s="141">
        <f ca="1">IFERROR(__xludf.DUMMYFUNCTION("""COMPUTED_VALUE"""),90.9)</f>
        <v>90.9</v>
      </c>
      <c r="F45" s="141">
        <f ca="1">IFERROR(__xludf.DUMMYFUNCTION("""COMPUTED_VALUE"""),92.18)</f>
        <v>92.18</v>
      </c>
      <c r="G45" s="143">
        <f ca="1">IFERROR(__xludf.DUMMYFUNCTION("""COMPUTED_VALUE"""),3318891)</f>
        <v>3318891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IFERROR(__xludf.DUMMYFUNCTION("""COMPUTED_VALUE"""),92.01)</f>
        <v>92.01</v>
      </c>
      <c r="D46" s="141">
        <f ca="1">IFERROR(__xludf.DUMMYFUNCTION("""COMPUTED_VALUE"""),92.34)</f>
        <v>92.34</v>
      </c>
      <c r="E46" s="141">
        <f ca="1">IFERROR(__xludf.DUMMYFUNCTION("""COMPUTED_VALUE"""),91.59)</f>
        <v>91.59</v>
      </c>
      <c r="F46" s="141">
        <f ca="1">IFERROR(__xludf.DUMMYFUNCTION("""COMPUTED_VALUE"""),91.65)</f>
        <v>91.65</v>
      </c>
      <c r="G46" s="143">
        <f ca="1">IFERROR(__xludf.DUMMYFUNCTION("""COMPUTED_VALUE"""),2968817)</f>
        <v>2968817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IFERROR(__xludf.DUMMYFUNCTION("""COMPUTED_VALUE"""),91.62)</f>
        <v>91.62</v>
      </c>
      <c r="D47" s="141">
        <f ca="1">IFERROR(__xludf.DUMMYFUNCTION("""COMPUTED_VALUE"""),91.91)</f>
        <v>91.91</v>
      </c>
      <c r="E47" s="141">
        <f ca="1">IFERROR(__xludf.DUMMYFUNCTION("""COMPUTED_VALUE"""),91.23)</f>
        <v>91.23</v>
      </c>
      <c r="F47" s="141">
        <f ca="1">IFERROR(__xludf.DUMMYFUNCTION("""COMPUTED_VALUE"""),91.41)</f>
        <v>91.41</v>
      </c>
      <c r="G47" s="143">
        <f ca="1">IFERROR(__xludf.DUMMYFUNCTION("""COMPUTED_VALUE"""),2739801)</f>
        <v>2739801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IFERROR(__xludf.DUMMYFUNCTION("""COMPUTED_VALUE"""),91.65)</f>
        <v>91.65</v>
      </c>
      <c r="D48" s="141">
        <f ca="1">IFERROR(__xludf.DUMMYFUNCTION("""COMPUTED_VALUE"""),92.23)</f>
        <v>92.23</v>
      </c>
      <c r="E48" s="141">
        <f ca="1">IFERROR(__xludf.DUMMYFUNCTION("""COMPUTED_VALUE"""),91.58)</f>
        <v>91.58</v>
      </c>
      <c r="F48" s="141">
        <f ca="1">IFERROR(__xludf.DUMMYFUNCTION("""COMPUTED_VALUE"""),91.98)</f>
        <v>91.98</v>
      </c>
      <c r="G48" s="143">
        <f ca="1">IFERROR(__xludf.DUMMYFUNCTION("""COMPUTED_VALUE"""),1885825)</f>
        <v>1885825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IFERROR(__xludf.DUMMYFUNCTION("""COMPUTED_VALUE"""),92.01)</f>
        <v>92.01</v>
      </c>
      <c r="D49" s="141">
        <f ca="1">IFERROR(__xludf.DUMMYFUNCTION("""COMPUTED_VALUE"""),92.05)</f>
        <v>92.05</v>
      </c>
      <c r="E49" s="141">
        <f ca="1">IFERROR(__xludf.DUMMYFUNCTION("""COMPUTED_VALUE"""),91.2)</f>
        <v>91.2</v>
      </c>
      <c r="F49" s="141">
        <f ca="1">IFERROR(__xludf.DUMMYFUNCTION("""COMPUTED_VALUE"""),91.74)</f>
        <v>91.74</v>
      </c>
      <c r="G49" s="143">
        <f ca="1">IFERROR(__xludf.DUMMYFUNCTION("""COMPUTED_VALUE"""),2525346)</f>
        <v>2525346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IFERROR(__xludf.DUMMYFUNCTION("""COMPUTED_VALUE"""),91.86)</f>
        <v>91.86</v>
      </c>
      <c r="D50" s="141">
        <f ca="1">IFERROR(__xludf.DUMMYFUNCTION("""COMPUTED_VALUE"""),92.27)</f>
        <v>92.27</v>
      </c>
      <c r="E50" s="141">
        <f ca="1">IFERROR(__xludf.DUMMYFUNCTION("""COMPUTED_VALUE"""),91.78)</f>
        <v>91.78</v>
      </c>
      <c r="F50" s="141">
        <f ca="1">IFERROR(__xludf.DUMMYFUNCTION("""COMPUTED_VALUE"""),92.24)</f>
        <v>92.24</v>
      </c>
      <c r="G50" s="143">
        <f ca="1">IFERROR(__xludf.DUMMYFUNCTION("""COMPUTED_VALUE"""),2137392)</f>
        <v>2137392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IFERROR(__xludf.DUMMYFUNCTION("""COMPUTED_VALUE"""),91.25)</f>
        <v>91.25</v>
      </c>
      <c r="D51" s="141">
        <f ca="1">IFERROR(__xludf.DUMMYFUNCTION("""COMPUTED_VALUE"""),91.51)</f>
        <v>91.51</v>
      </c>
      <c r="E51" s="141">
        <f ca="1">IFERROR(__xludf.DUMMYFUNCTION("""COMPUTED_VALUE"""),90.39)</f>
        <v>90.39</v>
      </c>
      <c r="F51" s="141">
        <f ca="1">IFERROR(__xludf.DUMMYFUNCTION("""COMPUTED_VALUE"""),90.71)</f>
        <v>90.71</v>
      </c>
      <c r="G51" s="143">
        <f ca="1">IFERROR(__xludf.DUMMYFUNCTION("""COMPUTED_VALUE"""),3424415)</f>
        <v>3424415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IFERROR(__xludf.DUMMYFUNCTION("""COMPUTED_VALUE"""),90.54)</f>
        <v>90.54</v>
      </c>
      <c r="D52" s="141">
        <f ca="1">IFERROR(__xludf.DUMMYFUNCTION("""COMPUTED_VALUE"""),90.98)</f>
        <v>90.98</v>
      </c>
      <c r="E52" s="141">
        <f ca="1">IFERROR(__xludf.DUMMYFUNCTION("""COMPUTED_VALUE"""),90.4)</f>
        <v>90.4</v>
      </c>
      <c r="F52" s="141">
        <f ca="1">IFERROR(__xludf.DUMMYFUNCTION("""COMPUTED_VALUE"""),90.76)</f>
        <v>90.76</v>
      </c>
      <c r="G52" s="143">
        <f ca="1">IFERROR(__xludf.DUMMYFUNCTION("""COMPUTED_VALUE"""),2505511)</f>
        <v>2505511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IFERROR(__xludf.DUMMYFUNCTION("""COMPUTED_VALUE"""),91.04)</f>
        <v>91.04</v>
      </c>
      <c r="D53" s="141">
        <f ca="1">IFERROR(__xludf.DUMMYFUNCTION("""COMPUTED_VALUE"""),91.5)</f>
        <v>91.5</v>
      </c>
      <c r="E53" s="141">
        <f ca="1">IFERROR(__xludf.DUMMYFUNCTION("""COMPUTED_VALUE"""),90.57)</f>
        <v>90.57</v>
      </c>
      <c r="F53" s="141">
        <f ca="1">IFERROR(__xludf.DUMMYFUNCTION("""COMPUTED_VALUE"""),91.44)</f>
        <v>91.44</v>
      </c>
      <c r="G53" s="143">
        <f ca="1">IFERROR(__xludf.DUMMYFUNCTION("""COMPUTED_VALUE"""),3689357)</f>
        <v>3689357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IFERROR(__xludf.DUMMYFUNCTION("""COMPUTED_VALUE"""),92.07)</f>
        <v>92.07</v>
      </c>
      <c r="D54" s="141">
        <f ca="1">IFERROR(__xludf.DUMMYFUNCTION("""COMPUTED_VALUE"""),92.92)</f>
        <v>92.92</v>
      </c>
      <c r="E54" s="141">
        <f ca="1">IFERROR(__xludf.DUMMYFUNCTION("""COMPUTED_VALUE"""),91.83)</f>
        <v>91.83</v>
      </c>
      <c r="F54" s="141">
        <f ca="1">IFERROR(__xludf.DUMMYFUNCTION("""COMPUTED_VALUE"""),92.47)</f>
        <v>92.47</v>
      </c>
      <c r="G54" s="143">
        <f ca="1">IFERROR(__xludf.DUMMYFUNCTION("""COMPUTED_VALUE"""),3446103)</f>
        <v>3446103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IFERROR(__xludf.DUMMYFUNCTION("""COMPUTED_VALUE"""),91.54)</f>
        <v>91.54</v>
      </c>
      <c r="D55" s="141">
        <f ca="1">IFERROR(__xludf.DUMMYFUNCTION("""COMPUTED_VALUE"""),91.95)</f>
        <v>91.95</v>
      </c>
      <c r="E55" s="141">
        <f ca="1">IFERROR(__xludf.DUMMYFUNCTION("""COMPUTED_VALUE"""),91.24)</f>
        <v>91.24</v>
      </c>
      <c r="F55" s="141">
        <f ca="1">IFERROR(__xludf.DUMMYFUNCTION("""COMPUTED_VALUE"""),91.93)</f>
        <v>91.93</v>
      </c>
      <c r="G55" s="143">
        <f ca="1">IFERROR(__xludf.DUMMYFUNCTION("""COMPUTED_VALUE"""),2880701)</f>
        <v>2880701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IFERROR(__xludf.DUMMYFUNCTION("""COMPUTED_VALUE"""),91.67)</f>
        <v>91.67</v>
      </c>
      <c r="D56" s="141">
        <f ca="1">IFERROR(__xludf.DUMMYFUNCTION("""COMPUTED_VALUE"""),91.75)</f>
        <v>91.75</v>
      </c>
      <c r="E56" s="141">
        <f ca="1">IFERROR(__xludf.DUMMYFUNCTION("""COMPUTED_VALUE"""),91.33)</f>
        <v>91.33</v>
      </c>
      <c r="F56" s="141">
        <f ca="1">IFERROR(__xludf.DUMMYFUNCTION("""COMPUTED_VALUE"""),91.72)</f>
        <v>91.72</v>
      </c>
      <c r="G56" s="143">
        <f ca="1">IFERROR(__xludf.DUMMYFUNCTION("""COMPUTED_VALUE"""),2533934)</f>
        <v>2533934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IFERROR(__xludf.DUMMYFUNCTION("""COMPUTED_VALUE"""),91.73)</f>
        <v>91.73</v>
      </c>
      <c r="D57" s="141">
        <f ca="1">IFERROR(__xludf.DUMMYFUNCTION("""COMPUTED_VALUE"""),92.26)</f>
        <v>92.26</v>
      </c>
      <c r="E57" s="141">
        <f ca="1">IFERROR(__xludf.DUMMYFUNCTION("""COMPUTED_VALUE"""),91.42)</f>
        <v>91.42</v>
      </c>
      <c r="F57" s="141">
        <f ca="1">IFERROR(__xludf.DUMMYFUNCTION("""COMPUTED_VALUE"""),91.57)</f>
        <v>91.57</v>
      </c>
      <c r="G57" s="143">
        <f ca="1">IFERROR(__xludf.DUMMYFUNCTION("""COMPUTED_VALUE"""),2242917)</f>
        <v>2242917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IFERROR(__xludf.DUMMYFUNCTION("""COMPUTED_VALUE"""),91.83)</f>
        <v>91.83</v>
      </c>
      <c r="D58" s="141">
        <f ca="1">IFERROR(__xludf.DUMMYFUNCTION("""COMPUTED_VALUE"""),93.42)</f>
        <v>93.42</v>
      </c>
      <c r="E58" s="141">
        <f ca="1">IFERROR(__xludf.DUMMYFUNCTION("""COMPUTED_VALUE"""),91.75)</f>
        <v>91.75</v>
      </c>
      <c r="F58" s="141">
        <f ca="1">IFERROR(__xludf.DUMMYFUNCTION("""COMPUTED_VALUE"""),93.24)</f>
        <v>93.24</v>
      </c>
      <c r="G58" s="143">
        <f ca="1">IFERROR(__xludf.DUMMYFUNCTION("""COMPUTED_VALUE"""),2671354)</f>
        <v>2671354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IFERROR(__xludf.DUMMYFUNCTION("""COMPUTED_VALUE"""),93.18)</f>
        <v>93.18</v>
      </c>
      <c r="D59" s="141">
        <f ca="1">IFERROR(__xludf.DUMMYFUNCTION("""COMPUTED_VALUE"""),93.34)</f>
        <v>93.34</v>
      </c>
      <c r="E59" s="141">
        <f ca="1">IFERROR(__xludf.DUMMYFUNCTION("""COMPUTED_VALUE"""),92.71)</f>
        <v>92.71</v>
      </c>
      <c r="F59" s="141">
        <f ca="1">IFERROR(__xludf.DUMMYFUNCTION("""COMPUTED_VALUE"""),92.81)</f>
        <v>92.81</v>
      </c>
      <c r="G59" s="143">
        <f ca="1">IFERROR(__xludf.DUMMYFUNCTION("""COMPUTED_VALUE"""),2165627)</f>
        <v>2165627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IFERROR(__xludf.DUMMYFUNCTION("""COMPUTED_VALUE"""),93.11)</f>
        <v>93.11</v>
      </c>
      <c r="D60" s="141">
        <f ca="1">IFERROR(__xludf.DUMMYFUNCTION("""COMPUTED_VALUE"""),93.24)</f>
        <v>93.24</v>
      </c>
      <c r="E60" s="141">
        <f ca="1">IFERROR(__xludf.DUMMYFUNCTION("""COMPUTED_VALUE"""),92.39)</f>
        <v>92.39</v>
      </c>
      <c r="F60" s="141">
        <f ca="1">IFERROR(__xludf.DUMMYFUNCTION("""COMPUTED_VALUE"""),92.66)</f>
        <v>92.66</v>
      </c>
      <c r="G60" s="143">
        <f ca="1">IFERROR(__xludf.DUMMYFUNCTION("""COMPUTED_VALUE"""),2754956)</f>
        <v>2754956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IFERROR(__xludf.DUMMYFUNCTION("""COMPUTED_VALUE"""),92.65)</f>
        <v>92.65</v>
      </c>
      <c r="D61" s="141">
        <f ca="1">IFERROR(__xludf.DUMMYFUNCTION("""COMPUTED_VALUE"""),92.8)</f>
        <v>92.8</v>
      </c>
      <c r="E61" s="141">
        <f ca="1">IFERROR(__xludf.DUMMYFUNCTION("""COMPUTED_VALUE"""),91.91)</f>
        <v>91.91</v>
      </c>
      <c r="F61" s="141">
        <f ca="1">IFERROR(__xludf.DUMMYFUNCTION("""COMPUTED_VALUE"""),92.17)</f>
        <v>92.17</v>
      </c>
      <c r="G61" s="143">
        <f ca="1">IFERROR(__xludf.DUMMYFUNCTION("""COMPUTED_VALUE"""),3260272)</f>
        <v>3260272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IFERROR(__xludf.DUMMYFUNCTION("""COMPUTED_VALUE"""),92.45)</f>
        <v>92.45</v>
      </c>
      <c r="D62" s="141">
        <f ca="1">IFERROR(__xludf.DUMMYFUNCTION("""COMPUTED_VALUE"""),93.58)</f>
        <v>93.58</v>
      </c>
      <c r="E62" s="141">
        <f ca="1">IFERROR(__xludf.DUMMYFUNCTION("""COMPUTED_VALUE"""),91.95)</f>
        <v>91.95</v>
      </c>
      <c r="F62" s="141">
        <f ca="1">IFERROR(__xludf.DUMMYFUNCTION("""COMPUTED_VALUE"""),92.05)</f>
        <v>92.05</v>
      </c>
      <c r="G62" s="143">
        <f ca="1">IFERROR(__xludf.DUMMYFUNCTION("""COMPUTED_VALUE"""),4570956)</f>
        <v>4570956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IFERROR(__xludf.DUMMYFUNCTION("""COMPUTED_VALUE"""),92.16)</f>
        <v>92.16</v>
      </c>
      <c r="D63" s="141">
        <f ca="1">IFERROR(__xludf.DUMMYFUNCTION("""COMPUTED_VALUE"""),92.65)</f>
        <v>92.65</v>
      </c>
      <c r="E63" s="141">
        <f ca="1">IFERROR(__xludf.DUMMYFUNCTION("""COMPUTED_VALUE"""),91.94)</f>
        <v>91.94</v>
      </c>
      <c r="F63" s="141">
        <f ca="1">IFERROR(__xludf.DUMMYFUNCTION("""COMPUTED_VALUE"""),92.25)</f>
        <v>92.25</v>
      </c>
      <c r="G63" s="143">
        <f ca="1">IFERROR(__xludf.DUMMYFUNCTION("""COMPUTED_VALUE"""),2966135)</f>
        <v>2966135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IFERROR(__xludf.DUMMYFUNCTION("""COMPUTED_VALUE"""),92.37)</f>
        <v>92.37</v>
      </c>
      <c r="D64" s="141">
        <f ca="1">IFERROR(__xludf.DUMMYFUNCTION("""COMPUTED_VALUE"""),92.49)</f>
        <v>92.49</v>
      </c>
      <c r="E64" s="141">
        <f ca="1">IFERROR(__xludf.DUMMYFUNCTION("""COMPUTED_VALUE"""),91.65)</f>
        <v>91.65</v>
      </c>
      <c r="F64" s="141">
        <f ca="1">IFERROR(__xludf.DUMMYFUNCTION("""COMPUTED_VALUE"""),91.65)</f>
        <v>91.65</v>
      </c>
      <c r="G64" s="143">
        <f ca="1">IFERROR(__xludf.DUMMYFUNCTION("""COMPUTED_VALUE"""),3076078)</f>
        <v>3076078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IFERROR(__xludf.DUMMYFUNCTION("""COMPUTED_VALUE"""),91.68)</f>
        <v>91.68</v>
      </c>
      <c r="D65" s="141">
        <f ca="1">IFERROR(__xludf.DUMMYFUNCTION("""COMPUTED_VALUE"""),91.87)</f>
        <v>91.87</v>
      </c>
      <c r="E65" s="141">
        <f ca="1">IFERROR(__xludf.DUMMYFUNCTION("""COMPUTED_VALUE"""),91.09)</f>
        <v>91.09</v>
      </c>
      <c r="F65" s="141">
        <f ca="1">IFERROR(__xludf.DUMMYFUNCTION("""COMPUTED_VALUE"""),91.67)</f>
        <v>91.67</v>
      </c>
      <c r="G65" s="143">
        <f ca="1">IFERROR(__xludf.DUMMYFUNCTION("""COMPUTED_VALUE"""),3646167)</f>
        <v>3646167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IFERROR(__xludf.DUMMYFUNCTION("""COMPUTED_VALUE"""),91.79)</f>
        <v>91.79</v>
      </c>
      <c r="D66" s="141">
        <f ca="1">IFERROR(__xludf.DUMMYFUNCTION("""COMPUTED_VALUE"""),92.39)</f>
        <v>92.39</v>
      </c>
      <c r="E66" s="141">
        <f ca="1">IFERROR(__xludf.DUMMYFUNCTION("""COMPUTED_VALUE"""),91.67)</f>
        <v>91.67</v>
      </c>
      <c r="F66" s="141">
        <f ca="1">IFERROR(__xludf.DUMMYFUNCTION("""COMPUTED_VALUE"""),92.17)</f>
        <v>92.17</v>
      </c>
      <c r="G66" s="143">
        <f ca="1">IFERROR(__xludf.DUMMYFUNCTION("""COMPUTED_VALUE"""),3421380)</f>
        <v>3421380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IFERROR(__xludf.DUMMYFUNCTION("""COMPUTED_VALUE"""),91.22)</f>
        <v>91.22</v>
      </c>
      <c r="D67" s="141">
        <f ca="1">IFERROR(__xludf.DUMMYFUNCTION("""COMPUTED_VALUE"""),91.26)</f>
        <v>91.26</v>
      </c>
      <c r="E67" s="141">
        <f ca="1">IFERROR(__xludf.DUMMYFUNCTION("""COMPUTED_VALUE"""),90.39)</f>
        <v>90.39</v>
      </c>
      <c r="F67" s="141">
        <f ca="1">IFERROR(__xludf.DUMMYFUNCTION("""COMPUTED_VALUE"""),90.4)</f>
        <v>90.4</v>
      </c>
      <c r="G67" s="143">
        <f ca="1">IFERROR(__xludf.DUMMYFUNCTION("""COMPUTED_VALUE"""),2709452)</f>
        <v>2709452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IFERROR(__xludf.DUMMYFUNCTION("""COMPUTED_VALUE"""),90.39)</f>
        <v>90.39</v>
      </c>
      <c r="D68" s="141">
        <f ca="1">IFERROR(__xludf.DUMMYFUNCTION("""COMPUTED_VALUE"""),90.75)</f>
        <v>90.75</v>
      </c>
      <c r="E68" s="141">
        <f ca="1">IFERROR(__xludf.DUMMYFUNCTION("""COMPUTED_VALUE"""),90.06)</f>
        <v>90.06</v>
      </c>
      <c r="F68" s="141">
        <f ca="1">IFERROR(__xludf.DUMMYFUNCTION("""COMPUTED_VALUE"""),90.13)</f>
        <v>90.13</v>
      </c>
      <c r="G68" s="143">
        <f ca="1">IFERROR(__xludf.DUMMYFUNCTION("""COMPUTED_VALUE"""),4246453)</f>
        <v>4246453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IFERROR(__xludf.DUMMYFUNCTION("""COMPUTED_VALUE"""),90.5)</f>
        <v>90.5</v>
      </c>
      <c r="D69" s="141">
        <f ca="1">IFERROR(__xludf.DUMMYFUNCTION("""COMPUTED_VALUE"""),91.18)</f>
        <v>91.18</v>
      </c>
      <c r="E69" s="141">
        <f ca="1">IFERROR(__xludf.DUMMYFUNCTION("""COMPUTED_VALUE"""),90.3)</f>
        <v>90.3</v>
      </c>
      <c r="F69" s="141">
        <f ca="1">IFERROR(__xludf.DUMMYFUNCTION("""COMPUTED_VALUE"""),91.02)</f>
        <v>91.02</v>
      </c>
      <c r="G69" s="143">
        <f ca="1">IFERROR(__xludf.DUMMYFUNCTION("""COMPUTED_VALUE"""),5430815)</f>
        <v>5430815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IFERROR(__xludf.DUMMYFUNCTION("""COMPUTED_VALUE"""),91.12)</f>
        <v>91.12</v>
      </c>
      <c r="D70" s="141">
        <f ca="1">IFERROR(__xludf.DUMMYFUNCTION("""COMPUTED_VALUE"""),91.23)</f>
        <v>91.23</v>
      </c>
      <c r="E70" s="141">
        <f ca="1">IFERROR(__xludf.DUMMYFUNCTION("""COMPUTED_VALUE"""),90.65)</f>
        <v>90.65</v>
      </c>
      <c r="F70" s="141">
        <f ca="1">IFERROR(__xludf.DUMMYFUNCTION("""COMPUTED_VALUE"""),91.05)</f>
        <v>91.05</v>
      </c>
      <c r="G70" s="143">
        <f ca="1">IFERROR(__xludf.DUMMYFUNCTION("""COMPUTED_VALUE"""),3155513)</f>
        <v>3155513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IFERROR(__xludf.DUMMYFUNCTION("""COMPUTED_VALUE"""),91.08)</f>
        <v>91.08</v>
      </c>
      <c r="D71" s="141">
        <f ca="1">IFERROR(__xludf.DUMMYFUNCTION("""COMPUTED_VALUE"""),91.49)</f>
        <v>91.49</v>
      </c>
      <c r="E71" s="141">
        <f ca="1">IFERROR(__xludf.DUMMYFUNCTION("""COMPUTED_VALUE"""),90.79)</f>
        <v>90.79</v>
      </c>
      <c r="F71" s="141">
        <f ca="1">IFERROR(__xludf.DUMMYFUNCTION("""COMPUTED_VALUE"""),91.42)</f>
        <v>91.42</v>
      </c>
      <c r="G71" s="143">
        <f ca="1">IFERROR(__xludf.DUMMYFUNCTION("""COMPUTED_VALUE"""),3002844)</f>
        <v>3002844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IFERROR(__xludf.DUMMYFUNCTION("""COMPUTED_VALUE"""),91.37)</f>
        <v>91.37</v>
      </c>
      <c r="D72" s="141">
        <f ca="1">IFERROR(__xludf.DUMMYFUNCTION("""COMPUTED_VALUE"""),91.88)</f>
        <v>91.88</v>
      </c>
      <c r="E72" s="141">
        <f ca="1">IFERROR(__xludf.DUMMYFUNCTION("""COMPUTED_VALUE"""),91.25)</f>
        <v>91.25</v>
      </c>
      <c r="F72" s="141">
        <f ca="1">IFERROR(__xludf.DUMMYFUNCTION("""COMPUTED_VALUE"""),91.56)</f>
        <v>91.56</v>
      </c>
      <c r="G72" s="143">
        <f ca="1">IFERROR(__xludf.DUMMYFUNCTION("""COMPUTED_VALUE"""),2933491)</f>
        <v>2933491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IFERROR(__xludf.DUMMYFUNCTION("""COMPUTED_VALUE"""),91.36)</f>
        <v>91.36</v>
      </c>
      <c r="D73" s="141">
        <f ca="1">IFERROR(__xludf.DUMMYFUNCTION("""COMPUTED_VALUE"""),91.36)</f>
        <v>91.36</v>
      </c>
      <c r="E73" s="141">
        <f ca="1">IFERROR(__xludf.DUMMYFUNCTION("""COMPUTED_VALUE"""),90.51)</f>
        <v>90.51</v>
      </c>
      <c r="F73" s="141">
        <f ca="1">IFERROR(__xludf.DUMMYFUNCTION("""COMPUTED_VALUE"""),91.08)</f>
        <v>91.08</v>
      </c>
      <c r="G73" s="143">
        <f ca="1">IFERROR(__xludf.DUMMYFUNCTION("""COMPUTED_VALUE"""),4186062)</f>
        <v>4186062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IFERROR(__xludf.DUMMYFUNCTION("""COMPUTED_VALUE"""),91.2)</f>
        <v>91.2</v>
      </c>
      <c r="D74" s="141">
        <f ca="1">IFERROR(__xludf.DUMMYFUNCTION("""COMPUTED_VALUE"""),92.16)</f>
        <v>92.16</v>
      </c>
      <c r="E74" s="141">
        <f ca="1">IFERROR(__xludf.DUMMYFUNCTION("""COMPUTED_VALUE"""),91.2)</f>
        <v>91.2</v>
      </c>
      <c r="F74" s="141">
        <f ca="1">IFERROR(__xludf.DUMMYFUNCTION("""COMPUTED_VALUE"""),91.42)</f>
        <v>91.42</v>
      </c>
      <c r="G74" s="143">
        <f ca="1">IFERROR(__xludf.DUMMYFUNCTION("""COMPUTED_VALUE"""),2496627)</f>
        <v>2496627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IFERROR(__xludf.DUMMYFUNCTION("""COMPUTED_VALUE"""),91.48)</f>
        <v>91.48</v>
      </c>
      <c r="D75" s="141">
        <f ca="1">IFERROR(__xludf.DUMMYFUNCTION("""COMPUTED_VALUE"""),91.5)</f>
        <v>91.5</v>
      </c>
      <c r="E75" s="141">
        <f ca="1">IFERROR(__xludf.DUMMYFUNCTION("""COMPUTED_VALUE"""),90.53)</f>
        <v>90.53</v>
      </c>
      <c r="F75" s="141">
        <f ca="1">IFERROR(__xludf.DUMMYFUNCTION("""COMPUTED_VALUE"""),90.56)</f>
        <v>90.56</v>
      </c>
      <c r="G75" s="143">
        <f ca="1">IFERROR(__xludf.DUMMYFUNCTION("""COMPUTED_VALUE"""),4154610)</f>
        <v>4154610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IFERROR(__xludf.DUMMYFUNCTION("""COMPUTED_VALUE"""),90.63)</f>
        <v>90.63</v>
      </c>
      <c r="D76" s="141">
        <f ca="1">IFERROR(__xludf.DUMMYFUNCTION("""COMPUTED_VALUE"""),90.81)</f>
        <v>90.81</v>
      </c>
      <c r="E76" s="141">
        <f ca="1">IFERROR(__xludf.DUMMYFUNCTION("""COMPUTED_VALUE"""),89.85)</f>
        <v>89.85</v>
      </c>
      <c r="F76" s="141">
        <f ca="1">IFERROR(__xludf.DUMMYFUNCTION("""COMPUTED_VALUE"""),90.23)</f>
        <v>90.23</v>
      </c>
      <c r="G76" s="143">
        <f ca="1">IFERROR(__xludf.DUMMYFUNCTION("""COMPUTED_VALUE"""),4546624)</f>
        <v>4546624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IFERROR(__xludf.DUMMYFUNCTION("""COMPUTED_VALUE"""),89.82)</f>
        <v>89.82</v>
      </c>
      <c r="D77" s="141">
        <f ca="1">IFERROR(__xludf.DUMMYFUNCTION("""COMPUTED_VALUE"""),90.1)</f>
        <v>90.1</v>
      </c>
      <c r="E77" s="141">
        <f ca="1">IFERROR(__xludf.DUMMYFUNCTION("""COMPUTED_VALUE"""),89.53)</f>
        <v>89.53</v>
      </c>
      <c r="F77" s="141">
        <f ca="1">IFERROR(__xludf.DUMMYFUNCTION("""COMPUTED_VALUE"""),89.76)</f>
        <v>89.76</v>
      </c>
      <c r="G77" s="143">
        <f ca="1">IFERROR(__xludf.DUMMYFUNCTION("""COMPUTED_VALUE"""),3325065)</f>
        <v>3325065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IFERROR(__xludf.DUMMYFUNCTION("""COMPUTED_VALUE"""),89.93)</f>
        <v>89.93</v>
      </c>
      <c r="D78" s="141">
        <f ca="1">IFERROR(__xludf.DUMMYFUNCTION("""COMPUTED_VALUE"""),89.99)</f>
        <v>89.99</v>
      </c>
      <c r="E78" s="141">
        <f ca="1">IFERROR(__xludf.DUMMYFUNCTION("""COMPUTED_VALUE"""),89.04)</f>
        <v>89.04</v>
      </c>
      <c r="F78" s="141">
        <f ca="1">IFERROR(__xludf.DUMMYFUNCTION("""COMPUTED_VALUE"""),89.27)</f>
        <v>89.27</v>
      </c>
      <c r="G78" s="143">
        <f ca="1">IFERROR(__xludf.DUMMYFUNCTION("""COMPUTED_VALUE"""),3123023)</f>
        <v>3123023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IFERROR(__xludf.DUMMYFUNCTION("""COMPUTED_VALUE"""),89.52)</f>
        <v>89.52</v>
      </c>
      <c r="D79" s="141">
        <f ca="1">IFERROR(__xludf.DUMMYFUNCTION("""COMPUTED_VALUE"""),89.69)</f>
        <v>89.69</v>
      </c>
      <c r="E79" s="141">
        <f ca="1">IFERROR(__xludf.DUMMYFUNCTION("""COMPUTED_VALUE"""),88.09)</f>
        <v>88.09</v>
      </c>
      <c r="F79" s="141">
        <f ca="1">IFERROR(__xludf.DUMMYFUNCTION("""COMPUTED_VALUE"""),88.13)</f>
        <v>88.13</v>
      </c>
      <c r="G79" s="143">
        <f ca="1">IFERROR(__xludf.DUMMYFUNCTION("""COMPUTED_VALUE"""),3996323)</f>
        <v>3996323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IFERROR(__xludf.DUMMYFUNCTION("""COMPUTED_VALUE"""),88.21)</f>
        <v>88.21</v>
      </c>
      <c r="D80" s="141">
        <f ca="1">IFERROR(__xludf.DUMMYFUNCTION("""COMPUTED_VALUE"""),88.78)</f>
        <v>88.78</v>
      </c>
      <c r="E80" s="141">
        <f ca="1">IFERROR(__xludf.DUMMYFUNCTION("""COMPUTED_VALUE"""),88.08)</f>
        <v>88.08</v>
      </c>
      <c r="F80" s="141">
        <f ca="1">IFERROR(__xludf.DUMMYFUNCTION("""COMPUTED_VALUE"""),88.69)</f>
        <v>88.69</v>
      </c>
      <c r="G80" s="143">
        <f ca="1">IFERROR(__xludf.DUMMYFUNCTION("""COMPUTED_VALUE"""),2810073)</f>
        <v>2810073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IFERROR(__xludf.DUMMYFUNCTION("""COMPUTED_VALUE"""),88.57)</f>
        <v>88.57</v>
      </c>
      <c r="D81" s="141">
        <f ca="1">IFERROR(__xludf.DUMMYFUNCTION("""COMPUTED_VALUE"""),89.74)</f>
        <v>89.74</v>
      </c>
      <c r="E81" s="141">
        <f ca="1">IFERROR(__xludf.DUMMYFUNCTION("""COMPUTED_VALUE"""),88.39)</f>
        <v>88.39</v>
      </c>
      <c r="F81" s="141">
        <f ca="1">IFERROR(__xludf.DUMMYFUNCTION("""COMPUTED_VALUE"""),89.6)</f>
        <v>89.6</v>
      </c>
      <c r="G81" s="143">
        <f ca="1">IFERROR(__xludf.DUMMYFUNCTION("""COMPUTED_VALUE"""),3047787)</f>
        <v>3047787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IFERROR(__xludf.DUMMYFUNCTION("""COMPUTED_VALUE"""),89.91)</f>
        <v>89.91</v>
      </c>
      <c r="D82" s="141">
        <f ca="1">IFERROR(__xludf.DUMMYFUNCTION("""COMPUTED_VALUE"""),91.16)</f>
        <v>91.16</v>
      </c>
      <c r="E82" s="141">
        <f ca="1">IFERROR(__xludf.DUMMYFUNCTION("""COMPUTED_VALUE"""),89.84)</f>
        <v>89.84</v>
      </c>
      <c r="F82" s="141">
        <f ca="1">IFERROR(__xludf.DUMMYFUNCTION("""COMPUTED_VALUE"""),90.9)</f>
        <v>90.9</v>
      </c>
      <c r="G82" s="143">
        <f ca="1">IFERROR(__xludf.DUMMYFUNCTION("""COMPUTED_VALUE"""),3026724)</f>
        <v>3026724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IFERROR(__xludf.DUMMYFUNCTION("""COMPUTED_VALUE"""),91.07)</f>
        <v>91.07</v>
      </c>
      <c r="D83" s="141">
        <f ca="1">IFERROR(__xludf.DUMMYFUNCTION("""COMPUTED_VALUE"""),91.43)</f>
        <v>91.43</v>
      </c>
      <c r="E83" s="141">
        <f ca="1">IFERROR(__xludf.DUMMYFUNCTION("""COMPUTED_VALUE"""),90.38)</f>
        <v>90.38</v>
      </c>
      <c r="F83" s="141">
        <f ca="1">IFERROR(__xludf.DUMMYFUNCTION("""COMPUTED_VALUE"""),90.58)</f>
        <v>90.58</v>
      </c>
      <c r="G83" s="143">
        <f ca="1">IFERROR(__xludf.DUMMYFUNCTION("""COMPUTED_VALUE"""),3719168)</f>
        <v>3719168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IFERROR(__xludf.DUMMYFUNCTION("""COMPUTED_VALUE"""),90.54)</f>
        <v>90.54</v>
      </c>
      <c r="D84" s="141">
        <f ca="1">IFERROR(__xludf.DUMMYFUNCTION("""COMPUTED_VALUE"""),91.28)</f>
        <v>91.28</v>
      </c>
      <c r="E84" s="141">
        <f ca="1">IFERROR(__xludf.DUMMYFUNCTION("""COMPUTED_VALUE"""),90.26)</f>
        <v>90.26</v>
      </c>
      <c r="F84" s="141">
        <f ca="1">IFERROR(__xludf.DUMMYFUNCTION("""COMPUTED_VALUE"""),91.17)</f>
        <v>91.17</v>
      </c>
      <c r="G84" s="143">
        <f ca="1">IFERROR(__xludf.DUMMYFUNCTION("""COMPUTED_VALUE"""),2945240)</f>
        <v>2945240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IFERROR(__xludf.DUMMYFUNCTION("""COMPUTED_VALUE"""),91.6)</f>
        <v>91.6</v>
      </c>
      <c r="D85" s="141">
        <f ca="1">IFERROR(__xludf.DUMMYFUNCTION("""COMPUTED_VALUE"""),92.11)</f>
        <v>92.11</v>
      </c>
      <c r="E85" s="141">
        <f ca="1">IFERROR(__xludf.DUMMYFUNCTION("""COMPUTED_VALUE"""),91.39)</f>
        <v>91.39</v>
      </c>
      <c r="F85" s="141">
        <f ca="1">IFERROR(__xludf.DUMMYFUNCTION("""COMPUTED_VALUE"""),92.09)</f>
        <v>92.09</v>
      </c>
      <c r="G85" s="143">
        <f ca="1">IFERROR(__xludf.DUMMYFUNCTION("""COMPUTED_VALUE"""),2036812)</f>
        <v>2036812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IFERROR(__xludf.DUMMYFUNCTION("""COMPUTED_VALUE"""),92)</f>
        <v>92</v>
      </c>
      <c r="D86" s="141">
        <f ca="1">IFERROR(__xludf.DUMMYFUNCTION("""COMPUTED_VALUE"""),92.45)</f>
        <v>92.45</v>
      </c>
      <c r="E86" s="141">
        <f ca="1">IFERROR(__xludf.DUMMYFUNCTION("""COMPUTED_VALUE"""),91.68)</f>
        <v>91.68</v>
      </c>
      <c r="F86" s="141">
        <f ca="1">IFERROR(__xludf.DUMMYFUNCTION("""COMPUTED_VALUE"""),91.83)</f>
        <v>91.83</v>
      </c>
      <c r="G86" s="143">
        <f ca="1">IFERROR(__xludf.DUMMYFUNCTION("""COMPUTED_VALUE"""),2829840)</f>
        <v>2829840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IFERROR(__xludf.DUMMYFUNCTION("""COMPUTED_VALUE"""),92.11)</f>
        <v>92.11</v>
      </c>
      <c r="D87" s="141">
        <f ca="1">IFERROR(__xludf.DUMMYFUNCTION("""COMPUTED_VALUE"""),92.37)</f>
        <v>92.37</v>
      </c>
      <c r="E87" s="141">
        <f ca="1">IFERROR(__xludf.DUMMYFUNCTION("""COMPUTED_VALUE"""),91.69)</f>
        <v>91.69</v>
      </c>
      <c r="F87" s="141">
        <f ca="1">IFERROR(__xludf.DUMMYFUNCTION("""COMPUTED_VALUE"""),92.22)</f>
        <v>92.22</v>
      </c>
      <c r="G87" s="143">
        <f ca="1">IFERROR(__xludf.DUMMYFUNCTION("""COMPUTED_VALUE"""),2490784)</f>
        <v>2490784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IFERROR(__xludf.DUMMYFUNCTION("""COMPUTED_VALUE"""),92.32)</f>
        <v>92.32</v>
      </c>
      <c r="D88" s="141">
        <f ca="1">IFERROR(__xludf.DUMMYFUNCTION("""COMPUTED_VALUE"""),92.57)</f>
        <v>92.57</v>
      </c>
      <c r="E88" s="141">
        <f ca="1">IFERROR(__xludf.DUMMYFUNCTION("""COMPUTED_VALUE"""),91.39)</f>
        <v>91.39</v>
      </c>
      <c r="F88" s="141">
        <f ca="1">IFERROR(__xludf.DUMMYFUNCTION("""COMPUTED_VALUE"""),92.16)</f>
        <v>92.16</v>
      </c>
      <c r="G88" s="143">
        <f ca="1">IFERROR(__xludf.DUMMYFUNCTION("""COMPUTED_VALUE"""),2686972)</f>
        <v>2686972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IFERROR(__xludf.DUMMYFUNCTION("""COMPUTED_VALUE"""),92.82)</f>
        <v>92.82</v>
      </c>
      <c r="D89" s="141">
        <f ca="1">IFERROR(__xludf.DUMMYFUNCTION("""COMPUTED_VALUE"""),92.93)</f>
        <v>92.93</v>
      </c>
      <c r="E89" s="141">
        <f ca="1">IFERROR(__xludf.DUMMYFUNCTION("""COMPUTED_VALUE"""),92.43)</f>
        <v>92.43</v>
      </c>
      <c r="F89" s="141">
        <f ca="1">IFERROR(__xludf.DUMMYFUNCTION("""COMPUTED_VALUE"""),92.43)</f>
        <v>92.43</v>
      </c>
      <c r="G89" s="143">
        <f ca="1">IFERROR(__xludf.DUMMYFUNCTION("""COMPUTED_VALUE"""),2619502)</f>
        <v>2619502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IFERROR(__xludf.DUMMYFUNCTION("""COMPUTED_VALUE"""),92.5)</f>
        <v>92.5</v>
      </c>
      <c r="D90" s="141">
        <f ca="1">IFERROR(__xludf.DUMMYFUNCTION("""COMPUTED_VALUE"""),92.73)</f>
        <v>92.73</v>
      </c>
      <c r="E90" s="141">
        <f ca="1">IFERROR(__xludf.DUMMYFUNCTION("""COMPUTED_VALUE"""),92.08)</f>
        <v>92.08</v>
      </c>
      <c r="F90" s="141">
        <f ca="1">IFERROR(__xludf.DUMMYFUNCTION("""COMPUTED_VALUE"""),92.69)</f>
        <v>92.69</v>
      </c>
      <c r="G90" s="143">
        <f ca="1">IFERROR(__xludf.DUMMYFUNCTION("""COMPUTED_VALUE"""),2921989)</f>
        <v>2921989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IFERROR(__xludf.DUMMYFUNCTION("""COMPUTED_VALUE"""),92.47)</f>
        <v>92.47</v>
      </c>
      <c r="D91" s="141">
        <f ca="1">IFERROR(__xludf.DUMMYFUNCTION("""COMPUTED_VALUE"""),92.47)</f>
        <v>92.47</v>
      </c>
      <c r="E91" s="141">
        <f ca="1">IFERROR(__xludf.DUMMYFUNCTION("""COMPUTED_VALUE"""),90.8)</f>
        <v>90.8</v>
      </c>
      <c r="F91" s="141">
        <f ca="1">IFERROR(__xludf.DUMMYFUNCTION("""COMPUTED_VALUE"""),90.87)</f>
        <v>90.87</v>
      </c>
      <c r="G91" s="143">
        <f ca="1">IFERROR(__xludf.DUMMYFUNCTION("""COMPUTED_VALUE"""),4636016)</f>
        <v>4636016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IFERROR(__xludf.DUMMYFUNCTION("""COMPUTED_VALUE"""),90.2)</f>
        <v>90.2</v>
      </c>
      <c r="D92" s="141">
        <f ca="1">IFERROR(__xludf.DUMMYFUNCTION("""COMPUTED_VALUE"""),90.36)</f>
        <v>90.36</v>
      </c>
      <c r="E92" s="141">
        <f ca="1">IFERROR(__xludf.DUMMYFUNCTION("""COMPUTED_VALUE"""),88.23)</f>
        <v>88.23</v>
      </c>
      <c r="F92" s="141">
        <f ca="1">IFERROR(__xludf.DUMMYFUNCTION("""COMPUTED_VALUE"""),88.53)</f>
        <v>88.53</v>
      </c>
      <c r="G92" s="143">
        <f ca="1">IFERROR(__xludf.DUMMYFUNCTION("""COMPUTED_VALUE"""),5650116)</f>
        <v>5650116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IFERROR(__xludf.DUMMYFUNCTION("""COMPUTED_VALUE"""),88.46)</f>
        <v>88.46</v>
      </c>
      <c r="D93" s="141">
        <f ca="1">IFERROR(__xludf.DUMMYFUNCTION("""COMPUTED_VALUE"""),89.55)</f>
        <v>89.55</v>
      </c>
      <c r="E93" s="141">
        <f ca="1">IFERROR(__xludf.DUMMYFUNCTION("""COMPUTED_VALUE"""),88.2)</f>
        <v>88.2</v>
      </c>
      <c r="F93" s="141">
        <f ca="1">IFERROR(__xludf.DUMMYFUNCTION("""COMPUTED_VALUE"""),88.95)</f>
        <v>88.95</v>
      </c>
      <c r="G93" s="143">
        <f ca="1">IFERROR(__xludf.DUMMYFUNCTION("""COMPUTED_VALUE"""),5183182)</f>
        <v>5183182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IFERROR(__xludf.DUMMYFUNCTION("""COMPUTED_VALUE"""),88.5)</f>
        <v>88.5</v>
      </c>
      <c r="D94" s="141">
        <f ca="1">IFERROR(__xludf.DUMMYFUNCTION("""COMPUTED_VALUE"""),89.48)</f>
        <v>89.48</v>
      </c>
      <c r="E94" s="141">
        <f ca="1">IFERROR(__xludf.DUMMYFUNCTION("""COMPUTED_VALUE"""),88.17)</f>
        <v>88.17</v>
      </c>
      <c r="F94" s="141">
        <f ca="1">IFERROR(__xludf.DUMMYFUNCTION("""COMPUTED_VALUE"""),89.18)</f>
        <v>89.18</v>
      </c>
      <c r="G94" s="143">
        <f ca="1">IFERROR(__xludf.DUMMYFUNCTION("""COMPUTED_VALUE"""),3982699)</f>
        <v>3982699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IFERROR(__xludf.DUMMYFUNCTION("""COMPUTED_VALUE"""),88.2)</f>
        <v>88.2</v>
      </c>
      <c r="D95" s="141">
        <f ca="1">IFERROR(__xludf.DUMMYFUNCTION("""COMPUTED_VALUE"""),89.15)</f>
        <v>89.15</v>
      </c>
      <c r="E95" s="141">
        <f ca="1">IFERROR(__xludf.DUMMYFUNCTION("""COMPUTED_VALUE"""),87.86)</f>
        <v>87.86</v>
      </c>
      <c r="F95" s="141">
        <f ca="1">IFERROR(__xludf.DUMMYFUNCTION("""COMPUTED_VALUE"""),89.05)</f>
        <v>89.05</v>
      </c>
      <c r="G95" s="143">
        <f ca="1">IFERROR(__xludf.DUMMYFUNCTION("""COMPUTED_VALUE"""),4522882)</f>
        <v>4522882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IFERROR(__xludf.DUMMYFUNCTION("""COMPUTED_VALUE"""),89.24)</f>
        <v>89.24</v>
      </c>
      <c r="D96" s="141">
        <f ca="1">IFERROR(__xludf.DUMMYFUNCTION("""COMPUTED_VALUE"""),89.33)</f>
        <v>89.33</v>
      </c>
      <c r="E96" s="141">
        <f ca="1">IFERROR(__xludf.DUMMYFUNCTION("""COMPUTED_VALUE"""),88.76)</f>
        <v>88.76</v>
      </c>
      <c r="F96" s="141">
        <f ca="1">IFERROR(__xludf.DUMMYFUNCTION("""COMPUTED_VALUE"""),89.2)</f>
        <v>89.2</v>
      </c>
      <c r="G96" s="143">
        <f ca="1">IFERROR(__xludf.DUMMYFUNCTION("""COMPUTED_VALUE"""),4058678)</f>
        <v>4058678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IFERROR(__xludf.DUMMYFUNCTION("""COMPUTED_VALUE"""),89.48)</f>
        <v>89.48</v>
      </c>
      <c r="D97" s="141">
        <f ca="1">IFERROR(__xludf.DUMMYFUNCTION("""COMPUTED_VALUE"""),89.57)</f>
        <v>89.57</v>
      </c>
      <c r="E97" s="141">
        <f ca="1">IFERROR(__xludf.DUMMYFUNCTION("""COMPUTED_VALUE"""),88.74)</f>
        <v>88.74</v>
      </c>
      <c r="F97" s="141">
        <f ca="1">IFERROR(__xludf.DUMMYFUNCTION("""COMPUTED_VALUE"""),89.28)</f>
        <v>89.28</v>
      </c>
      <c r="G97" s="143">
        <f ca="1">IFERROR(__xludf.DUMMYFUNCTION("""COMPUTED_VALUE"""),2886259)</f>
        <v>2886259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IFERROR(__xludf.DUMMYFUNCTION("""COMPUTED_VALUE"""),89.19)</f>
        <v>89.19</v>
      </c>
      <c r="D98" s="141">
        <f ca="1">IFERROR(__xludf.DUMMYFUNCTION("""COMPUTED_VALUE"""),89.55)</f>
        <v>89.55</v>
      </c>
      <c r="E98" s="141">
        <f ca="1">IFERROR(__xludf.DUMMYFUNCTION("""COMPUTED_VALUE"""),88.82)</f>
        <v>88.82</v>
      </c>
      <c r="F98" s="141">
        <f ca="1">IFERROR(__xludf.DUMMYFUNCTION("""COMPUTED_VALUE"""),88.85)</f>
        <v>88.85</v>
      </c>
      <c r="G98" s="143">
        <f ca="1">IFERROR(__xludf.DUMMYFUNCTION("""COMPUTED_VALUE"""),3421589)</f>
        <v>3421589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IFERROR(__xludf.DUMMYFUNCTION("""COMPUTED_VALUE"""),89.04)</f>
        <v>89.04</v>
      </c>
      <c r="D99" s="141">
        <f ca="1">IFERROR(__xludf.DUMMYFUNCTION("""COMPUTED_VALUE"""),90.25)</f>
        <v>90.25</v>
      </c>
      <c r="E99" s="141">
        <f ca="1">IFERROR(__xludf.DUMMYFUNCTION("""COMPUTED_VALUE"""),88.94)</f>
        <v>88.94</v>
      </c>
      <c r="F99" s="141">
        <f ca="1">IFERROR(__xludf.DUMMYFUNCTION("""COMPUTED_VALUE"""),90.23)</f>
        <v>90.23</v>
      </c>
      <c r="G99" s="143">
        <f ca="1">IFERROR(__xludf.DUMMYFUNCTION("""COMPUTED_VALUE"""),5277948)</f>
        <v>5277948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IFERROR(__xludf.DUMMYFUNCTION("""COMPUTED_VALUE"""),90.02)</f>
        <v>90.02</v>
      </c>
      <c r="D100" s="141">
        <f ca="1">IFERROR(__xludf.DUMMYFUNCTION("""COMPUTED_VALUE"""),90.58)</f>
        <v>90.58</v>
      </c>
      <c r="E100" s="141">
        <f ca="1">IFERROR(__xludf.DUMMYFUNCTION("""COMPUTED_VALUE"""),89.65)</f>
        <v>89.65</v>
      </c>
      <c r="F100" s="141">
        <f ca="1">IFERROR(__xludf.DUMMYFUNCTION("""COMPUTED_VALUE"""),90.18)</f>
        <v>90.18</v>
      </c>
      <c r="G100" s="143">
        <f ca="1">IFERROR(__xludf.DUMMYFUNCTION("""COMPUTED_VALUE"""),3398185)</f>
        <v>3398185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IFERROR(__xludf.DUMMYFUNCTION("""COMPUTED_VALUE"""),90.51)</f>
        <v>90.51</v>
      </c>
      <c r="D101" s="141">
        <f ca="1">IFERROR(__xludf.DUMMYFUNCTION("""COMPUTED_VALUE"""),91.26)</f>
        <v>91.26</v>
      </c>
      <c r="E101" s="141">
        <f ca="1">IFERROR(__xludf.DUMMYFUNCTION("""COMPUTED_VALUE"""),90.49)</f>
        <v>90.49</v>
      </c>
      <c r="F101" s="141">
        <f ca="1">IFERROR(__xludf.DUMMYFUNCTION("""COMPUTED_VALUE"""),91.19)</f>
        <v>91.19</v>
      </c>
      <c r="G101" s="143">
        <f ca="1">IFERROR(__xludf.DUMMYFUNCTION("""COMPUTED_VALUE"""),3190422)</f>
        <v>3190422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IFERROR(__xludf.DUMMYFUNCTION("""COMPUTED_VALUE"""),90.75)</f>
        <v>90.75</v>
      </c>
      <c r="D102" s="141">
        <f ca="1">IFERROR(__xludf.DUMMYFUNCTION("""COMPUTED_VALUE"""),91.17)</f>
        <v>91.17</v>
      </c>
      <c r="E102" s="141">
        <f ca="1">IFERROR(__xludf.DUMMYFUNCTION("""COMPUTED_VALUE"""),90.48)</f>
        <v>90.48</v>
      </c>
      <c r="F102" s="141">
        <f ca="1">IFERROR(__xludf.DUMMYFUNCTION("""COMPUTED_VALUE"""),90.51)</f>
        <v>90.51</v>
      </c>
      <c r="G102" s="143">
        <f ca="1">IFERROR(__xludf.DUMMYFUNCTION("""COMPUTED_VALUE"""),3652436)</f>
        <v>3652436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IFERROR(__xludf.DUMMYFUNCTION("""COMPUTED_VALUE"""),90.03)</f>
        <v>90.03</v>
      </c>
      <c r="D103" s="141">
        <f ca="1">IFERROR(__xludf.DUMMYFUNCTION("""COMPUTED_VALUE"""),90.41)</f>
        <v>90.41</v>
      </c>
      <c r="E103" s="141">
        <f ca="1">IFERROR(__xludf.DUMMYFUNCTION("""COMPUTED_VALUE"""),89.26)</f>
        <v>89.26</v>
      </c>
      <c r="F103" s="141">
        <f ca="1">IFERROR(__xludf.DUMMYFUNCTION("""COMPUTED_VALUE"""),89.4)</f>
        <v>89.4</v>
      </c>
      <c r="G103" s="143">
        <f ca="1">IFERROR(__xludf.DUMMYFUNCTION("""COMPUTED_VALUE"""),3734640)</f>
        <v>3734640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IFERROR(__xludf.DUMMYFUNCTION("""COMPUTED_VALUE"""),89.63)</f>
        <v>89.63</v>
      </c>
      <c r="D104" s="141">
        <f ca="1">IFERROR(__xludf.DUMMYFUNCTION("""COMPUTED_VALUE"""),89.74)</f>
        <v>89.74</v>
      </c>
      <c r="E104" s="141">
        <f ca="1">IFERROR(__xludf.DUMMYFUNCTION("""COMPUTED_VALUE"""),89.1)</f>
        <v>89.1</v>
      </c>
      <c r="F104" s="141">
        <f ca="1">IFERROR(__xludf.DUMMYFUNCTION("""COMPUTED_VALUE"""),89.59)</f>
        <v>89.59</v>
      </c>
      <c r="G104" s="143">
        <f ca="1">IFERROR(__xludf.DUMMYFUNCTION("""COMPUTED_VALUE"""),3662866)</f>
        <v>3662866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IFERROR(__xludf.DUMMYFUNCTION("""COMPUTED_VALUE"""),89.83)</f>
        <v>89.83</v>
      </c>
      <c r="D105" s="141">
        <f ca="1">IFERROR(__xludf.DUMMYFUNCTION("""COMPUTED_VALUE"""),89.85)</f>
        <v>89.85</v>
      </c>
      <c r="E105" s="141">
        <f ca="1">IFERROR(__xludf.DUMMYFUNCTION("""COMPUTED_VALUE"""),88.6)</f>
        <v>88.6</v>
      </c>
      <c r="F105" s="141">
        <f ca="1">IFERROR(__xludf.DUMMYFUNCTION("""COMPUTED_VALUE"""),88.85)</f>
        <v>88.85</v>
      </c>
      <c r="G105" s="143">
        <f ca="1">IFERROR(__xludf.DUMMYFUNCTION("""COMPUTED_VALUE"""),4072182)</f>
        <v>4072182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IFERROR(__xludf.DUMMYFUNCTION("""COMPUTED_VALUE"""),88.81)</f>
        <v>88.81</v>
      </c>
      <c r="D106" s="141">
        <f ca="1">IFERROR(__xludf.DUMMYFUNCTION("""COMPUTED_VALUE"""),89.47)</f>
        <v>89.47</v>
      </c>
      <c r="E106" s="141">
        <f ca="1">IFERROR(__xludf.DUMMYFUNCTION("""COMPUTED_VALUE"""),88.57)</f>
        <v>88.57</v>
      </c>
      <c r="F106" s="141">
        <f ca="1">IFERROR(__xludf.DUMMYFUNCTION("""COMPUTED_VALUE"""),89.21)</f>
        <v>89.21</v>
      </c>
      <c r="G106" s="143">
        <f ca="1">IFERROR(__xludf.DUMMYFUNCTION("""COMPUTED_VALUE"""),4281473)</f>
        <v>4281473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IFERROR(__xludf.DUMMYFUNCTION("""COMPUTED_VALUE"""),89.2)</f>
        <v>89.2</v>
      </c>
      <c r="D107" s="141">
        <f ca="1">IFERROR(__xludf.DUMMYFUNCTION("""COMPUTED_VALUE"""),89.3)</f>
        <v>89.3</v>
      </c>
      <c r="E107" s="141">
        <f ca="1">IFERROR(__xludf.DUMMYFUNCTION("""COMPUTED_VALUE"""),88.22)</f>
        <v>88.22</v>
      </c>
      <c r="F107" s="141">
        <f ca="1">IFERROR(__xludf.DUMMYFUNCTION("""COMPUTED_VALUE"""),88.51)</f>
        <v>88.51</v>
      </c>
      <c r="G107" s="143">
        <f ca="1">IFERROR(__xludf.DUMMYFUNCTION("""COMPUTED_VALUE"""),4029845)</f>
        <v>4029845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IFERROR(__xludf.DUMMYFUNCTION("""COMPUTED_VALUE"""),89.07)</f>
        <v>89.07</v>
      </c>
      <c r="D108" s="141">
        <f ca="1">IFERROR(__xludf.DUMMYFUNCTION("""COMPUTED_VALUE"""),89.57)</f>
        <v>89.57</v>
      </c>
      <c r="E108" s="141">
        <f ca="1">IFERROR(__xludf.DUMMYFUNCTION("""COMPUTED_VALUE"""),88.11)</f>
        <v>88.11</v>
      </c>
      <c r="F108" s="141">
        <f ca="1">IFERROR(__xludf.DUMMYFUNCTION("""COMPUTED_VALUE"""),88.14)</f>
        <v>88.14</v>
      </c>
      <c r="G108" s="143">
        <f ca="1">IFERROR(__xludf.DUMMYFUNCTION("""COMPUTED_VALUE"""),5317008)</f>
        <v>5317008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IFERROR(__xludf.DUMMYFUNCTION("""COMPUTED_VALUE"""),88.66)</f>
        <v>88.66</v>
      </c>
      <c r="D109" s="141">
        <f ca="1">IFERROR(__xludf.DUMMYFUNCTION("""COMPUTED_VALUE"""),89.9)</f>
        <v>89.9</v>
      </c>
      <c r="E109" s="141">
        <f ca="1">IFERROR(__xludf.DUMMYFUNCTION("""COMPUTED_VALUE"""),88.38)</f>
        <v>88.38</v>
      </c>
      <c r="F109" s="141">
        <f ca="1">IFERROR(__xludf.DUMMYFUNCTION("""COMPUTED_VALUE"""),89.57)</f>
        <v>89.57</v>
      </c>
      <c r="G109" s="143">
        <f ca="1">IFERROR(__xludf.DUMMYFUNCTION("""COMPUTED_VALUE"""),5770477)</f>
        <v>5770477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IFERROR(__xludf.DUMMYFUNCTION("""COMPUTED_VALUE"""),89.64)</f>
        <v>89.64</v>
      </c>
      <c r="D110" s="141">
        <f ca="1">IFERROR(__xludf.DUMMYFUNCTION("""COMPUTED_VALUE"""),89.94)</f>
        <v>89.94</v>
      </c>
      <c r="E110" s="141">
        <f ca="1">IFERROR(__xludf.DUMMYFUNCTION("""COMPUTED_VALUE"""),89.09)</f>
        <v>89.09</v>
      </c>
      <c r="F110" s="141">
        <f ca="1">IFERROR(__xludf.DUMMYFUNCTION("""COMPUTED_VALUE"""),89.81)</f>
        <v>89.81</v>
      </c>
      <c r="G110" s="143">
        <f ca="1">IFERROR(__xludf.DUMMYFUNCTION("""COMPUTED_VALUE"""),3331007)</f>
        <v>3331007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IFERROR(__xludf.DUMMYFUNCTION("""COMPUTED_VALUE"""),90.05)</f>
        <v>90.05</v>
      </c>
      <c r="D111" s="141">
        <f ca="1">IFERROR(__xludf.DUMMYFUNCTION("""COMPUTED_VALUE"""),91.04)</f>
        <v>91.04</v>
      </c>
      <c r="E111" s="141">
        <f ca="1">IFERROR(__xludf.DUMMYFUNCTION("""COMPUTED_VALUE"""),90.05)</f>
        <v>90.05</v>
      </c>
      <c r="F111" s="141">
        <f ca="1">IFERROR(__xludf.DUMMYFUNCTION("""COMPUTED_VALUE"""),90.64)</f>
        <v>90.64</v>
      </c>
      <c r="G111" s="143">
        <f ca="1">IFERROR(__xludf.DUMMYFUNCTION("""COMPUTED_VALUE"""),4230357)</f>
        <v>4230357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IFERROR(__xludf.DUMMYFUNCTION("""COMPUTED_VALUE"""),90.43)</f>
        <v>90.43</v>
      </c>
      <c r="D112" s="141">
        <f ca="1">IFERROR(__xludf.DUMMYFUNCTION("""COMPUTED_VALUE"""),91.57)</f>
        <v>91.57</v>
      </c>
      <c r="E112" s="141">
        <f ca="1">IFERROR(__xludf.DUMMYFUNCTION("""COMPUTED_VALUE"""),90.39)</f>
        <v>90.39</v>
      </c>
      <c r="F112" s="141">
        <f ca="1">IFERROR(__xludf.DUMMYFUNCTION("""COMPUTED_VALUE"""),91.04)</f>
        <v>91.04</v>
      </c>
      <c r="G112" s="143">
        <f ca="1">IFERROR(__xludf.DUMMYFUNCTION("""COMPUTED_VALUE"""),3297995)</f>
        <v>3297995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IFERROR(__xludf.DUMMYFUNCTION("""COMPUTED_VALUE"""),90.93)</f>
        <v>90.93</v>
      </c>
      <c r="D113" s="141">
        <f ca="1">IFERROR(__xludf.DUMMYFUNCTION("""COMPUTED_VALUE"""),91.6)</f>
        <v>91.6</v>
      </c>
      <c r="E113" s="141">
        <f ca="1">IFERROR(__xludf.DUMMYFUNCTION("""COMPUTED_VALUE"""),90.93)</f>
        <v>90.93</v>
      </c>
      <c r="F113" s="141">
        <f ca="1">IFERROR(__xludf.DUMMYFUNCTION("""COMPUTED_VALUE"""),91.34)</f>
        <v>91.34</v>
      </c>
      <c r="G113" s="143">
        <f ca="1">IFERROR(__xludf.DUMMYFUNCTION("""COMPUTED_VALUE"""),1627090)</f>
        <v>1627090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IFERROR(__xludf.DUMMYFUNCTION("""COMPUTED_VALUE"""),90.45)</f>
        <v>90.45</v>
      </c>
      <c r="D114" s="141">
        <f ca="1">IFERROR(__xludf.DUMMYFUNCTION("""COMPUTED_VALUE"""),90.81)</f>
        <v>90.81</v>
      </c>
      <c r="E114" s="141">
        <f ca="1">IFERROR(__xludf.DUMMYFUNCTION("""COMPUTED_VALUE"""),90.23)</f>
        <v>90.23</v>
      </c>
      <c r="F114" s="141">
        <f ca="1">IFERROR(__xludf.DUMMYFUNCTION("""COMPUTED_VALUE"""),90.29)</f>
        <v>90.29</v>
      </c>
      <c r="G114" s="143">
        <f ca="1">IFERROR(__xludf.DUMMYFUNCTION("""COMPUTED_VALUE"""),3120840)</f>
        <v>3120840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IFERROR(__xludf.DUMMYFUNCTION("""COMPUTED_VALUE"""),90.52)</f>
        <v>90.52</v>
      </c>
      <c r="D115" s="141">
        <f ca="1">IFERROR(__xludf.DUMMYFUNCTION("""COMPUTED_VALUE"""),90.64)</f>
        <v>90.64</v>
      </c>
      <c r="E115" s="141">
        <f ca="1">IFERROR(__xludf.DUMMYFUNCTION("""COMPUTED_VALUE"""),89.68)</f>
        <v>89.68</v>
      </c>
      <c r="F115" s="141">
        <f ca="1">IFERROR(__xludf.DUMMYFUNCTION("""COMPUTED_VALUE"""),89.97)</f>
        <v>89.97</v>
      </c>
      <c r="G115" s="143">
        <f ca="1">IFERROR(__xludf.DUMMYFUNCTION("""COMPUTED_VALUE"""),2737085)</f>
        <v>2737085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IFERROR(__xludf.DUMMYFUNCTION("""COMPUTED_VALUE"""),89.86)</f>
        <v>89.86</v>
      </c>
      <c r="D116" s="141">
        <f ca="1">IFERROR(__xludf.DUMMYFUNCTION("""COMPUTED_VALUE"""),90.42)</f>
        <v>90.42</v>
      </c>
      <c r="E116" s="141">
        <f ca="1">IFERROR(__xludf.DUMMYFUNCTION("""COMPUTED_VALUE"""),89.81)</f>
        <v>89.81</v>
      </c>
      <c r="F116" s="141">
        <f ca="1">IFERROR(__xludf.DUMMYFUNCTION("""COMPUTED_VALUE"""),90.2)</f>
        <v>90.2</v>
      </c>
      <c r="G116" s="143">
        <f ca="1">IFERROR(__xludf.DUMMYFUNCTION("""COMPUTED_VALUE"""),3204263)</f>
        <v>3204263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IFERROR(__xludf.DUMMYFUNCTION("""COMPUTED_VALUE"""),90.03)</f>
        <v>90.03</v>
      </c>
      <c r="D117" s="141">
        <f ca="1">IFERROR(__xludf.DUMMYFUNCTION("""COMPUTED_VALUE"""),90.59)</f>
        <v>90.59</v>
      </c>
      <c r="E117" s="141">
        <f ca="1">IFERROR(__xludf.DUMMYFUNCTION("""COMPUTED_VALUE"""),89.87)</f>
        <v>89.87</v>
      </c>
      <c r="F117" s="141">
        <f ca="1">IFERROR(__xludf.DUMMYFUNCTION("""COMPUTED_VALUE"""),89.98)</f>
        <v>89.98</v>
      </c>
      <c r="G117" s="143">
        <f ca="1">IFERROR(__xludf.DUMMYFUNCTION("""COMPUTED_VALUE"""),4837544)</f>
        <v>4837544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IFERROR(__xludf.DUMMYFUNCTION("""COMPUTED_VALUE"""),89.82)</f>
        <v>89.82</v>
      </c>
      <c r="D118" s="141">
        <f ca="1">IFERROR(__xludf.DUMMYFUNCTION("""COMPUTED_VALUE"""),90.35)</f>
        <v>90.35</v>
      </c>
      <c r="E118" s="141">
        <f ca="1">IFERROR(__xludf.DUMMYFUNCTION("""COMPUTED_VALUE"""),89.72)</f>
        <v>89.72</v>
      </c>
      <c r="F118" s="141">
        <f ca="1">IFERROR(__xludf.DUMMYFUNCTION("""COMPUTED_VALUE"""),89.88)</f>
        <v>89.88</v>
      </c>
      <c r="G118" s="143">
        <f ca="1">IFERROR(__xludf.DUMMYFUNCTION("""COMPUTED_VALUE"""),3859884)</f>
        <v>3859884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IFERROR(__xludf.DUMMYFUNCTION("""COMPUTED_VALUE"""),89.92)</f>
        <v>89.92</v>
      </c>
      <c r="D119" s="141">
        <f ca="1">IFERROR(__xludf.DUMMYFUNCTION("""COMPUTED_VALUE"""),89.92)</f>
        <v>89.92</v>
      </c>
      <c r="E119" s="141">
        <f ca="1">IFERROR(__xludf.DUMMYFUNCTION("""COMPUTED_VALUE"""),89.15)</f>
        <v>89.15</v>
      </c>
      <c r="F119" s="141">
        <f ca="1">IFERROR(__xludf.DUMMYFUNCTION("""COMPUTED_VALUE"""),89.19)</f>
        <v>89.19</v>
      </c>
      <c r="G119" s="143">
        <f ca="1">IFERROR(__xludf.DUMMYFUNCTION("""COMPUTED_VALUE"""),3971844)</f>
        <v>3971844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IFERROR(__xludf.DUMMYFUNCTION("""COMPUTED_VALUE"""),89.44)</f>
        <v>89.44</v>
      </c>
      <c r="D120" s="141">
        <f ca="1">IFERROR(__xludf.DUMMYFUNCTION("""COMPUTED_VALUE"""),89.98)</f>
        <v>89.98</v>
      </c>
      <c r="E120" s="141">
        <f ca="1">IFERROR(__xludf.DUMMYFUNCTION("""COMPUTED_VALUE"""),88.82)</f>
        <v>88.82</v>
      </c>
      <c r="F120" s="141">
        <f ca="1">IFERROR(__xludf.DUMMYFUNCTION("""COMPUTED_VALUE"""),88.85)</f>
        <v>88.85</v>
      </c>
      <c r="G120" s="143">
        <f ca="1">IFERROR(__xludf.DUMMYFUNCTION("""COMPUTED_VALUE"""),4194036)</f>
        <v>4194036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IFERROR(__xludf.DUMMYFUNCTION("""COMPUTED_VALUE"""),89.13)</f>
        <v>89.13</v>
      </c>
      <c r="D121" s="141">
        <f ca="1">IFERROR(__xludf.DUMMYFUNCTION("""COMPUTED_VALUE"""),89.81)</f>
        <v>89.81</v>
      </c>
      <c r="E121" s="141">
        <f ca="1">IFERROR(__xludf.DUMMYFUNCTION("""COMPUTED_VALUE"""),89.01)</f>
        <v>89.01</v>
      </c>
      <c r="F121" s="141">
        <f ca="1">IFERROR(__xludf.DUMMYFUNCTION("""COMPUTED_VALUE"""),89.17)</f>
        <v>89.17</v>
      </c>
      <c r="G121" s="143">
        <f ca="1">IFERROR(__xludf.DUMMYFUNCTION("""COMPUTED_VALUE"""),4633433)</f>
        <v>4633433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IFERROR(__xludf.DUMMYFUNCTION("""COMPUTED_VALUE"""),89.43)</f>
        <v>89.43</v>
      </c>
      <c r="D122" s="141">
        <f ca="1">IFERROR(__xludf.DUMMYFUNCTION("""COMPUTED_VALUE"""),89.92)</f>
        <v>89.92</v>
      </c>
      <c r="E122" s="141">
        <f ca="1">IFERROR(__xludf.DUMMYFUNCTION("""COMPUTED_VALUE"""),89.26)</f>
        <v>89.26</v>
      </c>
      <c r="F122" s="141">
        <f ca="1">IFERROR(__xludf.DUMMYFUNCTION("""COMPUTED_VALUE"""),89.56)</f>
        <v>89.56</v>
      </c>
      <c r="G122" s="143">
        <f ca="1">IFERROR(__xludf.DUMMYFUNCTION("""COMPUTED_VALUE"""),5207398)</f>
        <v>5207398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IFERROR(__xludf.DUMMYFUNCTION("""COMPUTED_VALUE"""),89.95)</f>
        <v>89.95</v>
      </c>
      <c r="D123" s="141">
        <f ca="1">IFERROR(__xludf.DUMMYFUNCTION("""COMPUTED_VALUE"""),90.27)</f>
        <v>90.27</v>
      </c>
      <c r="E123" s="141">
        <f ca="1">IFERROR(__xludf.DUMMYFUNCTION("""COMPUTED_VALUE"""),89.23)</f>
        <v>89.23</v>
      </c>
      <c r="F123" s="141">
        <f ca="1">IFERROR(__xludf.DUMMYFUNCTION("""COMPUTED_VALUE"""),89.45)</f>
        <v>89.45</v>
      </c>
      <c r="G123" s="143">
        <f ca="1">IFERROR(__xludf.DUMMYFUNCTION("""COMPUTED_VALUE"""),3855912)</f>
        <v>3855912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IFERROR(__xludf.DUMMYFUNCTION("""COMPUTED_VALUE"""),89.82)</f>
        <v>89.82</v>
      </c>
      <c r="D124" s="141">
        <f ca="1">IFERROR(__xludf.DUMMYFUNCTION("""COMPUTED_VALUE"""),89.88)</f>
        <v>89.88</v>
      </c>
      <c r="E124" s="141">
        <f ca="1">IFERROR(__xludf.DUMMYFUNCTION("""COMPUTED_VALUE"""),89.1)</f>
        <v>89.1</v>
      </c>
      <c r="F124" s="141">
        <f ca="1">IFERROR(__xludf.DUMMYFUNCTION("""COMPUTED_VALUE"""),89.73)</f>
        <v>89.73</v>
      </c>
      <c r="G124" s="143">
        <f ca="1">IFERROR(__xludf.DUMMYFUNCTION("""COMPUTED_VALUE"""),3915126)</f>
        <v>3915126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IFERROR(__xludf.DUMMYFUNCTION("""COMPUTED_VALUE"""),89.65)</f>
        <v>89.65</v>
      </c>
      <c r="D125" s="141">
        <f ca="1">IFERROR(__xludf.DUMMYFUNCTION("""COMPUTED_VALUE"""),89.98)</f>
        <v>89.98</v>
      </c>
      <c r="E125" s="141">
        <f ca="1">IFERROR(__xludf.DUMMYFUNCTION("""COMPUTED_VALUE"""),88.93)</f>
        <v>88.93</v>
      </c>
      <c r="F125" s="141">
        <f ca="1">IFERROR(__xludf.DUMMYFUNCTION("""COMPUTED_VALUE"""),89.07)</f>
        <v>89.07</v>
      </c>
      <c r="G125" s="143">
        <f ca="1">IFERROR(__xludf.DUMMYFUNCTION("""COMPUTED_VALUE"""),3717881)</f>
        <v>3717881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IFERROR(__xludf.DUMMYFUNCTION("""COMPUTED_VALUE"""),88.99)</f>
        <v>88.99</v>
      </c>
      <c r="D126" s="141">
        <f ca="1">IFERROR(__xludf.DUMMYFUNCTION("""COMPUTED_VALUE"""),89.76)</f>
        <v>89.76</v>
      </c>
      <c r="E126" s="141">
        <f ca="1">IFERROR(__xludf.DUMMYFUNCTION("""COMPUTED_VALUE"""),88.98)</f>
        <v>88.98</v>
      </c>
      <c r="F126" s="141">
        <f ca="1">IFERROR(__xludf.DUMMYFUNCTION("""COMPUTED_VALUE"""),89.4)</f>
        <v>89.4</v>
      </c>
      <c r="G126" s="143">
        <f ca="1">IFERROR(__xludf.DUMMYFUNCTION("""COMPUTED_VALUE"""),3715500)</f>
        <v>3715500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IFERROR(__xludf.DUMMYFUNCTION("""COMPUTED_VALUE"""),89.84)</f>
        <v>89.84</v>
      </c>
      <c r="D127" s="141">
        <f ca="1">IFERROR(__xludf.DUMMYFUNCTION("""COMPUTED_VALUE"""),89.99)</f>
        <v>89.99</v>
      </c>
      <c r="E127" s="141">
        <f ca="1">IFERROR(__xludf.DUMMYFUNCTION("""COMPUTED_VALUE"""),88.83)</f>
        <v>88.83</v>
      </c>
      <c r="F127" s="141">
        <f ca="1">IFERROR(__xludf.DUMMYFUNCTION("""COMPUTED_VALUE"""),88.93)</f>
        <v>88.93</v>
      </c>
      <c r="G127" s="143">
        <f ca="1">IFERROR(__xludf.DUMMYFUNCTION("""COMPUTED_VALUE"""),3818063)</f>
        <v>3818063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IFERROR(__xludf.DUMMYFUNCTION("""COMPUTED_VALUE"""),88.67)</f>
        <v>88.67</v>
      </c>
      <c r="D128" s="141">
        <f ca="1">IFERROR(__xludf.DUMMYFUNCTION("""COMPUTED_VALUE"""),89.17)</f>
        <v>89.17</v>
      </c>
      <c r="E128" s="141">
        <f ca="1">IFERROR(__xludf.DUMMYFUNCTION("""COMPUTED_VALUE"""),88.55)</f>
        <v>88.55</v>
      </c>
      <c r="F128" s="141">
        <f ca="1">IFERROR(__xludf.DUMMYFUNCTION("""COMPUTED_VALUE"""),88.59)</f>
        <v>88.59</v>
      </c>
      <c r="G128" s="143">
        <f ca="1">IFERROR(__xludf.DUMMYFUNCTION("""COMPUTED_VALUE"""),4162336)</f>
        <v>4162336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IFERROR(__xludf.DUMMYFUNCTION("""COMPUTED_VALUE"""),87.65)</f>
        <v>87.65</v>
      </c>
      <c r="D129" s="141">
        <f ca="1">IFERROR(__xludf.DUMMYFUNCTION("""COMPUTED_VALUE"""),88.37)</f>
        <v>88.37</v>
      </c>
      <c r="E129" s="141">
        <f ca="1">IFERROR(__xludf.DUMMYFUNCTION("""COMPUTED_VALUE"""),87.48)</f>
        <v>87.48</v>
      </c>
      <c r="F129" s="141">
        <f ca="1">IFERROR(__xludf.DUMMYFUNCTION("""COMPUTED_VALUE"""),88.24)</f>
        <v>88.24</v>
      </c>
      <c r="G129" s="143">
        <f ca="1">IFERROR(__xludf.DUMMYFUNCTION("""COMPUTED_VALUE"""),3594008)</f>
        <v>3594008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IFERROR(__xludf.DUMMYFUNCTION("""COMPUTED_VALUE"""),88.28)</f>
        <v>88.28</v>
      </c>
      <c r="D130" s="141">
        <f ca="1">IFERROR(__xludf.DUMMYFUNCTION("""COMPUTED_VALUE"""),88.28)</f>
        <v>88.28</v>
      </c>
      <c r="E130" s="141">
        <f ca="1">IFERROR(__xludf.DUMMYFUNCTION("""COMPUTED_VALUE"""),87.87)</f>
        <v>87.87</v>
      </c>
      <c r="F130" s="141">
        <f ca="1">IFERROR(__xludf.DUMMYFUNCTION("""COMPUTED_VALUE"""),88.18)</f>
        <v>88.18</v>
      </c>
      <c r="G130" s="143">
        <f ca="1">IFERROR(__xludf.DUMMYFUNCTION("""COMPUTED_VALUE"""),3955916)</f>
        <v>3955916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IFERROR(__xludf.DUMMYFUNCTION("""COMPUTED_VALUE"""),88.21)</f>
        <v>88.21</v>
      </c>
      <c r="D131" s="141">
        <f ca="1">IFERROR(__xludf.DUMMYFUNCTION("""COMPUTED_VALUE"""),88.91)</f>
        <v>88.91</v>
      </c>
      <c r="E131" s="141">
        <f ca="1">IFERROR(__xludf.DUMMYFUNCTION("""COMPUTED_VALUE"""),88.21)</f>
        <v>88.21</v>
      </c>
      <c r="F131" s="141">
        <f ca="1">IFERROR(__xludf.DUMMYFUNCTION("""COMPUTED_VALUE"""),88.76)</f>
        <v>88.76</v>
      </c>
      <c r="G131" s="143">
        <f ca="1">IFERROR(__xludf.DUMMYFUNCTION("""COMPUTED_VALUE"""),2730765)</f>
        <v>2730765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IFERROR(__xludf.DUMMYFUNCTION("""COMPUTED_VALUE"""),88.7)</f>
        <v>88.7</v>
      </c>
      <c r="D132" s="141">
        <f ca="1">IFERROR(__xludf.DUMMYFUNCTION("""COMPUTED_VALUE"""),88.92)</f>
        <v>88.92</v>
      </c>
      <c r="E132" s="141">
        <f ca="1">IFERROR(__xludf.DUMMYFUNCTION("""COMPUTED_VALUE"""),88.46)</f>
        <v>88.46</v>
      </c>
      <c r="F132" s="141">
        <f ca="1">IFERROR(__xludf.DUMMYFUNCTION("""COMPUTED_VALUE"""),88.86)</f>
        <v>88.86</v>
      </c>
      <c r="G132" s="143">
        <f ca="1">IFERROR(__xludf.DUMMYFUNCTION("""COMPUTED_VALUE"""),2065781)</f>
        <v>2065781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IFERROR(__xludf.DUMMYFUNCTION("""COMPUTED_VALUE"""),89.24)</f>
        <v>89.24</v>
      </c>
      <c r="D133" s="141">
        <f ca="1">IFERROR(__xludf.DUMMYFUNCTION("""COMPUTED_VALUE"""),89.33)</f>
        <v>89.33</v>
      </c>
      <c r="E133" s="141">
        <f ca="1">IFERROR(__xludf.DUMMYFUNCTION("""COMPUTED_VALUE"""),88.79)</f>
        <v>88.79</v>
      </c>
      <c r="F133" s="141">
        <f ca="1">IFERROR(__xludf.DUMMYFUNCTION("""COMPUTED_VALUE"""),89.04)</f>
        <v>89.04</v>
      </c>
      <c r="G133" s="143">
        <f ca="1">IFERROR(__xludf.DUMMYFUNCTION("""COMPUTED_VALUE"""),2604009)</f>
        <v>2604009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IFERROR(__xludf.DUMMYFUNCTION("""COMPUTED_VALUE"""),89.1)</f>
        <v>89.1</v>
      </c>
      <c r="D134" s="141">
        <f ca="1">IFERROR(__xludf.DUMMYFUNCTION("""COMPUTED_VALUE"""),89.27)</f>
        <v>89.27</v>
      </c>
      <c r="E134" s="141">
        <f ca="1">IFERROR(__xludf.DUMMYFUNCTION("""COMPUTED_VALUE"""),88.92)</f>
        <v>88.92</v>
      </c>
      <c r="F134" s="141">
        <f ca="1">IFERROR(__xludf.DUMMYFUNCTION("""COMPUTED_VALUE"""),89.22)</f>
        <v>89.22</v>
      </c>
      <c r="G134" s="143">
        <f ca="1">IFERROR(__xludf.DUMMYFUNCTION("""COMPUTED_VALUE"""),2813521)</f>
        <v>2813521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IFERROR(__xludf.DUMMYFUNCTION("""COMPUTED_VALUE"""),89.18)</f>
        <v>89.18</v>
      </c>
      <c r="D135" s="141">
        <f ca="1">IFERROR(__xludf.DUMMYFUNCTION("""COMPUTED_VALUE"""),89.2)</f>
        <v>89.2</v>
      </c>
      <c r="E135" s="141">
        <f ca="1">IFERROR(__xludf.DUMMYFUNCTION("""COMPUTED_VALUE"""),88.45)</f>
        <v>88.45</v>
      </c>
      <c r="F135" s="141">
        <f ca="1">IFERROR(__xludf.DUMMYFUNCTION("""COMPUTED_VALUE"""),88.49)</f>
        <v>88.49</v>
      </c>
      <c r="G135" s="143">
        <f ca="1">IFERROR(__xludf.DUMMYFUNCTION("""COMPUTED_VALUE"""),3301734)</f>
        <v>3301734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IFERROR(__xludf.DUMMYFUNCTION("""COMPUTED_VALUE"""),88.37)</f>
        <v>88.37</v>
      </c>
      <c r="D136" s="141">
        <f ca="1">IFERROR(__xludf.DUMMYFUNCTION("""COMPUTED_VALUE"""),88.85)</f>
        <v>88.85</v>
      </c>
      <c r="E136" s="141">
        <f ca="1">IFERROR(__xludf.DUMMYFUNCTION("""COMPUTED_VALUE"""),87.84)</f>
        <v>87.84</v>
      </c>
      <c r="F136" s="141">
        <f ca="1">IFERROR(__xludf.DUMMYFUNCTION("""COMPUTED_VALUE"""),88.52)</f>
        <v>88.52</v>
      </c>
      <c r="G136" s="143">
        <f ca="1">IFERROR(__xludf.DUMMYFUNCTION("""COMPUTED_VALUE"""),3524509)</f>
        <v>3524509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IFERROR(__xludf.DUMMYFUNCTION("""COMPUTED_VALUE"""),88.3)</f>
        <v>88.3</v>
      </c>
      <c r="D137" s="141">
        <f ca="1">IFERROR(__xludf.DUMMYFUNCTION("""COMPUTED_VALUE"""),89.07)</f>
        <v>89.07</v>
      </c>
      <c r="E137" s="141">
        <f ca="1">IFERROR(__xludf.DUMMYFUNCTION("""COMPUTED_VALUE"""),87.88)</f>
        <v>87.88</v>
      </c>
      <c r="F137" s="141">
        <f ca="1">IFERROR(__xludf.DUMMYFUNCTION("""COMPUTED_VALUE"""),88.72)</f>
        <v>88.72</v>
      </c>
      <c r="G137" s="143">
        <f ca="1">IFERROR(__xludf.DUMMYFUNCTION("""COMPUTED_VALUE"""),5501563)</f>
        <v>5501563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IFERROR(__xludf.DUMMYFUNCTION("""COMPUTED_VALUE"""),88.38)</f>
        <v>88.38</v>
      </c>
      <c r="D138" s="141">
        <f ca="1">IFERROR(__xludf.DUMMYFUNCTION("""COMPUTED_VALUE"""),89.58)</f>
        <v>89.58</v>
      </c>
      <c r="E138" s="141">
        <f ca="1">IFERROR(__xludf.DUMMYFUNCTION("""COMPUTED_VALUE"""),88.28)</f>
        <v>88.28</v>
      </c>
      <c r="F138" s="141">
        <f ca="1">IFERROR(__xludf.DUMMYFUNCTION("""COMPUTED_VALUE"""),89.37)</f>
        <v>89.37</v>
      </c>
      <c r="G138" s="143">
        <f ca="1">IFERROR(__xludf.DUMMYFUNCTION("""COMPUTED_VALUE"""),4889819)</f>
        <v>4889819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IFERROR(__xludf.DUMMYFUNCTION("""COMPUTED_VALUE"""),89.87)</f>
        <v>89.87</v>
      </c>
      <c r="D139" s="141">
        <f ca="1">IFERROR(__xludf.DUMMYFUNCTION("""COMPUTED_VALUE"""),90.01)</f>
        <v>90.01</v>
      </c>
      <c r="E139" s="141">
        <f ca="1">IFERROR(__xludf.DUMMYFUNCTION("""COMPUTED_VALUE"""),88.48)</f>
        <v>88.48</v>
      </c>
      <c r="F139" s="141">
        <f ca="1">IFERROR(__xludf.DUMMYFUNCTION("""COMPUTED_VALUE"""),88.5)</f>
        <v>88.5</v>
      </c>
      <c r="G139" s="143">
        <f ca="1">IFERROR(__xludf.DUMMYFUNCTION("""COMPUTED_VALUE"""),6668177)</f>
        <v>6668177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IFERROR(__xludf.DUMMYFUNCTION("""COMPUTED_VALUE"""),88.1)</f>
        <v>88.1</v>
      </c>
      <c r="D140" s="141">
        <f ca="1">IFERROR(__xludf.DUMMYFUNCTION("""COMPUTED_VALUE"""),89.63)</f>
        <v>89.63</v>
      </c>
      <c r="E140" s="141">
        <f ca="1">IFERROR(__xludf.DUMMYFUNCTION("""COMPUTED_VALUE"""),88.01)</f>
        <v>88.01</v>
      </c>
      <c r="F140" s="141">
        <f ca="1">IFERROR(__xludf.DUMMYFUNCTION("""COMPUTED_VALUE"""),89.29)</f>
        <v>89.29</v>
      </c>
      <c r="G140" s="143">
        <f ca="1">IFERROR(__xludf.DUMMYFUNCTION("""COMPUTED_VALUE"""),5165995)</f>
        <v>5165995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IFERROR(__xludf.DUMMYFUNCTION("""COMPUTED_VALUE"""),89.31)</f>
        <v>89.31</v>
      </c>
      <c r="D141" s="141">
        <f ca="1">IFERROR(__xludf.DUMMYFUNCTION("""COMPUTED_VALUE"""),90.02)</f>
        <v>90.02</v>
      </c>
      <c r="E141" s="141">
        <f ca="1">IFERROR(__xludf.DUMMYFUNCTION("""COMPUTED_VALUE"""),89.31)</f>
        <v>89.31</v>
      </c>
      <c r="F141" s="141">
        <f ca="1">IFERROR(__xludf.DUMMYFUNCTION("""COMPUTED_VALUE"""),89.47)</f>
        <v>89.47</v>
      </c>
      <c r="G141" s="143">
        <f ca="1">IFERROR(__xludf.DUMMYFUNCTION("""COMPUTED_VALUE"""),4126084)</f>
        <v>4126084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IFERROR(__xludf.DUMMYFUNCTION("""COMPUTED_VALUE"""),89.58)</f>
        <v>89.58</v>
      </c>
      <c r="D142" s="141">
        <f ca="1">IFERROR(__xludf.DUMMYFUNCTION("""COMPUTED_VALUE"""),89.96)</f>
        <v>89.96</v>
      </c>
      <c r="E142" s="141">
        <f ca="1">IFERROR(__xludf.DUMMYFUNCTION("""COMPUTED_VALUE"""),89.32)</f>
        <v>89.32</v>
      </c>
      <c r="F142" s="141">
        <f ca="1">IFERROR(__xludf.DUMMYFUNCTION("""COMPUTED_VALUE"""),89.59)</f>
        <v>89.59</v>
      </c>
      <c r="G142" s="143">
        <f ca="1">IFERROR(__xludf.DUMMYFUNCTION("""COMPUTED_VALUE"""),3342583)</f>
        <v>3342583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IFERROR(__xludf.DUMMYFUNCTION("""COMPUTED_VALUE"""),89.62)</f>
        <v>89.62</v>
      </c>
      <c r="D143" s="141">
        <f ca="1">IFERROR(__xludf.DUMMYFUNCTION("""COMPUTED_VALUE"""),90.16)</f>
        <v>90.16</v>
      </c>
      <c r="E143" s="141">
        <f ca="1">IFERROR(__xludf.DUMMYFUNCTION("""COMPUTED_VALUE"""),88.81)</f>
        <v>88.81</v>
      </c>
      <c r="F143" s="141">
        <f ca="1">IFERROR(__xludf.DUMMYFUNCTION("""COMPUTED_VALUE"""),90.09)</f>
        <v>90.09</v>
      </c>
      <c r="G143" s="143">
        <f ca="1">IFERROR(__xludf.DUMMYFUNCTION("""COMPUTED_VALUE"""),3085327)</f>
        <v>3085327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IFERROR(__xludf.DUMMYFUNCTION("""COMPUTED_VALUE"""),90.09)</f>
        <v>90.09</v>
      </c>
      <c r="D144" s="141">
        <f ca="1">IFERROR(__xludf.DUMMYFUNCTION("""COMPUTED_VALUE"""),90.89)</f>
        <v>90.89</v>
      </c>
      <c r="E144" s="141">
        <f ca="1">IFERROR(__xludf.DUMMYFUNCTION("""COMPUTED_VALUE"""),90.01)</f>
        <v>90.01</v>
      </c>
      <c r="F144" s="141">
        <f ca="1">IFERROR(__xludf.DUMMYFUNCTION("""COMPUTED_VALUE"""),90.87)</f>
        <v>90.87</v>
      </c>
      <c r="G144" s="143">
        <f ca="1">IFERROR(__xludf.DUMMYFUNCTION("""COMPUTED_VALUE"""),3535361)</f>
        <v>3535361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IFERROR(__xludf.DUMMYFUNCTION("""COMPUTED_VALUE"""),91.3)</f>
        <v>91.3</v>
      </c>
      <c r="D145" s="141">
        <f ca="1">IFERROR(__xludf.DUMMYFUNCTION("""COMPUTED_VALUE"""),91.89)</f>
        <v>91.89</v>
      </c>
      <c r="E145" s="141">
        <f ca="1">IFERROR(__xludf.DUMMYFUNCTION("""COMPUTED_VALUE"""),91.02)</f>
        <v>91.02</v>
      </c>
      <c r="F145" s="141">
        <f ca="1">IFERROR(__xludf.DUMMYFUNCTION("""COMPUTED_VALUE"""),91.5)</f>
        <v>91.5</v>
      </c>
      <c r="G145" s="143">
        <f ca="1">IFERROR(__xludf.DUMMYFUNCTION("""COMPUTED_VALUE"""),3845576)</f>
        <v>3845576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IFERROR(__xludf.DUMMYFUNCTION("""COMPUTED_VALUE"""),91.34)</f>
        <v>91.34</v>
      </c>
      <c r="D146" s="141">
        <f ca="1">IFERROR(__xludf.DUMMYFUNCTION("""COMPUTED_VALUE"""),92.82)</f>
        <v>92.82</v>
      </c>
      <c r="E146" s="141">
        <f ca="1">IFERROR(__xludf.DUMMYFUNCTION("""COMPUTED_VALUE"""),91.21)</f>
        <v>91.21</v>
      </c>
      <c r="F146" s="141">
        <f ca="1">IFERROR(__xludf.DUMMYFUNCTION("""COMPUTED_VALUE"""),92.62)</f>
        <v>92.62</v>
      </c>
      <c r="G146" s="143">
        <f ca="1">IFERROR(__xludf.DUMMYFUNCTION("""COMPUTED_VALUE"""),4819629)</f>
        <v>4819629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IFERROR(__xludf.DUMMYFUNCTION("""COMPUTED_VALUE"""),91.91)</f>
        <v>91.91</v>
      </c>
      <c r="D147" s="141">
        <f ca="1">IFERROR(__xludf.DUMMYFUNCTION("""COMPUTED_VALUE"""),92.07)</f>
        <v>92.07</v>
      </c>
      <c r="E147" s="141">
        <f ca="1">IFERROR(__xludf.DUMMYFUNCTION("""COMPUTED_VALUE"""),90.84)</f>
        <v>90.84</v>
      </c>
      <c r="F147" s="141">
        <f ca="1">IFERROR(__xludf.DUMMYFUNCTION("""COMPUTED_VALUE"""),90.9)</f>
        <v>90.9</v>
      </c>
      <c r="G147" s="143">
        <f ca="1">IFERROR(__xludf.DUMMYFUNCTION("""COMPUTED_VALUE"""),4648896)</f>
        <v>4648896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IFERROR(__xludf.DUMMYFUNCTION("""COMPUTED_VALUE"""),91.54)</f>
        <v>91.54</v>
      </c>
      <c r="D148" s="141">
        <f ca="1">IFERROR(__xludf.DUMMYFUNCTION("""COMPUTED_VALUE"""),91.69)</f>
        <v>91.69</v>
      </c>
      <c r="E148" s="141">
        <f ca="1">IFERROR(__xludf.DUMMYFUNCTION("""COMPUTED_VALUE"""),90.53)</f>
        <v>90.53</v>
      </c>
      <c r="F148" s="141">
        <f ca="1">IFERROR(__xludf.DUMMYFUNCTION("""COMPUTED_VALUE"""),91.26)</f>
        <v>91.26</v>
      </c>
      <c r="G148" s="143">
        <f ca="1">IFERROR(__xludf.DUMMYFUNCTION("""COMPUTED_VALUE"""),6140307)</f>
        <v>6140307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IFERROR(__xludf.DUMMYFUNCTION("""COMPUTED_VALUE"""),91.37)</f>
        <v>91.37</v>
      </c>
      <c r="D149" s="141">
        <f ca="1">IFERROR(__xludf.DUMMYFUNCTION("""COMPUTED_VALUE"""),91.62)</f>
        <v>91.62</v>
      </c>
      <c r="E149" s="141">
        <f ca="1">IFERROR(__xludf.DUMMYFUNCTION("""COMPUTED_VALUE"""),90.31)</f>
        <v>90.31</v>
      </c>
      <c r="F149" s="141">
        <f ca="1">IFERROR(__xludf.DUMMYFUNCTION("""COMPUTED_VALUE"""),90.36)</f>
        <v>90.36</v>
      </c>
      <c r="G149" s="143">
        <f ca="1">IFERROR(__xludf.DUMMYFUNCTION("""COMPUTED_VALUE"""),3922910)</f>
        <v>3922910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IFERROR(__xludf.DUMMYFUNCTION("""COMPUTED_VALUE"""),90.22)</f>
        <v>90.22</v>
      </c>
      <c r="D150" s="141">
        <f ca="1">IFERROR(__xludf.DUMMYFUNCTION("""COMPUTED_VALUE"""),90.63)</f>
        <v>90.63</v>
      </c>
      <c r="E150" s="141">
        <f ca="1">IFERROR(__xludf.DUMMYFUNCTION("""COMPUTED_VALUE"""),89.88)</f>
        <v>89.88</v>
      </c>
      <c r="F150" s="141">
        <f ca="1">IFERROR(__xludf.DUMMYFUNCTION("""COMPUTED_VALUE"""),90.54)</f>
        <v>90.54</v>
      </c>
      <c r="G150" s="143">
        <f ca="1">IFERROR(__xludf.DUMMYFUNCTION("""COMPUTED_VALUE"""),2838199)</f>
        <v>2838199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IFERROR(__xludf.DUMMYFUNCTION("""COMPUTED_VALUE"""),90.79)</f>
        <v>90.79</v>
      </c>
      <c r="D151" s="141">
        <f ca="1">IFERROR(__xludf.DUMMYFUNCTION("""COMPUTED_VALUE"""),91.06)</f>
        <v>91.06</v>
      </c>
      <c r="E151" s="141">
        <f ca="1">IFERROR(__xludf.DUMMYFUNCTION("""COMPUTED_VALUE"""),90.32)</f>
        <v>90.32</v>
      </c>
      <c r="F151" s="141">
        <f ca="1">IFERROR(__xludf.DUMMYFUNCTION("""COMPUTED_VALUE"""),90.42)</f>
        <v>90.42</v>
      </c>
      <c r="G151" s="143">
        <f ca="1">IFERROR(__xludf.DUMMYFUNCTION("""COMPUTED_VALUE"""),3004662)</f>
        <v>3004662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IFERROR(__xludf.DUMMYFUNCTION("""COMPUTED_VALUE"""),90.31)</f>
        <v>90.31</v>
      </c>
      <c r="D152" s="141">
        <f ca="1">IFERROR(__xludf.DUMMYFUNCTION("""COMPUTED_VALUE"""),90.58)</f>
        <v>90.58</v>
      </c>
      <c r="E152" s="141">
        <f ca="1">IFERROR(__xludf.DUMMYFUNCTION("""COMPUTED_VALUE"""),90.04)</f>
        <v>90.04</v>
      </c>
      <c r="F152" s="141">
        <f ca="1">IFERROR(__xludf.DUMMYFUNCTION("""COMPUTED_VALUE"""),90.39)</f>
        <v>90.39</v>
      </c>
      <c r="G152" s="143">
        <f ca="1">IFERROR(__xludf.DUMMYFUNCTION("""COMPUTED_VALUE"""),3217100)</f>
        <v>3217100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IFERROR(__xludf.DUMMYFUNCTION("""COMPUTED_VALUE"""),90.48)</f>
        <v>90.48</v>
      </c>
      <c r="D153" s="141">
        <f ca="1">IFERROR(__xludf.DUMMYFUNCTION("""COMPUTED_VALUE"""),90.62)</f>
        <v>90.62</v>
      </c>
      <c r="E153" s="141">
        <f ca="1">IFERROR(__xludf.DUMMYFUNCTION("""COMPUTED_VALUE"""),89.24)</f>
        <v>89.24</v>
      </c>
      <c r="F153" s="141">
        <f ca="1">IFERROR(__xludf.DUMMYFUNCTION("""COMPUTED_VALUE"""),89.46)</f>
        <v>89.46</v>
      </c>
      <c r="G153" s="143">
        <f ca="1">IFERROR(__xludf.DUMMYFUNCTION("""COMPUTED_VALUE"""),4520546)</f>
        <v>4520546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IFERROR(__xludf.DUMMYFUNCTION("""COMPUTED_VALUE"""),89.98)</f>
        <v>89.98</v>
      </c>
      <c r="D154" s="141">
        <f ca="1">IFERROR(__xludf.DUMMYFUNCTION("""COMPUTED_VALUE"""),90.83)</f>
        <v>90.83</v>
      </c>
      <c r="E154" s="141">
        <f ca="1">IFERROR(__xludf.DUMMYFUNCTION("""COMPUTED_VALUE"""),89.42)</f>
        <v>89.42</v>
      </c>
      <c r="F154" s="141">
        <f ca="1">IFERROR(__xludf.DUMMYFUNCTION("""COMPUTED_VALUE"""),90.71)</f>
        <v>90.71</v>
      </c>
      <c r="G154" s="143">
        <f ca="1">IFERROR(__xludf.DUMMYFUNCTION("""COMPUTED_VALUE"""),7283919)</f>
        <v>7283919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IFERROR(__xludf.DUMMYFUNCTION("""COMPUTED_VALUE"""),90.46)</f>
        <v>90.46</v>
      </c>
      <c r="D155" s="141">
        <f ca="1">IFERROR(__xludf.DUMMYFUNCTION("""COMPUTED_VALUE"""),90.82)</f>
        <v>90.82</v>
      </c>
      <c r="E155" s="141">
        <f ca="1">IFERROR(__xludf.DUMMYFUNCTION("""COMPUTED_VALUE"""),89.66)</f>
        <v>89.66</v>
      </c>
      <c r="F155" s="141">
        <f ca="1">IFERROR(__xludf.DUMMYFUNCTION("""COMPUTED_VALUE"""),90.8)</f>
        <v>90.8</v>
      </c>
      <c r="G155" s="143">
        <f ca="1">IFERROR(__xludf.DUMMYFUNCTION("""COMPUTED_VALUE"""),4618037)</f>
        <v>4618037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IFERROR(__xludf.DUMMYFUNCTION("""COMPUTED_VALUE"""),90.9)</f>
        <v>90.9</v>
      </c>
      <c r="D156" s="141">
        <f ca="1">IFERROR(__xludf.DUMMYFUNCTION("""COMPUTED_VALUE"""),91.15)</f>
        <v>91.15</v>
      </c>
      <c r="E156" s="141">
        <f ca="1">IFERROR(__xludf.DUMMYFUNCTION("""COMPUTED_VALUE"""),89.82)</f>
        <v>89.82</v>
      </c>
      <c r="F156" s="141">
        <f ca="1">IFERROR(__xludf.DUMMYFUNCTION("""COMPUTED_VALUE"""),89.86)</f>
        <v>89.86</v>
      </c>
      <c r="G156" s="143">
        <f ca="1">IFERROR(__xludf.DUMMYFUNCTION("""COMPUTED_VALUE"""),5280754)</f>
        <v>5280754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IFERROR(__xludf.DUMMYFUNCTION("""COMPUTED_VALUE"""),89.75)</f>
        <v>89.75</v>
      </c>
      <c r="D157" s="141">
        <f ca="1">IFERROR(__xludf.DUMMYFUNCTION("""COMPUTED_VALUE"""),90.18)</f>
        <v>90.18</v>
      </c>
      <c r="E157" s="141">
        <f ca="1">IFERROR(__xludf.DUMMYFUNCTION("""COMPUTED_VALUE"""),89.07)</f>
        <v>89.07</v>
      </c>
      <c r="F157" s="141">
        <f ca="1">IFERROR(__xludf.DUMMYFUNCTION("""COMPUTED_VALUE"""),89.66)</f>
        <v>89.66</v>
      </c>
      <c r="G157" s="143">
        <f ca="1">IFERROR(__xludf.DUMMYFUNCTION("""COMPUTED_VALUE"""),4821961)</f>
        <v>4821961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IFERROR(__xludf.DUMMYFUNCTION("""COMPUTED_VALUE"""),90.24)</f>
        <v>90.24</v>
      </c>
      <c r="D158" s="141">
        <f ca="1">IFERROR(__xludf.DUMMYFUNCTION("""COMPUTED_VALUE"""),91.32)</f>
        <v>91.32</v>
      </c>
      <c r="E158" s="141">
        <f ca="1">IFERROR(__xludf.DUMMYFUNCTION("""COMPUTED_VALUE"""),89.89)</f>
        <v>89.89</v>
      </c>
      <c r="F158" s="141">
        <f ca="1">IFERROR(__xludf.DUMMYFUNCTION("""COMPUTED_VALUE"""),90.95)</f>
        <v>90.95</v>
      </c>
      <c r="G158" s="143">
        <f ca="1">IFERROR(__xludf.DUMMYFUNCTION("""COMPUTED_VALUE"""),3941137)</f>
        <v>3941137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IFERROR(__xludf.DUMMYFUNCTION("""COMPUTED_VALUE"""),90.76)</f>
        <v>90.76</v>
      </c>
      <c r="D159" s="141">
        <f ca="1">IFERROR(__xludf.DUMMYFUNCTION("""COMPUTED_VALUE"""),91.33)</f>
        <v>91.33</v>
      </c>
      <c r="E159" s="141">
        <f ca="1">IFERROR(__xludf.DUMMYFUNCTION("""COMPUTED_VALUE"""),90.24)</f>
        <v>90.24</v>
      </c>
      <c r="F159" s="141">
        <f ca="1">IFERROR(__xludf.DUMMYFUNCTION("""COMPUTED_VALUE"""),90.82)</f>
        <v>90.82</v>
      </c>
      <c r="G159" s="143">
        <f ca="1">IFERROR(__xludf.DUMMYFUNCTION("""COMPUTED_VALUE"""),3588497)</f>
        <v>3588497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IFERROR(__xludf.DUMMYFUNCTION("""COMPUTED_VALUE"""),91.53)</f>
        <v>91.53</v>
      </c>
      <c r="D160" s="141">
        <f ca="1">IFERROR(__xludf.DUMMYFUNCTION("""COMPUTED_VALUE"""),92.38)</f>
        <v>92.38</v>
      </c>
      <c r="E160" s="141">
        <f ca="1">IFERROR(__xludf.DUMMYFUNCTION("""COMPUTED_VALUE"""),91.33)</f>
        <v>91.33</v>
      </c>
      <c r="F160" s="141">
        <f ca="1">IFERROR(__xludf.DUMMYFUNCTION("""COMPUTED_VALUE"""),92.25)</f>
        <v>92.25</v>
      </c>
      <c r="G160" s="143">
        <f ca="1">IFERROR(__xludf.DUMMYFUNCTION("""COMPUTED_VALUE"""),3638714)</f>
        <v>3638714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IFERROR(__xludf.DUMMYFUNCTION("""COMPUTED_VALUE"""),92.16)</f>
        <v>92.16</v>
      </c>
      <c r="D161" s="141">
        <f ca="1">IFERROR(__xludf.DUMMYFUNCTION("""COMPUTED_VALUE"""),92.72)</f>
        <v>92.72</v>
      </c>
      <c r="E161" s="141">
        <f ca="1">IFERROR(__xludf.DUMMYFUNCTION("""COMPUTED_VALUE"""),91.6)</f>
        <v>91.6</v>
      </c>
      <c r="F161" s="141">
        <f ca="1">IFERROR(__xludf.DUMMYFUNCTION("""COMPUTED_VALUE"""),92.64)</f>
        <v>92.64</v>
      </c>
      <c r="G161" s="143">
        <f ca="1">IFERROR(__xludf.DUMMYFUNCTION("""COMPUTED_VALUE"""),3021655)</f>
        <v>3021655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IFERROR(__xludf.DUMMYFUNCTION("""COMPUTED_VALUE"""),92.76)</f>
        <v>92.76</v>
      </c>
      <c r="D162" s="141">
        <f ca="1">IFERROR(__xludf.DUMMYFUNCTION("""COMPUTED_VALUE"""),94.11)</f>
        <v>94.11</v>
      </c>
      <c r="E162" s="141">
        <f ca="1">IFERROR(__xludf.DUMMYFUNCTION("""COMPUTED_VALUE"""),92.74)</f>
        <v>92.74</v>
      </c>
      <c r="F162" s="141">
        <f ca="1">IFERROR(__xludf.DUMMYFUNCTION("""COMPUTED_VALUE"""),93.88)</f>
        <v>93.88</v>
      </c>
      <c r="G162" s="143">
        <f ca="1">IFERROR(__xludf.DUMMYFUNCTION("""COMPUTED_VALUE"""),4266652)</f>
        <v>4266652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IFERROR(__xludf.DUMMYFUNCTION("""COMPUTED_VALUE"""),94.07)</f>
        <v>94.07</v>
      </c>
      <c r="D163" s="141">
        <f ca="1">IFERROR(__xludf.DUMMYFUNCTION("""COMPUTED_VALUE"""),94.2)</f>
        <v>94.2</v>
      </c>
      <c r="E163" s="141">
        <f ca="1">IFERROR(__xludf.DUMMYFUNCTION("""COMPUTED_VALUE"""),93.23)</f>
        <v>93.23</v>
      </c>
      <c r="F163" s="141">
        <f ca="1">IFERROR(__xludf.DUMMYFUNCTION("""COMPUTED_VALUE"""),93.36)</f>
        <v>93.36</v>
      </c>
      <c r="G163" s="143">
        <f ca="1">IFERROR(__xludf.DUMMYFUNCTION("""COMPUTED_VALUE"""),4425651)</f>
        <v>4425651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IFERROR(__xludf.DUMMYFUNCTION("""COMPUTED_VALUE"""),94.47)</f>
        <v>94.47</v>
      </c>
      <c r="D164" s="141">
        <f ca="1">IFERROR(__xludf.DUMMYFUNCTION("""COMPUTED_VALUE"""),95.15)</f>
        <v>95.15</v>
      </c>
      <c r="E164" s="141">
        <f ca="1">IFERROR(__xludf.DUMMYFUNCTION("""COMPUTED_VALUE"""),93.1)</f>
        <v>93.1</v>
      </c>
      <c r="F164" s="141">
        <f ca="1">IFERROR(__xludf.DUMMYFUNCTION("""COMPUTED_VALUE"""),93.25)</f>
        <v>93.25</v>
      </c>
      <c r="G164" s="143">
        <f ca="1">IFERROR(__xludf.DUMMYFUNCTION("""COMPUTED_VALUE"""),7469436)</f>
        <v>7469436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IFERROR(__xludf.DUMMYFUNCTION("""COMPUTED_VALUE"""),93.59)</f>
        <v>93.59</v>
      </c>
      <c r="D165" s="141">
        <f ca="1">IFERROR(__xludf.DUMMYFUNCTION("""COMPUTED_VALUE"""),94.93)</f>
        <v>94.93</v>
      </c>
      <c r="E165" s="141">
        <f ca="1">IFERROR(__xludf.DUMMYFUNCTION("""COMPUTED_VALUE"""),93.3)</f>
        <v>93.3</v>
      </c>
      <c r="F165" s="141">
        <f ca="1">IFERROR(__xludf.DUMMYFUNCTION("""COMPUTED_VALUE"""),94.59)</f>
        <v>94.59</v>
      </c>
      <c r="G165" s="143">
        <f ca="1">IFERROR(__xludf.DUMMYFUNCTION("""COMPUTED_VALUE"""),3906841)</f>
        <v>3906841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IFERROR(__xludf.DUMMYFUNCTION("""COMPUTED_VALUE"""),94.97)</f>
        <v>94.97</v>
      </c>
      <c r="D166" s="141">
        <f ca="1">IFERROR(__xludf.DUMMYFUNCTION("""COMPUTED_VALUE"""),95.56)</f>
        <v>95.56</v>
      </c>
      <c r="E166" s="141">
        <f ca="1">IFERROR(__xludf.DUMMYFUNCTION("""COMPUTED_VALUE"""),94.38)</f>
        <v>94.38</v>
      </c>
      <c r="F166" s="141">
        <f ca="1">IFERROR(__xludf.DUMMYFUNCTION("""COMPUTED_VALUE"""),95.49)</f>
        <v>95.49</v>
      </c>
      <c r="G166" s="143">
        <f ca="1">IFERROR(__xludf.DUMMYFUNCTION("""COMPUTED_VALUE"""),3614786)</f>
        <v>3614786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IFERROR(__xludf.DUMMYFUNCTION("""COMPUTED_VALUE"""),95.22)</f>
        <v>95.22</v>
      </c>
      <c r="D167" s="141">
        <f ca="1">IFERROR(__xludf.DUMMYFUNCTION("""COMPUTED_VALUE"""),95.36)</f>
        <v>95.36</v>
      </c>
      <c r="E167" s="141">
        <f ca="1">IFERROR(__xludf.DUMMYFUNCTION("""COMPUTED_VALUE"""),94.15)</f>
        <v>94.15</v>
      </c>
      <c r="F167" s="141">
        <f ca="1">IFERROR(__xludf.DUMMYFUNCTION("""COMPUTED_VALUE"""),94.37)</f>
        <v>94.37</v>
      </c>
      <c r="G167" s="143">
        <f ca="1">IFERROR(__xludf.DUMMYFUNCTION("""COMPUTED_VALUE"""),4163638)</f>
        <v>4163638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IFERROR(__xludf.DUMMYFUNCTION("""COMPUTED_VALUE"""),94.26)</f>
        <v>94.26</v>
      </c>
      <c r="D168" s="141">
        <f ca="1">IFERROR(__xludf.DUMMYFUNCTION("""COMPUTED_VALUE"""),94.81)</f>
        <v>94.81</v>
      </c>
      <c r="E168" s="141">
        <f ca="1">IFERROR(__xludf.DUMMYFUNCTION("""COMPUTED_VALUE"""),93.79)</f>
        <v>93.79</v>
      </c>
      <c r="F168" s="141">
        <f ca="1">IFERROR(__xludf.DUMMYFUNCTION("""COMPUTED_VALUE"""),94.17)</f>
        <v>94.17</v>
      </c>
      <c r="G168" s="143">
        <f ca="1">IFERROR(__xludf.DUMMYFUNCTION("""COMPUTED_VALUE"""),2646562)</f>
        <v>2646562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IFERROR(__xludf.DUMMYFUNCTION("""COMPUTED_VALUE"""),94.29)</f>
        <v>94.29</v>
      </c>
      <c r="D169" s="141">
        <f ca="1">IFERROR(__xludf.DUMMYFUNCTION("""COMPUTED_VALUE"""),94.89)</f>
        <v>94.89</v>
      </c>
      <c r="E169" s="141">
        <f ca="1">IFERROR(__xludf.DUMMYFUNCTION("""COMPUTED_VALUE"""),94.11)</f>
        <v>94.11</v>
      </c>
      <c r="F169" s="141">
        <f ca="1">IFERROR(__xludf.DUMMYFUNCTION("""COMPUTED_VALUE"""),94.88)</f>
        <v>94.88</v>
      </c>
      <c r="G169" s="143">
        <f ca="1">IFERROR(__xludf.DUMMYFUNCTION("""COMPUTED_VALUE"""),2840703)</f>
        <v>2840703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IFERROR(__xludf.DUMMYFUNCTION("""COMPUTED_VALUE"""),94.75)</f>
        <v>94.75</v>
      </c>
      <c r="D170" s="141">
        <f ca="1">IFERROR(__xludf.DUMMYFUNCTION("""COMPUTED_VALUE"""),95.64)</f>
        <v>95.64</v>
      </c>
      <c r="E170" s="141">
        <f ca="1">IFERROR(__xludf.DUMMYFUNCTION("""COMPUTED_VALUE"""),94.55)</f>
        <v>94.55</v>
      </c>
      <c r="F170" s="141">
        <f ca="1">IFERROR(__xludf.DUMMYFUNCTION("""COMPUTED_VALUE"""),94.89)</f>
        <v>94.89</v>
      </c>
      <c r="G170" s="143">
        <f ca="1">IFERROR(__xludf.DUMMYFUNCTION("""COMPUTED_VALUE"""),3645685)</f>
        <v>3645685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IFERROR(__xludf.DUMMYFUNCTION("""COMPUTED_VALUE"""),94.65)</f>
        <v>94.65</v>
      </c>
      <c r="D171" s="141">
        <f ca="1">IFERROR(__xludf.DUMMYFUNCTION("""COMPUTED_VALUE"""),95.25)</f>
        <v>95.25</v>
      </c>
      <c r="E171" s="141">
        <f ca="1">IFERROR(__xludf.DUMMYFUNCTION("""COMPUTED_VALUE"""),94.48)</f>
        <v>94.48</v>
      </c>
      <c r="F171" s="141">
        <f ca="1">IFERROR(__xludf.DUMMYFUNCTION("""COMPUTED_VALUE"""),95.13)</f>
        <v>95.13</v>
      </c>
      <c r="G171" s="143">
        <f ca="1">IFERROR(__xludf.DUMMYFUNCTION("""COMPUTED_VALUE"""),3785015)</f>
        <v>3785015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IFERROR(__xludf.DUMMYFUNCTION("""COMPUTED_VALUE"""),95.03)</f>
        <v>95.03</v>
      </c>
      <c r="D172" s="141">
        <f ca="1">IFERROR(__xludf.DUMMYFUNCTION("""COMPUTED_VALUE"""),95.32)</f>
        <v>95.32</v>
      </c>
      <c r="E172" s="141">
        <f ca="1">IFERROR(__xludf.DUMMYFUNCTION("""COMPUTED_VALUE"""),94.42)</f>
        <v>94.42</v>
      </c>
      <c r="F172" s="141">
        <f ca="1">IFERROR(__xludf.DUMMYFUNCTION("""COMPUTED_VALUE"""),94.87)</f>
        <v>94.87</v>
      </c>
      <c r="G172" s="143">
        <f ca="1">IFERROR(__xludf.DUMMYFUNCTION("""COMPUTED_VALUE"""),3296082)</f>
        <v>3296082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IFERROR(__xludf.DUMMYFUNCTION("""COMPUTED_VALUE"""),95.17)</f>
        <v>95.17</v>
      </c>
      <c r="D173" s="141">
        <f ca="1">IFERROR(__xludf.DUMMYFUNCTION("""COMPUTED_VALUE"""),95.68)</f>
        <v>95.68</v>
      </c>
      <c r="E173" s="141">
        <f ca="1">IFERROR(__xludf.DUMMYFUNCTION("""COMPUTED_VALUE"""),94.93)</f>
        <v>94.93</v>
      </c>
      <c r="F173" s="141">
        <f ca="1">IFERROR(__xludf.DUMMYFUNCTION("""COMPUTED_VALUE"""),95.52)</f>
        <v>95.52</v>
      </c>
      <c r="G173" s="143">
        <f ca="1">IFERROR(__xludf.DUMMYFUNCTION("""COMPUTED_VALUE"""),3760478)</f>
        <v>3760478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IFERROR(__xludf.DUMMYFUNCTION("""COMPUTED_VALUE"""),95.2)</f>
        <v>95.2</v>
      </c>
      <c r="D174" s="141">
        <f ca="1">IFERROR(__xludf.DUMMYFUNCTION("""COMPUTED_VALUE"""),96.23)</f>
        <v>96.23</v>
      </c>
      <c r="E174" s="141">
        <f ca="1">IFERROR(__xludf.DUMMYFUNCTION("""COMPUTED_VALUE"""),95.18)</f>
        <v>95.18</v>
      </c>
      <c r="F174" s="141">
        <f ca="1">IFERROR(__xludf.DUMMYFUNCTION("""COMPUTED_VALUE"""),95.69)</f>
        <v>95.69</v>
      </c>
      <c r="G174" s="143">
        <f ca="1">IFERROR(__xludf.DUMMYFUNCTION("""COMPUTED_VALUE"""),4707239)</f>
        <v>4707239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IFERROR(__xludf.DUMMYFUNCTION("""COMPUTED_VALUE"""),95.2)</f>
        <v>95.2</v>
      </c>
      <c r="D175" s="141">
        <f ca="1">IFERROR(__xludf.DUMMYFUNCTION("""COMPUTED_VALUE"""),96.2)</f>
        <v>96.2</v>
      </c>
      <c r="E175" s="141">
        <f ca="1">IFERROR(__xludf.DUMMYFUNCTION("""COMPUTED_VALUE"""),94.62)</f>
        <v>94.62</v>
      </c>
      <c r="F175" s="141">
        <f ca="1">IFERROR(__xludf.DUMMYFUNCTION("""COMPUTED_VALUE"""),95.93)</f>
        <v>95.93</v>
      </c>
      <c r="G175" s="143">
        <f ca="1">IFERROR(__xludf.DUMMYFUNCTION("""COMPUTED_VALUE"""),5461967)</f>
        <v>5461967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IFERROR(__xludf.DUMMYFUNCTION("""COMPUTED_VALUE"""),94.39)</f>
        <v>94.39</v>
      </c>
      <c r="D176" s="141">
        <f ca="1">IFERROR(__xludf.DUMMYFUNCTION("""COMPUTED_VALUE"""),95.75)</f>
        <v>95.75</v>
      </c>
      <c r="E176" s="141">
        <f ca="1">IFERROR(__xludf.DUMMYFUNCTION("""COMPUTED_VALUE"""),93.68)</f>
        <v>93.68</v>
      </c>
      <c r="F176" s="141">
        <f ca="1">IFERROR(__xludf.DUMMYFUNCTION("""COMPUTED_VALUE"""),95.42)</f>
        <v>95.42</v>
      </c>
      <c r="G176" s="143">
        <f ca="1">IFERROR(__xludf.DUMMYFUNCTION("""COMPUTED_VALUE"""),4832275)</f>
        <v>4832275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IFERROR(__xludf.DUMMYFUNCTION("""COMPUTED_VALUE"""),95.17)</f>
        <v>95.17</v>
      </c>
      <c r="D177" s="141">
        <f ca="1">IFERROR(__xludf.DUMMYFUNCTION("""COMPUTED_VALUE"""),95.63)</f>
        <v>95.63</v>
      </c>
      <c r="E177" s="141">
        <f ca="1">IFERROR(__xludf.DUMMYFUNCTION("""COMPUTED_VALUE"""),94.53)</f>
        <v>94.53</v>
      </c>
      <c r="F177" s="141">
        <f ca="1">IFERROR(__xludf.DUMMYFUNCTION("""COMPUTED_VALUE"""),95.54)</f>
        <v>95.54</v>
      </c>
      <c r="G177" s="143">
        <f ca="1">IFERROR(__xludf.DUMMYFUNCTION("""COMPUTED_VALUE"""),3894140)</f>
        <v>3894140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IFERROR(__xludf.DUMMYFUNCTION("""COMPUTED_VALUE"""),94.57)</f>
        <v>94.57</v>
      </c>
      <c r="D178" s="141">
        <f ca="1">IFERROR(__xludf.DUMMYFUNCTION("""COMPUTED_VALUE"""),94.84)</f>
        <v>94.84</v>
      </c>
      <c r="E178" s="141">
        <f ca="1">IFERROR(__xludf.DUMMYFUNCTION("""COMPUTED_VALUE"""),93.88)</f>
        <v>93.88</v>
      </c>
      <c r="F178" s="141">
        <f ca="1">IFERROR(__xludf.DUMMYFUNCTION("""COMPUTED_VALUE"""),94.58)</f>
        <v>94.58</v>
      </c>
      <c r="G178" s="143">
        <f ca="1">IFERROR(__xludf.DUMMYFUNCTION("""COMPUTED_VALUE"""),4637265)</f>
        <v>4637265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IFERROR(__xludf.DUMMYFUNCTION("""COMPUTED_VALUE"""),93.78)</f>
        <v>93.78</v>
      </c>
      <c r="D179" s="141">
        <f ca="1">IFERROR(__xludf.DUMMYFUNCTION("""COMPUTED_VALUE"""),93.82)</f>
        <v>93.82</v>
      </c>
      <c r="E179" s="141">
        <f ca="1">IFERROR(__xludf.DUMMYFUNCTION("""COMPUTED_VALUE"""),93.07)</f>
        <v>93.07</v>
      </c>
      <c r="F179" s="141">
        <f ca="1">IFERROR(__xludf.DUMMYFUNCTION("""COMPUTED_VALUE"""),93.55)</f>
        <v>93.55</v>
      </c>
      <c r="G179" s="143">
        <f ca="1">IFERROR(__xludf.DUMMYFUNCTION("""COMPUTED_VALUE"""),4601456)</f>
        <v>4601456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IFERROR(__xludf.DUMMYFUNCTION("""COMPUTED_VALUE"""),92.68)</f>
        <v>92.68</v>
      </c>
      <c r="D180" s="141">
        <f ca="1">IFERROR(__xludf.DUMMYFUNCTION("""COMPUTED_VALUE"""),94.08)</f>
        <v>94.08</v>
      </c>
      <c r="E180" s="141">
        <f ca="1">IFERROR(__xludf.DUMMYFUNCTION("""COMPUTED_VALUE"""),91.55)</f>
        <v>91.55</v>
      </c>
      <c r="F180" s="141">
        <f ca="1">IFERROR(__xludf.DUMMYFUNCTION("""COMPUTED_VALUE"""),93.76)</f>
        <v>93.76</v>
      </c>
      <c r="G180" s="143">
        <f ca="1">IFERROR(__xludf.DUMMYFUNCTION("""COMPUTED_VALUE"""),4971179)</f>
        <v>4971179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IFERROR(__xludf.DUMMYFUNCTION("""COMPUTED_VALUE"""),93.49)</f>
        <v>93.49</v>
      </c>
      <c r="D181" s="141">
        <f ca="1">IFERROR(__xludf.DUMMYFUNCTION("""COMPUTED_VALUE"""),94.46)</f>
        <v>94.46</v>
      </c>
      <c r="E181" s="141">
        <f ca="1">IFERROR(__xludf.DUMMYFUNCTION("""COMPUTED_VALUE"""),93.04)</f>
        <v>93.04</v>
      </c>
      <c r="F181" s="141">
        <f ca="1">IFERROR(__xludf.DUMMYFUNCTION("""COMPUTED_VALUE"""),93.62)</f>
        <v>93.62</v>
      </c>
      <c r="G181" s="143">
        <f ca="1">IFERROR(__xludf.DUMMYFUNCTION("""COMPUTED_VALUE"""),5056170)</f>
        <v>5056170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IFERROR(__xludf.DUMMYFUNCTION("""COMPUTED_VALUE"""),93.09)</f>
        <v>93.09</v>
      </c>
      <c r="D182" s="141">
        <f ca="1">IFERROR(__xludf.DUMMYFUNCTION("""COMPUTED_VALUE"""),93.27)</f>
        <v>93.27</v>
      </c>
      <c r="E182" s="141">
        <f ca="1">IFERROR(__xludf.DUMMYFUNCTION("""COMPUTED_VALUE"""),92.4)</f>
        <v>92.4</v>
      </c>
      <c r="F182" s="141">
        <f ca="1">IFERROR(__xludf.DUMMYFUNCTION("""COMPUTED_VALUE"""),92.65)</f>
        <v>92.65</v>
      </c>
      <c r="G182" s="143">
        <f ca="1">IFERROR(__xludf.DUMMYFUNCTION("""COMPUTED_VALUE"""),4687022)</f>
        <v>4687022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IFERROR(__xludf.DUMMYFUNCTION("""COMPUTED_VALUE"""),91.94)</f>
        <v>91.94</v>
      </c>
      <c r="D183" s="141">
        <f ca="1">IFERROR(__xludf.DUMMYFUNCTION("""COMPUTED_VALUE"""),92.7)</f>
        <v>92.7</v>
      </c>
      <c r="E183" s="141">
        <f ca="1">IFERROR(__xludf.DUMMYFUNCTION("""COMPUTED_VALUE"""),91.65)</f>
        <v>91.65</v>
      </c>
      <c r="F183" s="141">
        <f ca="1">IFERROR(__xludf.DUMMYFUNCTION("""COMPUTED_VALUE"""),92.01)</f>
        <v>92.01</v>
      </c>
      <c r="G183" s="143">
        <f ca="1">IFERROR(__xludf.DUMMYFUNCTION("""COMPUTED_VALUE"""),3933948)</f>
        <v>3933948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IFERROR(__xludf.DUMMYFUNCTION("""COMPUTED_VALUE"""),92.91)</f>
        <v>92.91</v>
      </c>
      <c r="D184" s="141">
        <f ca="1">IFERROR(__xludf.DUMMYFUNCTION("""COMPUTED_VALUE"""),93.31)</f>
        <v>93.31</v>
      </c>
      <c r="E184" s="141">
        <f ca="1">IFERROR(__xludf.DUMMYFUNCTION("""COMPUTED_VALUE"""),92.05)</f>
        <v>92.05</v>
      </c>
      <c r="F184" s="141">
        <f ca="1">IFERROR(__xludf.DUMMYFUNCTION("""COMPUTED_VALUE"""),92.16)</f>
        <v>92.16</v>
      </c>
      <c r="G184" s="143">
        <f ca="1">IFERROR(__xludf.DUMMYFUNCTION("""COMPUTED_VALUE"""),4063328)</f>
        <v>4063328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IFERROR(__xludf.DUMMYFUNCTION("""COMPUTED_VALUE"""),93.11)</f>
        <v>93.11</v>
      </c>
      <c r="D185" s="141">
        <f ca="1">IFERROR(__xludf.DUMMYFUNCTION("""COMPUTED_VALUE"""),93.66)</f>
        <v>93.66</v>
      </c>
      <c r="E185" s="141">
        <f ca="1">IFERROR(__xludf.DUMMYFUNCTION("""COMPUTED_VALUE"""),92.81)</f>
        <v>92.81</v>
      </c>
      <c r="F185" s="141">
        <f ca="1">IFERROR(__xludf.DUMMYFUNCTION("""COMPUTED_VALUE"""),92.93)</f>
        <v>92.93</v>
      </c>
      <c r="G185" s="143">
        <f ca="1">IFERROR(__xludf.DUMMYFUNCTION("""COMPUTED_VALUE"""),3479303)</f>
        <v>3479303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IFERROR(__xludf.DUMMYFUNCTION("""COMPUTED_VALUE"""),93.67)</f>
        <v>93.67</v>
      </c>
      <c r="D186" s="141">
        <f ca="1">IFERROR(__xludf.DUMMYFUNCTION("""COMPUTED_VALUE"""),94.04)</f>
        <v>94.04</v>
      </c>
      <c r="E186" s="141">
        <f ca="1">IFERROR(__xludf.DUMMYFUNCTION("""COMPUTED_VALUE"""),93.27)</f>
        <v>93.27</v>
      </c>
      <c r="F186" s="141">
        <f ca="1">IFERROR(__xludf.DUMMYFUNCTION("""COMPUTED_VALUE"""),93.34)</f>
        <v>93.34</v>
      </c>
      <c r="G186" s="143">
        <f ca="1">IFERROR(__xludf.DUMMYFUNCTION("""COMPUTED_VALUE"""),2960962)</f>
        <v>2960962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IFERROR(__xludf.DUMMYFUNCTION("""COMPUTED_VALUE"""),93)</f>
        <v>93</v>
      </c>
      <c r="D187" s="141">
        <f ca="1">IFERROR(__xludf.DUMMYFUNCTION("""COMPUTED_VALUE"""),93.04)</f>
        <v>93.04</v>
      </c>
      <c r="E187" s="141">
        <f ca="1">IFERROR(__xludf.DUMMYFUNCTION("""COMPUTED_VALUE"""),91.91)</f>
        <v>91.91</v>
      </c>
      <c r="F187" s="141">
        <f ca="1">IFERROR(__xludf.DUMMYFUNCTION("""COMPUTED_VALUE"""),91.96)</f>
        <v>91.96</v>
      </c>
      <c r="G187" s="143">
        <f ca="1">IFERROR(__xludf.DUMMYFUNCTION("""COMPUTED_VALUE"""),2838825)</f>
        <v>2838825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IFERROR(__xludf.DUMMYFUNCTION("""COMPUTED_VALUE"""),91.6)</f>
        <v>91.6</v>
      </c>
      <c r="D188" s="141">
        <f ca="1">IFERROR(__xludf.DUMMYFUNCTION("""COMPUTED_VALUE"""),92.08)</f>
        <v>92.08</v>
      </c>
      <c r="E188" s="141">
        <f ca="1">IFERROR(__xludf.DUMMYFUNCTION("""COMPUTED_VALUE"""),91.08)</f>
        <v>91.08</v>
      </c>
      <c r="F188" s="141">
        <f ca="1">IFERROR(__xludf.DUMMYFUNCTION("""COMPUTED_VALUE"""),91.59)</f>
        <v>91.59</v>
      </c>
      <c r="G188" s="143">
        <f ca="1">IFERROR(__xludf.DUMMYFUNCTION("""COMPUTED_VALUE"""),4705053)</f>
        <v>4705053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IFERROR(__xludf.DUMMYFUNCTION("""COMPUTED_VALUE"""),91.45)</f>
        <v>91.45</v>
      </c>
      <c r="D189" s="141">
        <f ca="1">IFERROR(__xludf.DUMMYFUNCTION("""COMPUTED_VALUE"""),91.64)</f>
        <v>91.64</v>
      </c>
      <c r="E189" s="141">
        <f ca="1">IFERROR(__xludf.DUMMYFUNCTION("""COMPUTED_VALUE"""),88.33)</f>
        <v>88.33</v>
      </c>
      <c r="F189" s="141">
        <f ca="1">IFERROR(__xludf.DUMMYFUNCTION("""COMPUTED_VALUE"""),88.75)</f>
        <v>88.75</v>
      </c>
      <c r="G189" s="143">
        <f ca="1">IFERROR(__xludf.DUMMYFUNCTION("""COMPUTED_VALUE"""),6295407)</f>
        <v>6295407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IFERROR(__xludf.DUMMYFUNCTION("""COMPUTED_VALUE"""),89.89)</f>
        <v>89.89</v>
      </c>
      <c r="D190" s="141">
        <f ca="1">IFERROR(__xludf.DUMMYFUNCTION("""COMPUTED_VALUE"""),90.62)</f>
        <v>90.62</v>
      </c>
      <c r="E190" s="141">
        <f ca="1">IFERROR(__xludf.DUMMYFUNCTION("""COMPUTED_VALUE"""),89.4)</f>
        <v>89.4</v>
      </c>
      <c r="F190" s="141">
        <f ca="1">IFERROR(__xludf.DUMMYFUNCTION("""COMPUTED_VALUE"""),89.44)</f>
        <v>89.44</v>
      </c>
      <c r="G190" s="143">
        <f ca="1">IFERROR(__xludf.DUMMYFUNCTION("""COMPUTED_VALUE"""),6256824)</f>
        <v>6256824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IFERROR(__xludf.DUMMYFUNCTION("""COMPUTED_VALUE"""),87.93)</f>
        <v>87.93</v>
      </c>
      <c r="D191" s="141">
        <f ca="1">IFERROR(__xludf.DUMMYFUNCTION("""COMPUTED_VALUE"""),88.78)</f>
        <v>88.78</v>
      </c>
      <c r="E191" s="141">
        <f ca="1">IFERROR(__xludf.DUMMYFUNCTION("""COMPUTED_VALUE"""),87.65)</f>
        <v>87.65</v>
      </c>
      <c r="F191" s="141">
        <f ca="1">IFERROR(__xludf.DUMMYFUNCTION("""COMPUTED_VALUE"""),87.91)</f>
        <v>87.91</v>
      </c>
      <c r="G191" s="143">
        <f ca="1">IFERROR(__xludf.DUMMYFUNCTION("""COMPUTED_VALUE"""),3917327)</f>
        <v>3917327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IFERROR(__xludf.DUMMYFUNCTION("""COMPUTED_VALUE"""),88.34)</f>
        <v>88.34</v>
      </c>
      <c r="D192" s="141">
        <f ca="1">IFERROR(__xludf.DUMMYFUNCTION("""COMPUTED_VALUE"""),88.57)</f>
        <v>88.57</v>
      </c>
      <c r="E192" s="141">
        <f ca="1">IFERROR(__xludf.DUMMYFUNCTION("""COMPUTED_VALUE"""),87.43)</f>
        <v>87.43</v>
      </c>
      <c r="F192" s="141">
        <f ca="1">IFERROR(__xludf.DUMMYFUNCTION("""COMPUTED_VALUE"""),87.84)</f>
        <v>87.84</v>
      </c>
      <c r="G192" s="143">
        <f ca="1">IFERROR(__xludf.DUMMYFUNCTION("""COMPUTED_VALUE"""),5061377)</f>
        <v>5061377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IFERROR(__xludf.DUMMYFUNCTION("""COMPUTED_VALUE"""),87.66)</f>
        <v>87.66</v>
      </c>
      <c r="D193" s="141">
        <f ca="1">IFERROR(__xludf.DUMMYFUNCTION("""COMPUTED_VALUE"""),88.5)</f>
        <v>88.5</v>
      </c>
      <c r="E193" s="141">
        <f ca="1">IFERROR(__xludf.DUMMYFUNCTION("""COMPUTED_VALUE"""),87.3)</f>
        <v>87.3</v>
      </c>
      <c r="F193" s="141">
        <f ca="1">IFERROR(__xludf.DUMMYFUNCTION("""COMPUTED_VALUE"""),87.72)</f>
        <v>87.72</v>
      </c>
      <c r="G193" s="143">
        <f ca="1">IFERROR(__xludf.DUMMYFUNCTION("""COMPUTED_VALUE"""),6108204)</f>
        <v>6108204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IFERROR(__xludf.DUMMYFUNCTION("""COMPUTED_VALUE"""),87.53)</f>
        <v>87.53</v>
      </c>
      <c r="D194" s="141">
        <f ca="1">IFERROR(__xludf.DUMMYFUNCTION("""COMPUTED_VALUE"""),87.99)</f>
        <v>87.99</v>
      </c>
      <c r="E194" s="141">
        <f ca="1">IFERROR(__xludf.DUMMYFUNCTION("""COMPUTED_VALUE"""),86.84)</f>
        <v>86.84</v>
      </c>
      <c r="F194" s="141">
        <f ca="1">IFERROR(__xludf.DUMMYFUNCTION("""COMPUTED_VALUE"""),87)</f>
        <v>87</v>
      </c>
      <c r="G194" s="143">
        <f ca="1">IFERROR(__xludf.DUMMYFUNCTION("""COMPUTED_VALUE"""),4435342)</f>
        <v>4435342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IFERROR(__xludf.DUMMYFUNCTION("""COMPUTED_VALUE"""),87.91)</f>
        <v>87.91</v>
      </c>
      <c r="D195" s="141">
        <f ca="1">IFERROR(__xludf.DUMMYFUNCTION("""COMPUTED_VALUE"""),88.52)</f>
        <v>88.52</v>
      </c>
      <c r="E195" s="141">
        <f ca="1">IFERROR(__xludf.DUMMYFUNCTION("""COMPUTED_VALUE"""),87.04)</f>
        <v>87.04</v>
      </c>
      <c r="F195" s="141">
        <f ca="1">IFERROR(__xludf.DUMMYFUNCTION("""COMPUTED_VALUE"""),87.33)</f>
        <v>87.33</v>
      </c>
      <c r="G195" s="143">
        <f ca="1">IFERROR(__xludf.DUMMYFUNCTION("""COMPUTED_VALUE"""),5474820)</f>
        <v>5474820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IFERROR(__xludf.DUMMYFUNCTION("""COMPUTED_VALUE"""),88.47)</f>
        <v>88.47</v>
      </c>
      <c r="D196" s="141">
        <f ca="1">IFERROR(__xludf.DUMMYFUNCTION("""COMPUTED_VALUE"""),89.43)</f>
        <v>89.43</v>
      </c>
      <c r="E196" s="141">
        <f ca="1">IFERROR(__xludf.DUMMYFUNCTION("""COMPUTED_VALUE"""),87.65)</f>
        <v>87.65</v>
      </c>
      <c r="F196" s="141">
        <f ca="1">IFERROR(__xludf.DUMMYFUNCTION("""COMPUTED_VALUE"""),88.7)</f>
        <v>88.7</v>
      </c>
      <c r="G196" s="143">
        <f ca="1">IFERROR(__xludf.DUMMYFUNCTION("""COMPUTED_VALUE"""),4928692)</f>
        <v>4928692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IFERROR(__xludf.DUMMYFUNCTION("""COMPUTED_VALUE"""),88.7)</f>
        <v>88.7</v>
      </c>
      <c r="D197" s="141">
        <f ca="1">IFERROR(__xludf.DUMMYFUNCTION("""COMPUTED_VALUE"""),89.36)</f>
        <v>89.36</v>
      </c>
      <c r="E197" s="141">
        <f ca="1">IFERROR(__xludf.DUMMYFUNCTION("""COMPUTED_VALUE"""),88.55)</f>
        <v>88.55</v>
      </c>
      <c r="F197" s="141">
        <f ca="1">IFERROR(__xludf.DUMMYFUNCTION("""COMPUTED_VALUE"""),89.02)</f>
        <v>89.02</v>
      </c>
      <c r="G197" s="143">
        <f ca="1">IFERROR(__xludf.DUMMYFUNCTION("""COMPUTED_VALUE"""),4412029)</f>
        <v>4412029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IFERROR(__xludf.DUMMYFUNCTION("""COMPUTED_VALUE"""),88.89)</f>
        <v>88.89</v>
      </c>
      <c r="D198" s="141">
        <f ca="1">IFERROR(__xludf.DUMMYFUNCTION("""COMPUTED_VALUE"""),90.33)</f>
        <v>90.33</v>
      </c>
      <c r="E198" s="141">
        <f ca="1">IFERROR(__xludf.DUMMYFUNCTION("""COMPUTED_VALUE"""),88.44)</f>
        <v>88.44</v>
      </c>
      <c r="F198" s="141">
        <f ca="1">IFERROR(__xludf.DUMMYFUNCTION("""COMPUTED_VALUE"""),90.23)</f>
        <v>90.23</v>
      </c>
      <c r="G198" s="143">
        <f ca="1">IFERROR(__xludf.DUMMYFUNCTION("""COMPUTED_VALUE"""),3288855)</f>
        <v>3288855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IFERROR(__xludf.DUMMYFUNCTION("""COMPUTED_VALUE"""),89.96)</f>
        <v>89.96</v>
      </c>
      <c r="D199" s="141">
        <f ca="1">IFERROR(__xludf.DUMMYFUNCTION("""COMPUTED_VALUE"""),90.62)</f>
        <v>90.62</v>
      </c>
      <c r="E199" s="141">
        <f ca="1">IFERROR(__xludf.DUMMYFUNCTION("""COMPUTED_VALUE"""),89.73)</f>
        <v>89.73</v>
      </c>
      <c r="F199" s="141">
        <f ca="1">IFERROR(__xludf.DUMMYFUNCTION("""COMPUTED_VALUE"""),90.36)</f>
        <v>90.36</v>
      </c>
      <c r="G199" s="143">
        <f ca="1">IFERROR(__xludf.DUMMYFUNCTION("""COMPUTED_VALUE"""),2537637)</f>
        <v>2537637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IFERROR(__xludf.DUMMYFUNCTION("""COMPUTED_VALUE"""),90.07)</f>
        <v>90.07</v>
      </c>
      <c r="D200" s="141">
        <f ca="1">IFERROR(__xludf.DUMMYFUNCTION("""COMPUTED_VALUE"""),90.81)</f>
        <v>90.81</v>
      </c>
      <c r="E200" s="141">
        <f ca="1">IFERROR(__xludf.DUMMYFUNCTION("""COMPUTED_VALUE"""),89.66)</f>
        <v>89.66</v>
      </c>
      <c r="F200" s="141">
        <f ca="1">IFERROR(__xludf.DUMMYFUNCTION("""COMPUTED_VALUE"""),90.49)</f>
        <v>90.49</v>
      </c>
      <c r="G200" s="143">
        <f ca="1">IFERROR(__xludf.DUMMYFUNCTION("""COMPUTED_VALUE"""),3184846)</f>
        <v>3184846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IFERROR(__xludf.DUMMYFUNCTION("""COMPUTED_VALUE"""),91.9)</f>
        <v>91.9</v>
      </c>
      <c r="D201" s="141">
        <f ca="1">IFERROR(__xludf.DUMMYFUNCTION("""COMPUTED_VALUE"""),92.22)</f>
        <v>92.22</v>
      </c>
      <c r="E201" s="141">
        <f ca="1">IFERROR(__xludf.DUMMYFUNCTION("""COMPUTED_VALUE"""),91.54)</f>
        <v>91.54</v>
      </c>
      <c r="F201" s="141">
        <f ca="1">IFERROR(__xludf.DUMMYFUNCTION("""COMPUTED_VALUE"""),92.12)</f>
        <v>92.12</v>
      </c>
      <c r="G201" s="143">
        <f ca="1">IFERROR(__xludf.DUMMYFUNCTION("""COMPUTED_VALUE"""),5049552)</f>
        <v>5049552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IFERROR(__xludf.DUMMYFUNCTION("""COMPUTED_VALUE"""),91.72)</f>
        <v>91.72</v>
      </c>
      <c r="D202" s="141">
        <f ca="1">IFERROR(__xludf.DUMMYFUNCTION("""COMPUTED_VALUE"""),93.57)</f>
        <v>93.57</v>
      </c>
      <c r="E202" s="141">
        <f ca="1">IFERROR(__xludf.DUMMYFUNCTION("""COMPUTED_VALUE"""),91.67)</f>
        <v>91.67</v>
      </c>
      <c r="F202" s="141">
        <f ca="1">IFERROR(__xludf.DUMMYFUNCTION("""COMPUTED_VALUE"""),92.78)</f>
        <v>92.78</v>
      </c>
      <c r="G202" s="143">
        <f ca="1">IFERROR(__xludf.DUMMYFUNCTION("""COMPUTED_VALUE"""),3845681)</f>
        <v>3845681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IFERROR(__xludf.DUMMYFUNCTION("""COMPUTED_VALUE"""),92.79)</f>
        <v>92.79</v>
      </c>
      <c r="D203" s="141">
        <f ca="1">IFERROR(__xludf.DUMMYFUNCTION("""COMPUTED_VALUE"""),93.28)</f>
        <v>93.28</v>
      </c>
      <c r="E203" s="141">
        <f ca="1">IFERROR(__xludf.DUMMYFUNCTION("""COMPUTED_VALUE"""),92.57)</f>
        <v>92.57</v>
      </c>
      <c r="F203" s="141">
        <f ca="1">IFERROR(__xludf.DUMMYFUNCTION("""COMPUTED_VALUE"""),92.98)</f>
        <v>92.98</v>
      </c>
      <c r="G203" s="143">
        <f ca="1">IFERROR(__xludf.DUMMYFUNCTION("""COMPUTED_VALUE"""),2568670)</f>
        <v>2568670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IFERROR(__xludf.DUMMYFUNCTION("""COMPUTED_VALUE"""),92.7)</f>
        <v>92.7</v>
      </c>
      <c r="D204" s="141">
        <f ca="1">IFERROR(__xludf.DUMMYFUNCTION("""COMPUTED_VALUE"""),93.38)</f>
        <v>93.38</v>
      </c>
      <c r="E204" s="141">
        <f ca="1">IFERROR(__xludf.DUMMYFUNCTION("""COMPUTED_VALUE"""),92.37)</f>
        <v>92.37</v>
      </c>
      <c r="F204" s="141">
        <f ca="1">IFERROR(__xludf.DUMMYFUNCTION("""COMPUTED_VALUE"""),93.33)</f>
        <v>93.33</v>
      </c>
      <c r="G204" s="143">
        <f ca="1">IFERROR(__xludf.DUMMYFUNCTION("""COMPUTED_VALUE"""),2035988)</f>
        <v>2035988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IFERROR(__xludf.DUMMYFUNCTION("""COMPUTED_VALUE"""),93.2)</f>
        <v>93.2</v>
      </c>
      <c r="D205" s="141">
        <f ca="1">IFERROR(__xludf.DUMMYFUNCTION("""COMPUTED_VALUE"""),94.32)</f>
        <v>94.32</v>
      </c>
      <c r="E205" s="141">
        <f ca="1">IFERROR(__xludf.DUMMYFUNCTION("""COMPUTED_VALUE"""),93.04)</f>
        <v>93.04</v>
      </c>
      <c r="F205" s="141">
        <f ca="1">IFERROR(__xludf.DUMMYFUNCTION("""COMPUTED_VALUE"""),94.22)</f>
        <v>94.22</v>
      </c>
      <c r="G205" s="143">
        <f ca="1">IFERROR(__xludf.DUMMYFUNCTION("""COMPUTED_VALUE"""),1921520)</f>
        <v>1921520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IFERROR(__xludf.DUMMYFUNCTION("""COMPUTED_VALUE"""),93.97)</f>
        <v>93.97</v>
      </c>
      <c r="D206" s="141">
        <f ca="1">IFERROR(__xludf.DUMMYFUNCTION("""COMPUTED_VALUE"""),94.34)</f>
        <v>94.34</v>
      </c>
      <c r="E206" s="141">
        <f ca="1">IFERROR(__xludf.DUMMYFUNCTION("""COMPUTED_VALUE"""),93.67)</f>
        <v>93.67</v>
      </c>
      <c r="F206" s="141">
        <f ca="1">IFERROR(__xludf.DUMMYFUNCTION("""COMPUTED_VALUE"""),94.29)</f>
        <v>94.29</v>
      </c>
      <c r="G206" s="143">
        <f ca="1">IFERROR(__xludf.DUMMYFUNCTION("""COMPUTED_VALUE"""),2759073)</f>
        <v>2759073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IFERROR(__xludf.DUMMYFUNCTION("""COMPUTED_VALUE"""),94.52)</f>
        <v>94.52</v>
      </c>
      <c r="D207" s="141">
        <f ca="1">IFERROR(__xludf.DUMMYFUNCTION("""COMPUTED_VALUE"""),95.22)</f>
        <v>95.22</v>
      </c>
      <c r="E207" s="141">
        <f ca="1">IFERROR(__xludf.DUMMYFUNCTION("""COMPUTED_VALUE"""),94.38)</f>
        <v>94.38</v>
      </c>
      <c r="F207" s="141">
        <f ca="1">IFERROR(__xludf.DUMMYFUNCTION("""COMPUTED_VALUE"""),95.16)</f>
        <v>95.16</v>
      </c>
      <c r="G207" s="143">
        <f ca="1">IFERROR(__xludf.DUMMYFUNCTION("""COMPUTED_VALUE"""),2005250)</f>
        <v>2005250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IFERROR(__xludf.DUMMYFUNCTION("""COMPUTED_VALUE"""),95.5)</f>
        <v>95.5</v>
      </c>
      <c r="D208" s="141">
        <f ca="1">IFERROR(__xludf.DUMMYFUNCTION("""COMPUTED_VALUE"""),96.81)</f>
        <v>96.81</v>
      </c>
      <c r="E208" s="141">
        <f ca="1">IFERROR(__xludf.DUMMYFUNCTION("""COMPUTED_VALUE"""),95.39)</f>
        <v>95.39</v>
      </c>
      <c r="F208" s="141">
        <f ca="1">IFERROR(__xludf.DUMMYFUNCTION("""COMPUTED_VALUE"""),96.68)</f>
        <v>96.68</v>
      </c>
      <c r="G208" s="143">
        <f ca="1">IFERROR(__xludf.DUMMYFUNCTION("""COMPUTED_VALUE"""),2584575)</f>
        <v>2584575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IFERROR(__xludf.DUMMYFUNCTION("""COMPUTED_VALUE"""),96.5)</f>
        <v>96.5</v>
      </c>
      <c r="D209" s="141">
        <f ca="1">IFERROR(__xludf.DUMMYFUNCTION("""COMPUTED_VALUE"""),97.03)</f>
        <v>97.03</v>
      </c>
      <c r="E209" s="141">
        <f ca="1">IFERROR(__xludf.DUMMYFUNCTION("""COMPUTED_VALUE"""),96.33)</f>
        <v>96.33</v>
      </c>
      <c r="F209" s="141">
        <f ca="1">IFERROR(__xludf.DUMMYFUNCTION("""COMPUTED_VALUE"""),97.03)</f>
        <v>97.03</v>
      </c>
      <c r="G209" s="143">
        <f ca="1">IFERROR(__xludf.DUMMYFUNCTION("""COMPUTED_VALUE"""),2246785)</f>
        <v>2246785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IFERROR(__xludf.DUMMYFUNCTION("""COMPUTED_VALUE"""),96.96)</f>
        <v>96.96</v>
      </c>
      <c r="D210" s="141">
        <f ca="1">IFERROR(__xludf.DUMMYFUNCTION("""COMPUTED_VALUE"""),97.06)</f>
        <v>97.06</v>
      </c>
      <c r="E210" s="141">
        <f ca="1">IFERROR(__xludf.DUMMYFUNCTION("""COMPUTED_VALUE"""),95.17)</f>
        <v>95.17</v>
      </c>
      <c r="F210" s="141">
        <f ca="1">IFERROR(__xludf.DUMMYFUNCTION("""COMPUTED_VALUE"""),95.31)</f>
        <v>95.31</v>
      </c>
      <c r="G210" s="143">
        <f ca="1">IFERROR(__xludf.DUMMYFUNCTION("""COMPUTED_VALUE"""),3236381)</f>
        <v>3236381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IFERROR(__xludf.DUMMYFUNCTION("""COMPUTED_VALUE"""),95.6)</f>
        <v>95.6</v>
      </c>
      <c r="D211" s="141">
        <f ca="1">IFERROR(__xludf.DUMMYFUNCTION("""COMPUTED_VALUE"""),96.01)</f>
        <v>96.01</v>
      </c>
      <c r="E211" s="141">
        <f ca="1">IFERROR(__xludf.DUMMYFUNCTION("""COMPUTED_VALUE"""),94.13)</f>
        <v>94.13</v>
      </c>
      <c r="F211" s="141">
        <f ca="1">IFERROR(__xludf.DUMMYFUNCTION("""COMPUTED_VALUE"""),94.52)</f>
        <v>94.52</v>
      </c>
      <c r="G211" s="143">
        <f ca="1">IFERROR(__xludf.DUMMYFUNCTION("""COMPUTED_VALUE"""),2708775)</f>
        <v>2708775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IFERROR(__xludf.DUMMYFUNCTION("""COMPUTED_VALUE"""),94.86)</f>
        <v>94.86</v>
      </c>
      <c r="D212" s="141">
        <f ca="1">IFERROR(__xludf.DUMMYFUNCTION("""COMPUTED_VALUE"""),95.56)</f>
        <v>95.56</v>
      </c>
      <c r="E212" s="141">
        <f ca="1">IFERROR(__xludf.DUMMYFUNCTION("""COMPUTED_VALUE"""),94.51)</f>
        <v>94.51</v>
      </c>
      <c r="F212" s="141">
        <f ca="1">IFERROR(__xludf.DUMMYFUNCTION("""COMPUTED_VALUE"""),95.49)</f>
        <v>95.49</v>
      </c>
      <c r="G212" s="143">
        <f ca="1">IFERROR(__xludf.DUMMYFUNCTION("""COMPUTED_VALUE"""),3437913)</f>
        <v>3437913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IFERROR(__xludf.DUMMYFUNCTION("""COMPUTED_VALUE"""),95.43)</f>
        <v>95.43</v>
      </c>
      <c r="D213" s="141">
        <f ca="1">IFERROR(__xludf.DUMMYFUNCTION("""COMPUTED_VALUE"""),96.02)</f>
        <v>96.02</v>
      </c>
      <c r="E213" s="141">
        <f ca="1">IFERROR(__xludf.DUMMYFUNCTION("""COMPUTED_VALUE"""),95.22)</f>
        <v>95.22</v>
      </c>
      <c r="F213" s="141">
        <f ca="1">IFERROR(__xludf.DUMMYFUNCTION("""COMPUTED_VALUE"""),95.3)</f>
        <v>95.3</v>
      </c>
      <c r="G213" s="143">
        <f ca="1">IFERROR(__xludf.DUMMYFUNCTION("""COMPUTED_VALUE"""),1994377)</f>
        <v>1994377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IFERROR(__xludf.DUMMYFUNCTION("""COMPUTED_VALUE"""),94.95)</f>
        <v>94.95</v>
      </c>
      <c r="D214" s="141">
        <f ca="1">IFERROR(__xludf.DUMMYFUNCTION("""COMPUTED_VALUE"""),95.7)</f>
        <v>95.7</v>
      </c>
      <c r="E214" s="141">
        <f ca="1">IFERROR(__xludf.DUMMYFUNCTION("""COMPUTED_VALUE"""),94.7)</f>
        <v>94.7</v>
      </c>
      <c r="F214" s="141">
        <f ca="1">IFERROR(__xludf.DUMMYFUNCTION("""COMPUTED_VALUE"""),94.78)</f>
        <v>94.78</v>
      </c>
      <c r="G214" s="143">
        <f ca="1">IFERROR(__xludf.DUMMYFUNCTION("""COMPUTED_VALUE"""),2521204)</f>
        <v>2521204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IFERROR(__xludf.DUMMYFUNCTION("""COMPUTED_VALUE"""),95.12)</f>
        <v>95.12</v>
      </c>
      <c r="D215" s="141">
        <f ca="1">IFERROR(__xludf.DUMMYFUNCTION("""COMPUTED_VALUE"""),95.74)</f>
        <v>95.74</v>
      </c>
      <c r="E215" s="141">
        <f ca="1">IFERROR(__xludf.DUMMYFUNCTION("""COMPUTED_VALUE"""),94.48)</f>
        <v>94.48</v>
      </c>
      <c r="F215" s="141">
        <f ca="1">IFERROR(__xludf.DUMMYFUNCTION("""COMPUTED_VALUE"""),95.65)</f>
        <v>95.65</v>
      </c>
      <c r="G215" s="143">
        <f ca="1">IFERROR(__xludf.DUMMYFUNCTION("""COMPUTED_VALUE"""),2867607)</f>
        <v>2867607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IFERROR(__xludf.DUMMYFUNCTION("""COMPUTED_VALUE"""),95.17)</f>
        <v>95.17</v>
      </c>
      <c r="D216" s="141">
        <f ca="1">IFERROR(__xludf.DUMMYFUNCTION("""COMPUTED_VALUE"""),95.8)</f>
        <v>95.8</v>
      </c>
      <c r="E216" s="141">
        <f ca="1">IFERROR(__xludf.DUMMYFUNCTION("""COMPUTED_VALUE"""),94.51)</f>
        <v>94.51</v>
      </c>
      <c r="F216" s="141">
        <f ca="1">IFERROR(__xludf.DUMMYFUNCTION("""COMPUTED_VALUE"""),94.9)</f>
        <v>94.9</v>
      </c>
      <c r="G216" s="143">
        <f ca="1">IFERROR(__xludf.DUMMYFUNCTION("""COMPUTED_VALUE"""),2903056)</f>
        <v>2903056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IFERROR(__xludf.DUMMYFUNCTION("""COMPUTED_VALUE"""),94.68)</f>
        <v>94.68</v>
      </c>
      <c r="D217" s="141">
        <f ca="1">IFERROR(__xludf.DUMMYFUNCTION("""COMPUTED_VALUE"""),96.41)</f>
        <v>96.41</v>
      </c>
      <c r="E217" s="141">
        <f ca="1">IFERROR(__xludf.DUMMYFUNCTION("""COMPUTED_VALUE"""),94.55)</f>
        <v>94.55</v>
      </c>
      <c r="F217" s="141">
        <f ca="1">IFERROR(__xludf.DUMMYFUNCTION("""COMPUTED_VALUE"""),96.33)</f>
        <v>96.33</v>
      </c>
      <c r="G217" s="143">
        <f ca="1">IFERROR(__xludf.DUMMYFUNCTION("""COMPUTED_VALUE"""),3730373)</f>
        <v>3730373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IFERROR(__xludf.DUMMYFUNCTION("""COMPUTED_VALUE"""),96.6)</f>
        <v>96.6</v>
      </c>
      <c r="D218" s="141">
        <f ca="1">IFERROR(__xludf.DUMMYFUNCTION("""COMPUTED_VALUE"""),96.71)</f>
        <v>96.71</v>
      </c>
      <c r="E218" s="141">
        <f ca="1">IFERROR(__xludf.DUMMYFUNCTION("""COMPUTED_VALUE"""),95.81)</f>
        <v>95.81</v>
      </c>
      <c r="F218" s="141">
        <f ca="1">IFERROR(__xludf.DUMMYFUNCTION("""COMPUTED_VALUE"""),96.06)</f>
        <v>96.06</v>
      </c>
      <c r="G218" s="143">
        <f ca="1">IFERROR(__xludf.DUMMYFUNCTION("""COMPUTED_VALUE"""),3248844)</f>
        <v>3248844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IFERROR(__xludf.DUMMYFUNCTION("""COMPUTED_VALUE"""),95.74)</f>
        <v>95.74</v>
      </c>
      <c r="D219" s="141">
        <f ca="1">IFERROR(__xludf.DUMMYFUNCTION("""COMPUTED_VALUE"""),96.29)</f>
        <v>96.29</v>
      </c>
      <c r="E219" s="141">
        <f ca="1">IFERROR(__xludf.DUMMYFUNCTION("""COMPUTED_VALUE"""),95.08)</f>
        <v>95.08</v>
      </c>
      <c r="F219" s="141">
        <f ca="1">IFERROR(__xludf.DUMMYFUNCTION("""COMPUTED_VALUE"""),95.46)</f>
        <v>95.46</v>
      </c>
      <c r="G219" s="143">
        <f ca="1">IFERROR(__xludf.DUMMYFUNCTION("""COMPUTED_VALUE"""),3595330)</f>
        <v>3595330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IFERROR(__xludf.DUMMYFUNCTION("""COMPUTED_VALUE"""),95.65)</f>
        <v>95.65</v>
      </c>
      <c r="D220" s="141">
        <f ca="1">IFERROR(__xludf.DUMMYFUNCTION("""COMPUTED_VALUE"""),95.96)</f>
        <v>95.96</v>
      </c>
      <c r="E220" s="141">
        <f ca="1">IFERROR(__xludf.DUMMYFUNCTION("""COMPUTED_VALUE"""),95.03)</f>
        <v>95.03</v>
      </c>
      <c r="F220" s="141">
        <f ca="1">IFERROR(__xludf.DUMMYFUNCTION("""COMPUTED_VALUE"""),95.76)</f>
        <v>95.76</v>
      </c>
      <c r="G220" s="143">
        <f ca="1">IFERROR(__xludf.DUMMYFUNCTION("""COMPUTED_VALUE"""),2536824)</f>
        <v>2536824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IFERROR(__xludf.DUMMYFUNCTION("""COMPUTED_VALUE"""),96.4)</f>
        <v>96.4</v>
      </c>
      <c r="D221" s="141">
        <f ca="1">IFERROR(__xludf.DUMMYFUNCTION("""COMPUTED_VALUE"""),97.37)</f>
        <v>97.37</v>
      </c>
      <c r="E221" s="141">
        <f ca="1">IFERROR(__xludf.DUMMYFUNCTION("""COMPUTED_VALUE"""),96.36)</f>
        <v>96.36</v>
      </c>
      <c r="F221" s="141">
        <f ca="1">IFERROR(__xludf.DUMMYFUNCTION("""COMPUTED_VALUE"""),97.09)</f>
        <v>97.09</v>
      </c>
      <c r="G221" s="143">
        <f ca="1">IFERROR(__xludf.DUMMYFUNCTION("""COMPUTED_VALUE"""),3239113)</f>
        <v>3239113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IFERROR(__xludf.DUMMYFUNCTION("""COMPUTED_VALUE"""),96.81)</f>
        <v>96.81</v>
      </c>
      <c r="D222" s="141">
        <f ca="1">IFERROR(__xludf.DUMMYFUNCTION("""COMPUTED_VALUE"""),97.14)</f>
        <v>97.14</v>
      </c>
      <c r="E222" s="141">
        <f ca="1">IFERROR(__xludf.DUMMYFUNCTION("""COMPUTED_VALUE"""),95.97)</f>
        <v>95.97</v>
      </c>
      <c r="F222" s="141">
        <f ca="1">IFERROR(__xludf.DUMMYFUNCTION("""COMPUTED_VALUE"""),96.39)</f>
        <v>96.39</v>
      </c>
      <c r="G222" s="143">
        <f ca="1">IFERROR(__xludf.DUMMYFUNCTION("""COMPUTED_VALUE"""),2740075)</f>
        <v>2740075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IFERROR(__xludf.DUMMYFUNCTION("""COMPUTED_VALUE"""),96.67)</f>
        <v>96.67</v>
      </c>
      <c r="D223" s="141">
        <f ca="1">IFERROR(__xludf.DUMMYFUNCTION("""COMPUTED_VALUE"""),97.19)</f>
        <v>97.19</v>
      </c>
      <c r="E223" s="141">
        <f ca="1">IFERROR(__xludf.DUMMYFUNCTION("""COMPUTED_VALUE"""),96.58)</f>
        <v>96.58</v>
      </c>
      <c r="F223" s="141">
        <f ca="1">IFERROR(__xludf.DUMMYFUNCTION("""COMPUTED_VALUE"""),96.62)</f>
        <v>96.62</v>
      </c>
      <c r="G223" s="143">
        <f ca="1">IFERROR(__xludf.DUMMYFUNCTION("""COMPUTED_VALUE"""),2186489)</f>
        <v>2186489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IFERROR(__xludf.DUMMYFUNCTION("""COMPUTED_VALUE"""),96.9)</f>
        <v>96.9</v>
      </c>
      <c r="D224" s="141">
        <f ca="1">IFERROR(__xludf.DUMMYFUNCTION("""COMPUTED_VALUE"""),97.32)</f>
        <v>97.32</v>
      </c>
      <c r="E224" s="141">
        <f ca="1">IFERROR(__xludf.DUMMYFUNCTION("""COMPUTED_VALUE"""),96.39)</f>
        <v>96.39</v>
      </c>
      <c r="F224" s="141">
        <f ca="1">IFERROR(__xludf.DUMMYFUNCTION("""COMPUTED_VALUE"""),96.69)</f>
        <v>96.69</v>
      </c>
      <c r="G224" s="143">
        <f ca="1">IFERROR(__xludf.DUMMYFUNCTION("""COMPUTED_VALUE"""),3868459)</f>
        <v>3868459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IFERROR(__xludf.DUMMYFUNCTION("""COMPUTED_VALUE"""),96.62)</f>
        <v>96.62</v>
      </c>
      <c r="D225" s="141">
        <f ca="1">IFERROR(__xludf.DUMMYFUNCTION("""COMPUTED_VALUE"""),96.89)</f>
        <v>96.89</v>
      </c>
      <c r="E225" s="141">
        <f ca="1">IFERROR(__xludf.DUMMYFUNCTION("""COMPUTED_VALUE"""),95.97)</f>
        <v>95.97</v>
      </c>
      <c r="F225" s="141">
        <f ca="1">IFERROR(__xludf.DUMMYFUNCTION("""COMPUTED_VALUE"""),96.69)</f>
        <v>96.69</v>
      </c>
      <c r="G225" s="143">
        <f ca="1">IFERROR(__xludf.DUMMYFUNCTION("""COMPUTED_VALUE"""),2325336)</f>
        <v>2325336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IFERROR(__xludf.DUMMYFUNCTION("""COMPUTED_VALUE"""),96.23)</f>
        <v>96.23</v>
      </c>
      <c r="D226" s="141">
        <f ca="1">IFERROR(__xludf.DUMMYFUNCTION("""COMPUTED_VALUE"""),96.28)</f>
        <v>96.28</v>
      </c>
      <c r="E226" s="141">
        <f ca="1">IFERROR(__xludf.DUMMYFUNCTION("""COMPUTED_VALUE"""),95.44)</f>
        <v>95.44</v>
      </c>
      <c r="F226" s="141">
        <f ca="1">IFERROR(__xludf.DUMMYFUNCTION("""COMPUTED_VALUE"""),95.89)</f>
        <v>95.89</v>
      </c>
      <c r="G226" s="143">
        <f ca="1">IFERROR(__xludf.DUMMYFUNCTION("""COMPUTED_VALUE"""),5047512)</f>
        <v>5047512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IFERROR(__xludf.DUMMYFUNCTION("""COMPUTED_VALUE"""),96.16)</f>
        <v>96.16</v>
      </c>
      <c r="D227" s="141">
        <f ca="1">IFERROR(__xludf.DUMMYFUNCTION("""COMPUTED_VALUE"""),96.34)</f>
        <v>96.34</v>
      </c>
      <c r="E227" s="141">
        <f ca="1">IFERROR(__xludf.DUMMYFUNCTION("""COMPUTED_VALUE"""),95.25)</f>
        <v>95.25</v>
      </c>
      <c r="F227" s="141">
        <f ca="1">IFERROR(__xludf.DUMMYFUNCTION("""COMPUTED_VALUE"""),95.32)</f>
        <v>95.32</v>
      </c>
      <c r="G227" s="143">
        <f ca="1">IFERROR(__xludf.DUMMYFUNCTION("""COMPUTED_VALUE"""),2521732)</f>
        <v>2521732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IFERROR(__xludf.DUMMYFUNCTION("""COMPUTED_VALUE"""),95.1)</f>
        <v>95.1</v>
      </c>
      <c r="D228" s="141">
        <f ca="1">IFERROR(__xludf.DUMMYFUNCTION("""COMPUTED_VALUE"""),95.12)</f>
        <v>95.12</v>
      </c>
      <c r="E228" s="141">
        <f ca="1">IFERROR(__xludf.DUMMYFUNCTION("""COMPUTED_VALUE"""),93.78)</f>
        <v>93.78</v>
      </c>
      <c r="F228" s="141">
        <f ca="1">IFERROR(__xludf.DUMMYFUNCTION("""COMPUTED_VALUE"""),93.91)</f>
        <v>93.91</v>
      </c>
      <c r="G228" s="143">
        <f ca="1">IFERROR(__xludf.DUMMYFUNCTION("""COMPUTED_VALUE"""),4543743)</f>
        <v>4543743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IFERROR(__xludf.DUMMYFUNCTION("""COMPUTED_VALUE"""),94.04)</f>
        <v>94.04</v>
      </c>
      <c r="D229" s="141">
        <f ca="1">IFERROR(__xludf.DUMMYFUNCTION("""COMPUTED_VALUE"""),95.19)</f>
        <v>95.19</v>
      </c>
      <c r="E229" s="141">
        <f ca="1">IFERROR(__xludf.DUMMYFUNCTION("""COMPUTED_VALUE"""),94.04)</f>
        <v>94.04</v>
      </c>
      <c r="F229" s="141">
        <f ca="1">IFERROR(__xludf.DUMMYFUNCTION("""COMPUTED_VALUE"""),95.01)</f>
        <v>95.01</v>
      </c>
      <c r="G229" s="143">
        <f ca="1">IFERROR(__xludf.DUMMYFUNCTION("""COMPUTED_VALUE"""),2766331)</f>
        <v>2766331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IFERROR(__xludf.DUMMYFUNCTION("""COMPUTED_VALUE"""),94.98)</f>
        <v>94.98</v>
      </c>
      <c r="D230" s="141">
        <f ca="1">IFERROR(__xludf.DUMMYFUNCTION("""COMPUTED_VALUE"""),95.53)</f>
        <v>95.53</v>
      </c>
      <c r="E230" s="141">
        <f ca="1">IFERROR(__xludf.DUMMYFUNCTION("""COMPUTED_VALUE"""),94.47)</f>
        <v>94.47</v>
      </c>
      <c r="F230" s="141">
        <f ca="1">IFERROR(__xludf.DUMMYFUNCTION("""COMPUTED_VALUE"""),95.28)</f>
        <v>95.28</v>
      </c>
      <c r="G230" s="143">
        <f ca="1">IFERROR(__xludf.DUMMYFUNCTION("""COMPUTED_VALUE"""),2092699)</f>
        <v>2092699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IFERROR(__xludf.DUMMYFUNCTION("""COMPUTED_VALUE"""),95.27)</f>
        <v>95.27</v>
      </c>
      <c r="D231" s="141">
        <f ca="1">IFERROR(__xludf.DUMMYFUNCTION("""COMPUTED_VALUE"""),96.5)</f>
        <v>96.5</v>
      </c>
      <c r="E231" s="141">
        <f ca="1">IFERROR(__xludf.DUMMYFUNCTION("""COMPUTED_VALUE"""),95.15)</f>
        <v>95.15</v>
      </c>
      <c r="F231" s="141">
        <f ca="1">IFERROR(__xludf.DUMMYFUNCTION("""COMPUTED_VALUE"""),96.49)</f>
        <v>96.49</v>
      </c>
      <c r="G231" s="143">
        <f ca="1">IFERROR(__xludf.DUMMYFUNCTION("""COMPUTED_VALUE"""),2654980)</f>
        <v>2654980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IFERROR(__xludf.DUMMYFUNCTION("""COMPUTED_VALUE"""),96.04)</f>
        <v>96.04</v>
      </c>
      <c r="D232" s="141">
        <f ca="1">IFERROR(__xludf.DUMMYFUNCTION("""COMPUTED_VALUE"""),96.76)</f>
        <v>96.76</v>
      </c>
      <c r="E232" s="141">
        <f ca="1">IFERROR(__xludf.DUMMYFUNCTION("""COMPUTED_VALUE"""),95.47)</f>
        <v>95.47</v>
      </c>
      <c r="F232" s="141">
        <f ca="1">IFERROR(__xludf.DUMMYFUNCTION("""COMPUTED_VALUE"""),96.67)</f>
        <v>96.67</v>
      </c>
      <c r="G232" s="143">
        <f ca="1">IFERROR(__xludf.DUMMYFUNCTION("""COMPUTED_VALUE"""),2494144)</f>
        <v>2494144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IFERROR(__xludf.DUMMYFUNCTION("""COMPUTED_VALUE"""),96.95)</f>
        <v>96.95</v>
      </c>
      <c r="D233" s="141">
        <f ca="1">IFERROR(__xludf.DUMMYFUNCTION("""COMPUTED_VALUE"""),97.23)</f>
        <v>97.23</v>
      </c>
      <c r="E233" s="141">
        <f ca="1">IFERROR(__xludf.DUMMYFUNCTION("""COMPUTED_VALUE"""),96.14)</f>
        <v>96.14</v>
      </c>
      <c r="F233" s="141">
        <f ca="1">IFERROR(__xludf.DUMMYFUNCTION("""COMPUTED_VALUE"""),96.77)</f>
        <v>96.77</v>
      </c>
      <c r="G233" s="143">
        <f ca="1">IFERROR(__xludf.DUMMYFUNCTION("""COMPUTED_VALUE"""),3549650)</f>
        <v>3549650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IFERROR(__xludf.DUMMYFUNCTION("""COMPUTED_VALUE"""),97.15)</f>
        <v>97.15</v>
      </c>
      <c r="D234" s="141">
        <f ca="1">IFERROR(__xludf.DUMMYFUNCTION("""COMPUTED_VALUE"""),97.54)</f>
        <v>97.54</v>
      </c>
      <c r="E234" s="141">
        <f ca="1">IFERROR(__xludf.DUMMYFUNCTION("""COMPUTED_VALUE"""),96.81)</f>
        <v>96.81</v>
      </c>
      <c r="F234" s="141">
        <f ca="1">IFERROR(__xludf.DUMMYFUNCTION("""COMPUTED_VALUE"""),97.22)</f>
        <v>97.22</v>
      </c>
      <c r="G234" s="143">
        <f ca="1">IFERROR(__xludf.DUMMYFUNCTION("""COMPUTED_VALUE"""),3193000)</f>
        <v>3193000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IFERROR(__xludf.DUMMYFUNCTION("""COMPUTED_VALUE"""),97.05)</f>
        <v>97.05</v>
      </c>
      <c r="D235" s="141">
        <f ca="1">IFERROR(__xludf.DUMMYFUNCTION("""COMPUTED_VALUE"""),97.71)</f>
        <v>97.71</v>
      </c>
      <c r="E235" s="141">
        <f ca="1">IFERROR(__xludf.DUMMYFUNCTION("""COMPUTED_VALUE"""),96.91)</f>
        <v>96.91</v>
      </c>
      <c r="F235" s="141">
        <f ca="1">IFERROR(__xludf.DUMMYFUNCTION("""COMPUTED_VALUE"""),96.92)</f>
        <v>96.92</v>
      </c>
      <c r="G235" s="143">
        <f ca="1">IFERROR(__xludf.DUMMYFUNCTION("""COMPUTED_VALUE"""),2509568)</f>
        <v>2509568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IFERROR(__xludf.DUMMYFUNCTION("""COMPUTED_VALUE"""),96.73)</f>
        <v>96.73</v>
      </c>
      <c r="D236" s="141">
        <f ca="1">IFERROR(__xludf.DUMMYFUNCTION("""COMPUTED_VALUE"""),97.24)</f>
        <v>97.24</v>
      </c>
      <c r="E236" s="141">
        <f ca="1">IFERROR(__xludf.DUMMYFUNCTION("""COMPUTED_VALUE"""),96.27)</f>
        <v>96.27</v>
      </c>
      <c r="F236" s="141">
        <f ca="1">IFERROR(__xludf.DUMMYFUNCTION("""COMPUTED_VALUE"""),96.55)</f>
        <v>96.55</v>
      </c>
      <c r="G236" s="143">
        <f ca="1">IFERROR(__xludf.DUMMYFUNCTION("""COMPUTED_VALUE"""),2898740)</f>
        <v>2898740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IFERROR(__xludf.DUMMYFUNCTION("""COMPUTED_VALUE"""),96.35)</f>
        <v>96.35</v>
      </c>
      <c r="D237" s="141">
        <f ca="1">IFERROR(__xludf.DUMMYFUNCTION("""COMPUTED_VALUE"""),96.41)</f>
        <v>96.41</v>
      </c>
      <c r="E237" s="141">
        <f ca="1">IFERROR(__xludf.DUMMYFUNCTION("""COMPUTED_VALUE"""),95.38)</f>
        <v>95.38</v>
      </c>
      <c r="F237" s="141">
        <f ca="1">IFERROR(__xludf.DUMMYFUNCTION("""COMPUTED_VALUE"""),95.7)</f>
        <v>95.7</v>
      </c>
      <c r="G237" s="143">
        <f ca="1">IFERROR(__xludf.DUMMYFUNCTION("""COMPUTED_VALUE"""),3342866)</f>
        <v>3342866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IFERROR(__xludf.DUMMYFUNCTION("""COMPUTED_VALUE"""),95.13)</f>
        <v>95.13</v>
      </c>
      <c r="D238" s="141">
        <f ca="1">IFERROR(__xludf.DUMMYFUNCTION("""COMPUTED_VALUE"""),95.25)</f>
        <v>95.25</v>
      </c>
      <c r="E238" s="141">
        <f ca="1">IFERROR(__xludf.DUMMYFUNCTION("""COMPUTED_VALUE"""),94.05)</f>
        <v>94.05</v>
      </c>
      <c r="F238" s="141">
        <f ca="1">IFERROR(__xludf.DUMMYFUNCTION("""COMPUTED_VALUE"""),94.09)</f>
        <v>94.09</v>
      </c>
      <c r="G238" s="143">
        <f ca="1">IFERROR(__xludf.DUMMYFUNCTION("""COMPUTED_VALUE"""),3953409)</f>
        <v>3953409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IFERROR(__xludf.DUMMYFUNCTION("""COMPUTED_VALUE"""),94.13)</f>
        <v>94.13</v>
      </c>
      <c r="D239" s="141">
        <f ca="1">IFERROR(__xludf.DUMMYFUNCTION("""COMPUTED_VALUE"""),94.62)</f>
        <v>94.62</v>
      </c>
      <c r="E239" s="141">
        <f ca="1">IFERROR(__xludf.DUMMYFUNCTION("""COMPUTED_VALUE"""),93.68)</f>
        <v>93.68</v>
      </c>
      <c r="F239" s="141">
        <f ca="1">IFERROR(__xludf.DUMMYFUNCTION("""COMPUTED_VALUE"""),94.52)</f>
        <v>94.52</v>
      </c>
      <c r="G239" s="143">
        <f ca="1">IFERROR(__xludf.DUMMYFUNCTION("""COMPUTED_VALUE"""),2143423)</f>
        <v>2143423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IFERROR(__xludf.DUMMYFUNCTION("""COMPUTED_VALUE"""),94.34)</f>
        <v>94.34</v>
      </c>
      <c r="D240" s="141">
        <f ca="1">IFERROR(__xludf.DUMMYFUNCTION("""COMPUTED_VALUE"""),95.33)</f>
        <v>95.33</v>
      </c>
      <c r="E240" s="141">
        <f ca="1">IFERROR(__xludf.DUMMYFUNCTION("""COMPUTED_VALUE"""),94.09)</f>
        <v>94.09</v>
      </c>
      <c r="F240" s="141">
        <f ca="1">IFERROR(__xludf.DUMMYFUNCTION("""COMPUTED_VALUE"""),94.41)</f>
        <v>94.41</v>
      </c>
      <c r="G240" s="143">
        <f ca="1">IFERROR(__xludf.DUMMYFUNCTION("""COMPUTED_VALUE"""),2620410)</f>
        <v>2620410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IFERROR(__xludf.DUMMYFUNCTION("""COMPUTED_VALUE"""),95.57)</f>
        <v>95.57</v>
      </c>
      <c r="D241" s="141">
        <f ca="1">IFERROR(__xludf.DUMMYFUNCTION("""COMPUTED_VALUE"""),96.15)</f>
        <v>96.15</v>
      </c>
      <c r="E241" s="141">
        <f ca="1">IFERROR(__xludf.DUMMYFUNCTION("""COMPUTED_VALUE"""),94.98)</f>
        <v>94.98</v>
      </c>
      <c r="F241" s="141">
        <f ca="1">IFERROR(__xludf.DUMMYFUNCTION("""COMPUTED_VALUE"""),96.1)</f>
        <v>96.1</v>
      </c>
      <c r="G241" s="143">
        <f ca="1">IFERROR(__xludf.DUMMYFUNCTION("""COMPUTED_VALUE"""),3786954)</f>
        <v>3786954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IFERROR(__xludf.DUMMYFUNCTION("""COMPUTED_VALUE"""),95.79)</f>
        <v>95.79</v>
      </c>
      <c r="D242" s="141">
        <f ca="1">IFERROR(__xludf.DUMMYFUNCTION("""COMPUTED_VALUE"""),97.52)</f>
        <v>97.52</v>
      </c>
      <c r="E242" s="141">
        <f ca="1">IFERROR(__xludf.DUMMYFUNCTION("""COMPUTED_VALUE"""),95.69)</f>
        <v>95.69</v>
      </c>
      <c r="F242" s="141">
        <f ca="1">IFERROR(__xludf.DUMMYFUNCTION("""COMPUTED_VALUE"""),96.79)</f>
        <v>96.79</v>
      </c>
      <c r="G242" s="143">
        <f ca="1">IFERROR(__xludf.DUMMYFUNCTION("""COMPUTED_VALUE"""),3650328)</f>
        <v>3650328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IFERROR(__xludf.DUMMYFUNCTION("""COMPUTED_VALUE"""),96.83)</f>
        <v>96.83</v>
      </c>
      <c r="D243" s="141">
        <f ca="1">IFERROR(__xludf.DUMMYFUNCTION("""COMPUTED_VALUE"""),97.11)</f>
        <v>97.11</v>
      </c>
      <c r="E243" s="141">
        <f ca="1">IFERROR(__xludf.DUMMYFUNCTION("""COMPUTED_VALUE"""),95.34)</f>
        <v>95.34</v>
      </c>
      <c r="F243" s="141">
        <f ca="1">IFERROR(__xludf.DUMMYFUNCTION("""COMPUTED_VALUE"""),95.47)</f>
        <v>95.47</v>
      </c>
      <c r="G243" s="143">
        <f ca="1">IFERROR(__xludf.DUMMYFUNCTION("""COMPUTED_VALUE"""),2774657)</f>
        <v>2774657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IFERROR(__xludf.DUMMYFUNCTION("""COMPUTED_VALUE"""),96.01)</f>
        <v>96.01</v>
      </c>
      <c r="D244" s="141">
        <f ca="1">IFERROR(__xludf.DUMMYFUNCTION("""COMPUTED_VALUE"""),98.11)</f>
        <v>98.11</v>
      </c>
      <c r="E244" s="141">
        <f ca="1">IFERROR(__xludf.DUMMYFUNCTION("""COMPUTED_VALUE"""),96.01)</f>
        <v>96.01</v>
      </c>
      <c r="F244" s="141">
        <f ca="1">IFERROR(__xludf.DUMMYFUNCTION("""COMPUTED_VALUE"""),97.67)</f>
        <v>97.67</v>
      </c>
      <c r="G244" s="143">
        <f ca="1">IFERROR(__xludf.DUMMYFUNCTION("""COMPUTED_VALUE"""),3447042)</f>
        <v>3447042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IFERROR(__xludf.DUMMYFUNCTION("""COMPUTED_VALUE"""),97.93)</f>
        <v>97.93</v>
      </c>
      <c r="D245" s="141">
        <f ca="1">IFERROR(__xludf.DUMMYFUNCTION("""COMPUTED_VALUE"""),98.41)</f>
        <v>98.41</v>
      </c>
      <c r="E245" s="141">
        <f ca="1">IFERROR(__xludf.DUMMYFUNCTION("""COMPUTED_VALUE"""),97.65)</f>
        <v>97.65</v>
      </c>
      <c r="F245" s="141">
        <f ca="1">IFERROR(__xludf.DUMMYFUNCTION("""COMPUTED_VALUE"""),97.68)</f>
        <v>97.68</v>
      </c>
      <c r="G245" s="143">
        <f ca="1">IFERROR(__xludf.DUMMYFUNCTION("""COMPUTED_VALUE"""),3787039)</f>
        <v>3787039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IFERROR(__xludf.DUMMYFUNCTION("""COMPUTED_VALUE"""),97.86)</f>
        <v>97.86</v>
      </c>
      <c r="D246" s="141">
        <f ca="1">IFERROR(__xludf.DUMMYFUNCTION("""COMPUTED_VALUE"""),98.3)</f>
        <v>98.3</v>
      </c>
      <c r="E246" s="141">
        <f ca="1">IFERROR(__xludf.DUMMYFUNCTION("""COMPUTED_VALUE"""),97.2)</f>
        <v>97.2</v>
      </c>
      <c r="F246" s="141">
        <f ca="1">IFERROR(__xludf.DUMMYFUNCTION("""COMPUTED_VALUE"""),97.61)</f>
        <v>97.61</v>
      </c>
      <c r="G246" s="143">
        <f ca="1">IFERROR(__xludf.DUMMYFUNCTION("""COMPUTED_VALUE"""),3896915)</f>
        <v>3896915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IFERROR(__xludf.DUMMYFUNCTION("""COMPUTED_VALUE"""),97.86)</f>
        <v>97.86</v>
      </c>
      <c r="D247" s="141">
        <f ca="1">IFERROR(__xludf.DUMMYFUNCTION("""COMPUTED_VALUE"""),98.86)</f>
        <v>98.86</v>
      </c>
      <c r="E247" s="141">
        <f ca="1">IFERROR(__xludf.DUMMYFUNCTION("""COMPUTED_VALUE"""),97.86)</f>
        <v>97.86</v>
      </c>
      <c r="F247" s="141">
        <f ca="1">IFERROR(__xludf.DUMMYFUNCTION("""COMPUTED_VALUE"""),98.51)</f>
        <v>98.51</v>
      </c>
      <c r="G247" s="143">
        <f ca="1">IFERROR(__xludf.DUMMYFUNCTION("""COMPUTED_VALUE"""),1985951)</f>
        <v>1985951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IFERROR(__xludf.DUMMYFUNCTION("""COMPUTED_VALUE"""),98.51)</f>
        <v>98.51</v>
      </c>
      <c r="D248" s="141">
        <f ca="1">IFERROR(__xludf.DUMMYFUNCTION("""COMPUTED_VALUE"""),99.15)</f>
        <v>99.15</v>
      </c>
      <c r="E248" s="141">
        <f ca="1">IFERROR(__xludf.DUMMYFUNCTION("""COMPUTED_VALUE"""),97.57)</f>
        <v>97.57</v>
      </c>
      <c r="F248" s="141">
        <f ca="1">IFERROR(__xludf.DUMMYFUNCTION("""COMPUTED_VALUE"""),97.82)</f>
        <v>97.82</v>
      </c>
      <c r="G248" s="143">
        <f ca="1">IFERROR(__xludf.DUMMYFUNCTION("""COMPUTED_VALUE"""),3067506)</f>
        <v>3067506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IFERROR(__xludf.DUMMYFUNCTION("""COMPUTED_VALUE"""),98.46)</f>
        <v>98.46</v>
      </c>
      <c r="D249" s="141">
        <f ca="1">IFERROR(__xludf.DUMMYFUNCTION("""COMPUTED_VALUE"""),98.76)</f>
        <v>98.76</v>
      </c>
      <c r="E249" s="141">
        <f ca="1">IFERROR(__xludf.DUMMYFUNCTION("""COMPUTED_VALUE"""),97.75)</f>
        <v>97.75</v>
      </c>
      <c r="F249" s="141">
        <f ca="1">IFERROR(__xludf.DUMMYFUNCTION("""COMPUTED_VALUE"""),98.06)</f>
        <v>98.06</v>
      </c>
      <c r="G249" s="143">
        <f ca="1">IFERROR(__xludf.DUMMYFUNCTION("""COMPUTED_VALUE"""),2620036)</f>
        <v>2620036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IFERROR(__xludf.DUMMYFUNCTION("""COMPUTED_VALUE"""),97.73)</f>
        <v>97.73</v>
      </c>
      <c r="D250" s="141">
        <f ca="1">IFERROR(__xludf.DUMMYFUNCTION("""COMPUTED_VALUE"""),97.98)</f>
        <v>97.98</v>
      </c>
      <c r="E250" s="141">
        <f ca="1">IFERROR(__xludf.DUMMYFUNCTION("""COMPUTED_VALUE"""),95.34)</f>
        <v>95.34</v>
      </c>
      <c r="F250" s="141">
        <f ca="1">IFERROR(__xludf.DUMMYFUNCTION("""COMPUTED_VALUE"""),95.61)</f>
        <v>95.61</v>
      </c>
      <c r="G250" s="143">
        <f ca="1">IFERROR(__xludf.DUMMYFUNCTION("""COMPUTED_VALUE"""),2859907)</f>
        <v>2859907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IFERROR(__xludf.DUMMYFUNCTION("""COMPUTED_VALUE"""),96.31)</f>
        <v>96.31</v>
      </c>
      <c r="D251" s="141">
        <f ca="1">IFERROR(__xludf.DUMMYFUNCTION("""COMPUTED_VALUE"""),96.5)</f>
        <v>96.5</v>
      </c>
      <c r="E251" s="141">
        <f ca="1">IFERROR(__xludf.DUMMYFUNCTION("""COMPUTED_VALUE"""),95.45)</f>
        <v>95.45</v>
      </c>
      <c r="F251" s="141">
        <f ca="1">IFERROR(__xludf.DUMMYFUNCTION("""COMPUTED_VALUE"""),95.56)</f>
        <v>95.56</v>
      </c>
      <c r="G251" s="143">
        <f ca="1">IFERROR(__xludf.DUMMYFUNCTION("""COMPUTED_VALUE"""),2666416)</f>
        <v>2666416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IFERROR(__xludf.DUMMYFUNCTION("""COMPUTED_VALUE"""),95.91)</f>
        <v>95.91</v>
      </c>
      <c r="D252" s="141">
        <f ca="1">IFERROR(__xludf.DUMMYFUNCTION("""COMPUTED_VALUE"""),97.02)</f>
        <v>97.02</v>
      </c>
      <c r="E252" s="141">
        <f ca="1">IFERROR(__xludf.DUMMYFUNCTION("""COMPUTED_VALUE"""),95.49)</f>
        <v>95.49</v>
      </c>
      <c r="F252" s="141">
        <f ca="1">IFERROR(__xludf.DUMMYFUNCTION("""COMPUTED_VALUE"""),96.59)</f>
        <v>96.59</v>
      </c>
      <c r="G252" s="143">
        <f ca="1">IFERROR(__xludf.DUMMYFUNCTION("""COMPUTED_VALUE"""),4479319)</f>
        <v>4479319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IFERROR(__xludf.DUMMYFUNCTION("""COMPUTED_VALUE"""),96.76)</f>
        <v>96.76</v>
      </c>
      <c r="D253" s="141">
        <f ca="1">IFERROR(__xludf.DUMMYFUNCTION("""COMPUTED_VALUE"""),98.08)</f>
        <v>98.08</v>
      </c>
      <c r="E253" s="141">
        <f ca="1">IFERROR(__xludf.DUMMYFUNCTION("""COMPUTED_VALUE"""),96.76)</f>
        <v>96.76</v>
      </c>
      <c r="F253" s="141">
        <f ca="1">IFERROR(__xludf.DUMMYFUNCTION("""COMPUTED_VALUE"""),97.86)</f>
        <v>97.86</v>
      </c>
      <c r="G253" s="143">
        <f ca="1">IFERROR(__xludf.DUMMYFUNCTION("""COMPUTED_VALUE"""),3173463)</f>
        <v>3173463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IFERROR(__xludf.DUMMYFUNCTION("""COMPUTED_VALUE"""),97.26)</f>
        <v>97.26</v>
      </c>
      <c r="D254" s="141">
        <f ca="1">IFERROR(__xludf.DUMMYFUNCTION("""COMPUTED_VALUE"""),97.56)</f>
        <v>97.56</v>
      </c>
      <c r="E254" s="141">
        <f ca="1">IFERROR(__xludf.DUMMYFUNCTION("""COMPUTED_VALUE"""),96.53)</f>
        <v>96.53</v>
      </c>
      <c r="F254" s="141">
        <f ca="1">IFERROR(__xludf.DUMMYFUNCTION("""COMPUTED_VALUE"""),97.01)</f>
        <v>97.01</v>
      </c>
      <c r="G254" s="143">
        <f ca="1">IFERROR(__xludf.DUMMYFUNCTION("""COMPUTED_VALUE"""),4831738)</f>
        <v>4831738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IFERROR(__xludf.DUMMYFUNCTION("""COMPUTED_VALUE"""),97.49)</f>
        <v>97.49</v>
      </c>
      <c r="D255" s="141">
        <f ca="1">IFERROR(__xludf.DUMMYFUNCTION("""COMPUTED_VALUE"""),97.6)</f>
        <v>97.6</v>
      </c>
      <c r="E255" s="141">
        <f ca="1">IFERROR(__xludf.DUMMYFUNCTION("""COMPUTED_VALUE"""),96.17)</f>
        <v>96.17</v>
      </c>
      <c r="F255" s="141">
        <f ca="1">IFERROR(__xludf.DUMMYFUNCTION("""COMPUTED_VALUE"""),97.19)</f>
        <v>97.19</v>
      </c>
      <c r="G255" s="143">
        <f ca="1">IFERROR(__xludf.DUMMYFUNCTION("""COMPUTED_VALUE"""),4014655)</f>
        <v>4014655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IFERROR(__xludf.DUMMYFUNCTION("""COMPUTED_VALUE"""),97.82)</f>
        <v>97.82</v>
      </c>
      <c r="D256" s="141">
        <f ca="1">IFERROR(__xludf.DUMMYFUNCTION("""COMPUTED_VALUE"""),98.74)</f>
        <v>98.74</v>
      </c>
      <c r="E256" s="141">
        <f ca="1">IFERROR(__xludf.DUMMYFUNCTION("""COMPUTED_VALUE"""),97.61)</f>
        <v>97.61</v>
      </c>
      <c r="F256" s="141">
        <f ca="1">IFERROR(__xludf.DUMMYFUNCTION("""COMPUTED_VALUE"""),98.67)</f>
        <v>98.67</v>
      </c>
      <c r="G256" s="143">
        <f ca="1">IFERROR(__xludf.DUMMYFUNCTION("""COMPUTED_VALUE"""),3884808)</f>
        <v>3884808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IFERROR(__xludf.DUMMYFUNCTION("""COMPUTED_VALUE"""),98.39)</f>
        <v>98.39</v>
      </c>
      <c r="D257" s="141">
        <f ca="1">IFERROR(__xludf.DUMMYFUNCTION("""COMPUTED_VALUE"""),98.56)</f>
        <v>98.56</v>
      </c>
      <c r="E257" s="141">
        <f ca="1">IFERROR(__xludf.DUMMYFUNCTION("""COMPUTED_VALUE"""),97.29)</f>
        <v>97.29</v>
      </c>
      <c r="F257" s="141">
        <f ca="1">IFERROR(__xludf.DUMMYFUNCTION("""COMPUTED_VALUE"""),98.15)</f>
        <v>98.15</v>
      </c>
      <c r="G257" s="143">
        <f ca="1">IFERROR(__xludf.DUMMYFUNCTION("""COMPUTED_VALUE"""),3136271)</f>
        <v>3136271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IFERROR(__xludf.DUMMYFUNCTION("""COMPUTED_VALUE"""),97.03)</f>
        <v>97.03</v>
      </c>
      <c r="D258" s="141">
        <f ca="1">IFERROR(__xludf.DUMMYFUNCTION("""COMPUTED_VALUE"""),97.4)</f>
        <v>97.4</v>
      </c>
      <c r="E258" s="141">
        <f ca="1">IFERROR(__xludf.DUMMYFUNCTION("""COMPUTED_VALUE"""),96.35)</f>
        <v>96.35</v>
      </c>
      <c r="F258" s="141">
        <f ca="1">IFERROR(__xludf.DUMMYFUNCTION("""COMPUTED_VALUE"""),96.43)</f>
        <v>96.43</v>
      </c>
      <c r="G258" s="143">
        <f ca="1">IFERROR(__xludf.DUMMYFUNCTION("""COMPUTED_VALUE"""),5313388)</f>
        <v>5313388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IFERROR(__xludf.DUMMYFUNCTION("""COMPUTED_VALUE"""),96.52)</f>
        <v>96.52</v>
      </c>
      <c r="D259" s="141">
        <f ca="1">IFERROR(__xludf.DUMMYFUNCTION("""COMPUTED_VALUE"""),97.58)</f>
        <v>97.58</v>
      </c>
      <c r="E259" s="141">
        <f ca="1">IFERROR(__xludf.DUMMYFUNCTION("""COMPUTED_VALUE"""),96.49)</f>
        <v>96.49</v>
      </c>
      <c r="F259" s="141">
        <f ca="1">IFERROR(__xludf.DUMMYFUNCTION("""COMPUTED_VALUE"""),96.82)</f>
        <v>96.82</v>
      </c>
      <c r="G259" s="143">
        <f ca="1">IFERROR(__xludf.DUMMYFUNCTION("""COMPUTED_VALUE"""),5198164)</f>
        <v>5198164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IFERROR(__xludf.DUMMYFUNCTION("""COMPUTED_VALUE"""),97.39)</f>
        <v>97.39</v>
      </c>
      <c r="D260" s="141">
        <f ca="1">IFERROR(__xludf.DUMMYFUNCTION("""COMPUTED_VALUE"""),98.06)</f>
        <v>98.06</v>
      </c>
      <c r="E260" s="141">
        <f ca="1">IFERROR(__xludf.DUMMYFUNCTION("""COMPUTED_VALUE"""),97.18)</f>
        <v>97.18</v>
      </c>
      <c r="F260" s="141">
        <f ca="1">IFERROR(__xludf.DUMMYFUNCTION("""COMPUTED_VALUE"""),98.02)</f>
        <v>98.02</v>
      </c>
      <c r="G260" s="143">
        <f ca="1">IFERROR(__xludf.DUMMYFUNCTION("""COMPUTED_VALUE"""),3560602)</f>
        <v>3560602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IFERROR(__xludf.DUMMYFUNCTION("""COMPUTED_VALUE"""),98.2)</f>
        <v>98.2</v>
      </c>
      <c r="D261" s="141">
        <f ca="1">IFERROR(__xludf.DUMMYFUNCTION("""COMPUTED_VALUE"""),98.22)</f>
        <v>98.22</v>
      </c>
      <c r="E261" s="141">
        <f ca="1">IFERROR(__xludf.DUMMYFUNCTION("""COMPUTED_VALUE"""),96.96)</f>
        <v>96.96</v>
      </c>
      <c r="F261" s="141">
        <f ca="1">IFERROR(__xludf.DUMMYFUNCTION("""COMPUTED_VALUE"""),97.24)</f>
        <v>97.24</v>
      </c>
      <c r="G261" s="143">
        <f ca="1">IFERROR(__xludf.DUMMYFUNCTION("""COMPUTED_VALUE"""),4493662)</f>
        <v>4493662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IFERROR(__xludf.DUMMYFUNCTION("""COMPUTED_VALUE"""),97.81)</f>
        <v>97.81</v>
      </c>
      <c r="D262" s="141">
        <f ca="1">IFERROR(__xludf.DUMMYFUNCTION("""COMPUTED_VALUE"""),99.05)</f>
        <v>99.05</v>
      </c>
      <c r="E262" s="141">
        <f ca="1">IFERROR(__xludf.DUMMYFUNCTION("""COMPUTED_VALUE"""),97.71)</f>
        <v>97.71</v>
      </c>
      <c r="F262" s="141">
        <f ca="1">IFERROR(__xludf.DUMMYFUNCTION("""COMPUTED_VALUE"""),98.4)</f>
        <v>98.4</v>
      </c>
      <c r="G262" s="143">
        <f ca="1">IFERROR(__xludf.DUMMYFUNCTION("""COMPUTED_VALUE"""),2809711)</f>
        <v>2809711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IFERROR(__xludf.DUMMYFUNCTION("""COMPUTED_VALUE"""),98.19)</f>
        <v>98.19</v>
      </c>
      <c r="D263" s="141">
        <f ca="1">IFERROR(__xludf.DUMMYFUNCTION("""COMPUTED_VALUE"""),98.27)</f>
        <v>98.27</v>
      </c>
      <c r="E263" s="141">
        <f ca="1">IFERROR(__xludf.DUMMYFUNCTION("""COMPUTED_VALUE"""),96.73)</f>
        <v>96.73</v>
      </c>
      <c r="F263" s="141">
        <f ca="1">IFERROR(__xludf.DUMMYFUNCTION("""COMPUTED_VALUE"""),96.8)</f>
        <v>96.8</v>
      </c>
      <c r="G263" s="143">
        <f ca="1">IFERROR(__xludf.DUMMYFUNCTION("""COMPUTED_VALUE"""),6050287)</f>
        <v>6050287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IFERROR(__xludf.DUMMYFUNCTION("""COMPUTED_VALUE"""),97.03)</f>
        <v>97.03</v>
      </c>
      <c r="D264" s="141">
        <f ca="1">IFERROR(__xludf.DUMMYFUNCTION("""COMPUTED_VALUE"""),97.63)</f>
        <v>97.63</v>
      </c>
      <c r="E264" s="141">
        <f ca="1">IFERROR(__xludf.DUMMYFUNCTION("""COMPUTED_VALUE"""),96.75)</f>
        <v>96.75</v>
      </c>
      <c r="F264" s="141">
        <f ca="1">IFERROR(__xludf.DUMMYFUNCTION("""COMPUTED_VALUE"""),97.09)</f>
        <v>97.09</v>
      </c>
      <c r="G264" s="143">
        <f ca="1">IFERROR(__xludf.DUMMYFUNCTION("""COMPUTED_VALUE"""),2470167)</f>
        <v>2470167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IFERROR(__xludf.DUMMYFUNCTION("""COMPUTED_VALUE"""),97.61)</f>
        <v>97.61</v>
      </c>
      <c r="D265" s="141">
        <f ca="1">IFERROR(__xludf.DUMMYFUNCTION("""COMPUTED_VALUE"""),97.76)</f>
        <v>97.76</v>
      </c>
      <c r="E265" s="141">
        <f ca="1">IFERROR(__xludf.DUMMYFUNCTION("""COMPUTED_VALUE"""),96.57)</f>
        <v>96.57</v>
      </c>
      <c r="F265" s="141">
        <f ca="1">IFERROR(__xludf.DUMMYFUNCTION("""COMPUTED_VALUE"""),97.32)</f>
        <v>97.32</v>
      </c>
      <c r="G265" s="143">
        <f ca="1">IFERROR(__xludf.DUMMYFUNCTION("""COMPUTED_VALUE"""),2539610)</f>
        <v>2539610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IFERROR(__xludf.DUMMYFUNCTION("""COMPUTED_VALUE"""),97.63)</f>
        <v>97.63</v>
      </c>
      <c r="D266" s="141">
        <f ca="1">IFERROR(__xludf.DUMMYFUNCTION("""COMPUTED_VALUE"""),98.37)</f>
        <v>98.37</v>
      </c>
      <c r="E266" s="141">
        <f ca="1">IFERROR(__xludf.DUMMYFUNCTION("""COMPUTED_VALUE"""),97.45)</f>
        <v>97.45</v>
      </c>
      <c r="F266" s="141">
        <f ca="1">IFERROR(__xludf.DUMMYFUNCTION("""COMPUTED_VALUE"""),97.83)</f>
        <v>97.83</v>
      </c>
      <c r="G266" s="143">
        <f ca="1">IFERROR(__xludf.DUMMYFUNCTION("""COMPUTED_VALUE"""),3473721)</f>
        <v>3473721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IFERROR(__xludf.DUMMYFUNCTION("""COMPUTED_VALUE"""),97.93)</f>
        <v>97.93</v>
      </c>
      <c r="D267" s="141">
        <f ca="1">IFERROR(__xludf.DUMMYFUNCTION("""COMPUTED_VALUE"""),98.21)</f>
        <v>98.21</v>
      </c>
      <c r="E267" s="141">
        <f ca="1">IFERROR(__xludf.DUMMYFUNCTION("""COMPUTED_VALUE"""),97.37)</f>
        <v>97.37</v>
      </c>
      <c r="F267" s="141">
        <f ca="1">IFERROR(__xludf.DUMMYFUNCTION("""COMPUTED_VALUE"""),97.57)</f>
        <v>97.57</v>
      </c>
      <c r="G267" s="143">
        <f ca="1">IFERROR(__xludf.DUMMYFUNCTION("""COMPUTED_VALUE"""),2307563)</f>
        <v>2307563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IFERROR(__xludf.DUMMYFUNCTION("""COMPUTED_VALUE"""),97.9)</f>
        <v>97.9</v>
      </c>
      <c r="D268" s="141">
        <f ca="1">IFERROR(__xludf.DUMMYFUNCTION("""COMPUTED_VALUE"""),98.94)</f>
        <v>98.94</v>
      </c>
      <c r="E268" s="141">
        <f ca="1">IFERROR(__xludf.DUMMYFUNCTION("""COMPUTED_VALUE"""),97.51)</f>
        <v>97.51</v>
      </c>
      <c r="F268" s="141">
        <f ca="1">IFERROR(__xludf.DUMMYFUNCTION("""COMPUTED_VALUE"""),97.86)</f>
        <v>97.86</v>
      </c>
      <c r="G268" s="143">
        <f ca="1">IFERROR(__xludf.DUMMYFUNCTION("""COMPUTED_VALUE"""),2325503)</f>
        <v>2325503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IFERROR(__xludf.DUMMYFUNCTION("""COMPUTED_VALUE"""),98.13)</f>
        <v>98.13</v>
      </c>
      <c r="D269" s="141">
        <f ca="1">IFERROR(__xludf.DUMMYFUNCTION("""COMPUTED_VALUE"""),100.13)</f>
        <v>100.13</v>
      </c>
      <c r="E269" s="141">
        <f ca="1">IFERROR(__xludf.DUMMYFUNCTION("""COMPUTED_VALUE"""),98.11)</f>
        <v>98.11</v>
      </c>
      <c r="F269" s="141">
        <f ca="1">IFERROR(__xludf.DUMMYFUNCTION("""COMPUTED_VALUE"""),100.07)</f>
        <v>100.07</v>
      </c>
      <c r="G269" s="143">
        <f ca="1">IFERROR(__xludf.DUMMYFUNCTION("""COMPUTED_VALUE"""),3254616)</f>
        <v>3254616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IFERROR(__xludf.DUMMYFUNCTION("""COMPUTED_VALUE"""),100.32)</f>
        <v>100.32</v>
      </c>
      <c r="D270" s="141">
        <f ca="1">IFERROR(__xludf.DUMMYFUNCTION("""COMPUTED_VALUE"""),101.08)</f>
        <v>101.08</v>
      </c>
      <c r="E270" s="141">
        <f ca="1">IFERROR(__xludf.DUMMYFUNCTION("""COMPUTED_VALUE"""),99.52)</f>
        <v>99.52</v>
      </c>
      <c r="F270" s="141">
        <f ca="1">IFERROR(__xludf.DUMMYFUNCTION("""COMPUTED_VALUE"""),100.02)</f>
        <v>100.02</v>
      </c>
      <c r="G270" s="143">
        <f ca="1">IFERROR(__xludf.DUMMYFUNCTION("""COMPUTED_VALUE"""),3011833)</f>
        <v>3011833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IFERROR(__xludf.DUMMYFUNCTION("""COMPUTED_VALUE"""),99.72)</f>
        <v>99.72</v>
      </c>
      <c r="D271" s="141">
        <f ca="1">IFERROR(__xludf.DUMMYFUNCTION("""COMPUTED_VALUE"""),100.19)</f>
        <v>100.19</v>
      </c>
      <c r="E271" s="141">
        <f ca="1">IFERROR(__xludf.DUMMYFUNCTION("""COMPUTED_VALUE"""),99.12)</f>
        <v>99.12</v>
      </c>
      <c r="F271" s="141">
        <f ca="1">IFERROR(__xludf.DUMMYFUNCTION("""COMPUTED_VALUE"""),99.48)</f>
        <v>99.48</v>
      </c>
      <c r="G271" s="143">
        <f ca="1">IFERROR(__xludf.DUMMYFUNCTION("""COMPUTED_VALUE"""),2178642)</f>
        <v>2178642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IFERROR(__xludf.DUMMYFUNCTION("""COMPUTED_VALUE"""),99.69)</f>
        <v>99.69</v>
      </c>
      <c r="D272" s="141">
        <f ca="1">IFERROR(__xludf.DUMMYFUNCTION("""COMPUTED_VALUE"""),99.81)</f>
        <v>99.81</v>
      </c>
      <c r="E272" s="141">
        <f ca="1">IFERROR(__xludf.DUMMYFUNCTION("""COMPUTED_VALUE"""),99.11)</f>
        <v>99.11</v>
      </c>
      <c r="F272" s="141">
        <f ca="1">IFERROR(__xludf.DUMMYFUNCTION("""COMPUTED_VALUE"""),99.52)</f>
        <v>99.52</v>
      </c>
      <c r="G272" s="143">
        <f ca="1">IFERROR(__xludf.DUMMYFUNCTION("""COMPUTED_VALUE"""),2882902)</f>
        <v>2882902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IFERROR(__xludf.DUMMYFUNCTION("""COMPUTED_VALUE"""),99.8)</f>
        <v>99.8</v>
      </c>
      <c r="D273" s="141">
        <f ca="1">IFERROR(__xludf.DUMMYFUNCTION("""COMPUTED_VALUE"""),99.88)</f>
        <v>99.88</v>
      </c>
      <c r="E273" s="141">
        <f ca="1">IFERROR(__xludf.DUMMYFUNCTION("""COMPUTED_VALUE"""),98.84)</f>
        <v>98.84</v>
      </c>
      <c r="F273" s="141">
        <f ca="1">IFERROR(__xludf.DUMMYFUNCTION("""COMPUTED_VALUE"""),99.02)</f>
        <v>99.02</v>
      </c>
      <c r="G273" s="143">
        <f ca="1">IFERROR(__xludf.DUMMYFUNCTION("""COMPUTED_VALUE"""),1881810)</f>
        <v>1881810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IFERROR(__xludf.DUMMYFUNCTION("""COMPUTED_VALUE"""),98.64)</f>
        <v>98.64</v>
      </c>
      <c r="D274" s="141">
        <f ca="1">IFERROR(__xludf.DUMMYFUNCTION("""COMPUTED_VALUE"""),99.4)</f>
        <v>99.4</v>
      </c>
      <c r="E274" s="141">
        <f ca="1">IFERROR(__xludf.DUMMYFUNCTION("""COMPUTED_VALUE"""),98.42)</f>
        <v>98.42</v>
      </c>
      <c r="F274" s="141">
        <f ca="1">IFERROR(__xludf.DUMMYFUNCTION("""COMPUTED_VALUE"""),98.69)</f>
        <v>98.69</v>
      </c>
      <c r="G274" s="143">
        <f ca="1">IFERROR(__xludf.DUMMYFUNCTION("""COMPUTED_VALUE"""),2043995)</f>
        <v>2043995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IFERROR(__xludf.DUMMYFUNCTION("""COMPUTED_VALUE"""),99.47)</f>
        <v>99.47</v>
      </c>
      <c r="D275" s="141">
        <f ca="1">IFERROR(__xludf.DUMMYFUNCTION("""COMPUTED_VALUE"""),101.16)</f>
        <v>101.16</v>
      </c>
      <c r="E275" s="141">
        <f ca="1">IFERROR(__xludf.DUMMYFUNCTION("""COMPUTED_VALUE"""),99.47)</f>
        <v>99.47</v>
      </c>
      <c r="F275" s="141">
        <f ca="1">IFERROR(__xludf.DUMMYFUNCTION("""COMPUTED_VALUE"""),100.81)</f>
        <v>100.81</v>
      </c>
      <c r="G275" s="143">
        <f ca="1">IFERROR(__xludf.DUMMYFUNCTION("""COMPUTED_VALUE"""),3205519)</f>
        <v>3205519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IFERROR(__xludf.DUMMYFUNCTION("""COMPUTED_VALUE"""),100.69)</f>
        <v>100.69</v>
      </c>
      <c r="D276" s="141">
        <f ca="1">IFERROR(__xludf.DUMMYFUNCTION("""COMPUTED_VALUE"""),101.14)</f>
        <v>101.14</v>
      </c>
      <c r="E276" s="141">
        <f ca="1">IFERROR(__xludf.DUMMYFUNCTION("""COMPUTED_VALUE"""),100.33)</f>
        <v>100.33</v>
      </c>
      <c r="F276" s="141">
        <f ca="1">IFERROR(__xludf.DUMMYFUNCTION("""COMPUTED_VALUE"""),100.54)</f>
        <v>100.54</v>
      </c>
      <c r="G276" s="143">
        <f ca="1">IFERROR(__xludf.DUMMYFUNCTION("""COMPUTED_VALUE"""),1915267)</f>
        <v>1915267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IFERROR(__xludf.DUMMYFUNCTION("""COMPUTED_VALUE"""),101.27)</f>
        <v>101.27</v>
      </c>
      <c r="D277" s="141">
        <f ca="1">IFERROR(__xludf.DUMMYFUNCTION("""COMPUTED_VALUE"""),101.8)</f>
        <v>101.8</v>
      </c>
      <c r="E277" s="141">
        <f ca="1">IFERROR(__xludf.DUMMYFUNCTION("""COMPUTED_VALUE"""),100.93)</f>
        <v>100.93</v>
      </c>
      <c r="F277" s="141">
        <f ca="1">IFERROR(__xludf.DUMMYFUNCTION("""COMPUTED_VALUE"""),100.95)</f>
        <v>100.95</v>
      </c>
      <c r="G277" s="143">
        <f ca="1">IFERROR(__xludf.DUMMYFUNCTION("""COMPUTED_VALUE"""),3293688)</f>
        <v>3293688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IFERROR(__xludf.DUMMYFUNCTION("""COMPUTED_VALUE"""),101)</f>
        <v>101</v>
      </c>
      <c r="D278" s="141">
        <f ca="1">IFERROR(__xludf.DUMMYFUNCTION("""COMPUTED_VALUE"""),101.31)</f>
        <v>101.31</v>
      </c>
      <c r="E278" s="141">
        <f ca="1">IFERROR(__xludf.DUMMYFUNCTION("""COMPUTED_VALUE"""),100.24)</f>
        <v>100.24</v>
      </c>
      <c r="F278" s="141">
        <f ca="1">IFERROR(__xludf.DUMMYFUNCTION("""COMPUTED_VALUE"""),100.66)</f>
        <v>100.66</v>
      </c>
      <c r="G278" s="143">
        <f ca="1">IFERROR(__xludf.DUMMYFUNCTION("""COMPUTED_VALUE"""),3797669)</f>
        <v>3797669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31" priority="5" operator="lessThan">
      <formula>0</formula>
    </cfRule>
    <cfRule type="cellIs" dxfId="130" priority="6" operator="greaterThan">
      <formula>0</formula>
    </cfRule>
  </conditionalFormatting>
  <conditionalFormatting sqref="F28:F1000">
    <cfRule type="expression" dxfId="129" priority="1">
      <formula>AND(F28=MAX(F$28:F$1000),F28&gt;0)</formula>
    </cfRule>
    <cfRule type="expression" dxfId="128" priority="2">
      <formula>AND(F28=MIN(F$28:F$1000),F28&gt;0)</formula>
    </cfRule>
  </conditionalFormatting>
  <conditionalFormatting sqref="F29:F1000">
    <cfRule type="expression" dxfId="127" priority="3">
      <formula>F29&gt;F27</formula>
    </cfRule>
    <cfRule type="expression" dxfId="126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400-000000000000}">
      <formula1>"1 Month,3 Months,6 Months,12 Months,36 Months"</formula1>
    </dataValidation>
  </dataValidations>
  <hyperlinks>
    <hyperlink ref="G2" r:id="rId1" xr:uid="{00000000-0004-0000-04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134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IFERROR(__xludf.DUMMYFUNCTION("GOOGLEFINANCE(B18,""name"")"),"Vanguard Tax Managed Fund FTSE Developed Markets ETF")</f>
        <v>Vanguard Tax Managed Fund FTSE Developed Markets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IFERROR(__xludf.DUMMYFUNCTION("GOOGLEFINANCE(B18,""price"")"),68.95)</f>
        <v>68.95</v>
      </c>
      <c r="C10" s="322"/>
      <c r="D10" s="100">
        <f ca="1">IFERROR(__xludf.DUMMYFUNCTION("IFERROR(GOOGLEFINANCE(B18,""change""),""-"")"),-0.65)</f>
        <v>-0.65</v>
      </c>
      <c r="E10" s="103">
        <f ca="1">IFERROR(__xludf.DUMMYFUNCTION("IFERROR(GOOGLEFINANCE(B18,""changepct"")/100,""-"")"),-0.0093)</f>
        <v>-9.2999999999999992E-3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 t="str">
        <f ca="1">IFERROR(__xludf.DUMMYFUNCTION("IFERROR(GOOGLEFINANCE(B18,""marketcap""),""-"")"),"-")</f>
        <v>-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136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vea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IFERROR(__xludf.DUMMYFUNCTION("""COMPUTED_VALUE"""),46052.6666666666)</f>
        <v>46052.666666666599</v>
      </c>
      <c r="C28" s="141">
        <f ca="1">IFERROR(__xludf.DUMMYFUNCTION("""COMPUTED_VALUE"""),66.77)</f>
        <v>66.77</v>
      </c>
      <c r="D28" s="141">
        <f ca="1">IFERROR(__xludf.DUMMYFUNCTION("""COMPUTED_VALUE"""),66.88)</f>
        <v>66.88</v>
      </c>
      <c r="E28" s="141">
        <f ca="1">IFERROR(__xludf.DUMMYFUNCTION("""COMPUTED_VALUE"""),65.93)</f>
        <v>65.930000000000007</v>
      </c>
      <c r="F28" s="141">
        <f ca="1">IFERROR(__xludf.DUMMYFUNCTION("""COMPUTED_VALUE"""),66.2)</f>
        <v>66.2</v>
      </c>
      <c r="G28" s="143">
        <f ca="1">IFERROR(__xludf.DUMMYFUNCTION("""COMPUTED_VALUE"""),28904488)</f>
        <v>28904488</v>
      </c>
      <c r="H28" s="26"/>
    </row>
    <row r="29" spans="1:8" ht="17.25" customHeight="1" x14ac:dyDescent="0.2">
      <c r="A29" s="26"/>
      <c r="B29" s="139">
        <f ca="1">IFERROR(__xludf.DUMMYFUNCTION("""COMPUTED_VALUE"""),46055.6666666666)</f>
        <v>46055.666666666599</v>
      </c>
      <c r="C29" s="141">
        <f ca="1">IFERROR(__xludf.DUMMYFUNCTION("""COMPUTED_VALUE"""),66.04)</f>
        <v>66.040000000000006</v>
      </c>
      <c r="D29" s="141">
        <f ca="1">IFERROR(__xludf.DUMMYFUNCTION("""COMPUTED_VALUE"""),66.51)</f>
        <v>66.510000000000005</v>
      </c>
      <c r="E29" s="141">
        <f ca="1">IFERROR(__xludf.DUMMYFUNCTION("""COMPUTED_VALUE"""),66.01)</f>
        <v>66.010000000000005</v>
      </c>
      <c r="F29" s="141">
        <f ca="1">IFERROR(__xludf.DUMMYFUNCTION("""COMPUTED_VALUE"""),66.46)</f>
        <v>66.459999999999994</v>
      </c>
      <c r="G29" s="143">
        <f ca="1">IFERROR(__xludf.DUMMYFUNCTION("""COMPUTED_VALUE"""),20450666)</f>
        <v>20450666</v>
      </c>
      <c r="H29" s="26"/>
    </row>
    <row r="30" spans="1:8" ht="17.25" customHeight="1" x14ac:dyDescent="0.2">
      <c r="A30" s="26"/>
      <c r="B30" s="139">
        <f ca="1">IFERROR(__xludf.DUMMYFUNCTION("""COMPUTED_VALUE"""),46056.6666666666)</f>
        <v>46056.666666666599</v>
      </c>
      <c r="C30" s="141">
        <f ca="1">IFERROR(__xludf.DUMMYFUNCTION("""COMPUTED_VALUE"""),66.59)</f>
        <v>66.59</v>
      </c>
      <c r="D30" s="141">
        <f ca="1">IFERROR(__xludf.DUMMYFUNCTION("""COMPUTED_VALUE"""),66.86)</f>
        <v>66.86</v>
      </c>
      <c r="E30" s="141">
        <f ca="1">IFERROR(__xludf.DUMMYFUNCTION("""COMPUTED_VALUE"""),66.14)</f>
        <v>66.14</v>
      </c>
      <c r="F30" s="141">
        <f ca="1">IFERROR(__xludf.DUMMYFUNCTION("""COMPUTED_VALUE"""),66.72)</f>
        <v>66.72</v>
      </c>
      <c r="G30" s="143">
        <f ca="1">IFERROR(__xludf.DUMMYFUNCTION("""COMPUTED_VALUE"""),24292460)</f>
        <v>24292460</v>
      </c>
      <c r="H30" s="26"/>
    </row>
    <row r="31" spans="1:8" ht="17.25" customHeight="1" x14ac:dyDescent="0.2">
      <c r="A31" s="26"/>
      <c r="B31" s="139">
        <f ca="1">IFERROR(__xludf.DUMMYFUNCTION("""COMPUTED_VALUE"""),46057.6666666666)</f>
        <v>46057.666666666599</v>
      </c>
      <c r="C31" s="141">
        <f ca="1">IFERROR(__xludf.DUMMYFUNCTION("""COMPUTED_VALUE"""),67.35)</f>
        <v>67.349999999999994</v>
      </c>
      <c r="D31" s="141">
        <f ca="1">IFERROR(__xludf.DUMMYFUNCTION("""COMPUTED_VALUE"""),67.47)</f>
        <v>67.47</v>
      </c>
      <c r="E31" s="141">
        <f ca="1">IFERROR(__xludf.DUMMYFUNCTION("""COMPUTED_VALUE"""),66.52)</f>
        <v>66.52</v>
      </c>
      <c r="F31" s="141">
        <f ca="1">IFERROR(__xludf.DUMMYFUNCTION("""COMPUTED_VALUE"""),66.8)</f>
        <v>66.8</v>
      </c>
      <c r="G31" s="143">
        <f ca="1">IFERROR(__xludf.DUMMYFUNCTION("""COMPUTED_VALUE"""),27908373)</f>
        <v>27908373</v>
      </c>
      <c r="H31" s="26"/>
    </row>
    <row r="32" spans="1:8" ht="17.25" customHeight="1" x14ac:dyDescent="0.2">
      <c r="A32" s="26"/>
      <c r="B32" s="139">
        <f ca="1">IFERROR(__xludf.DUMMYFUNCTION("""COMPUTED_VALUE"""),46058.6666666666)</f>
        <v>46058.666666666599</v>
      </c>
      <c r="C32" s="141">
        <f ca="1">IFERROR(__xludf.DUMMYFUNCTION("""COMPUTED_VALUE"""),66.06)</f>
        <v>66.06</v>
      </c>
      <c r="D32" s="141">
        <f ca="1">IFERROR(__xludf.DUMMYFUNCTION("""COMPUTED_VALUE"""),66.47)</f>
        <v>66.47</v>
      </c>
      <c r="E32" s="141">
        <f ca="1">IFERROR(__xludf.DUMMYFUNCTION("""COMPUTED_VALUE"""),65.8)</f>
        <v>65.8</v>
      </c>
      <c r="F32" s="141">
        <f ca="1">IFERROR(__xludf.DUMMYFUNCTION("""COMPUTED_VALUE"""),65.9)</f>
        <v>65.900000000000006</v>
      </c>
      <c r="G32" s="143">
        <f ca="1">IFERROR(__xludf.DUMMYFUNCTION("""COMPUTED_VALUE"""),23248934)</f>
        <v>23248934</v>
      </c>
      <c r="H32" s="26"/>
    </row>
    <row r="33" spans="1:8" ht="17.25" customHeight="1" x14ac:dyDescent="0.2">
      <c r="A33" s="26"/>
      <c r="B33" s="139">
        <f ca="1">IFERROR(__xludf.DUMMYFUNCTION("""COMPUTED_VALUE"""),46059.6666666666)</f>
        <v>46059.666666666599</v>
      </c>
      <c r="C33" s="141">
        <f ca="1">IFERROR(__xludf.DUMMYFUNCTION("""COMPUTED_VALUE"""),66.74)</f>
        <v>66.739999999999995</v>
      </c>
      <c r="D33" s="141">
        <f ca="1">IFERROR(__xludf.DUMMYFUNCTION("""COMPUTED_VALUE"""),67.39)</f>
        <v>67.39</v>
      </c>
      <c r="E33" s="141">
        <f ca="1">IFERROR(__xludf.DUMMYFUNCTION("""COMPUTED_VALUE"""),66.68)</f>
        <v>66.680000000000007</v>
      </c>
      <c r="F33" s="141">
        <f ca="1">IFERROR(__xludf.DUMMYFUNCTION("""COMPUTED_VALUE"""),67.37)</f>
        <v>67.37</v>
      </c>
      <c r="G33" s="143">
        <f ca="1">IFERROR(__xludf.DUMMYFUNCTION("""COMPUTED_VALUE"""),13752029)</f>
        <v>13752029</v>
      </c>
      <c r="H33" s="26"/>
    </row>
    <row r="34" spans="1:8" ht="17.25" customHeight="1" x14ac:dyDescent="0.2">
      <c r="A34" s="26"/>
      <c r="B34" s="139">
        <f ca="1">IFERROR(__xludf.DUMMYFUNCTION("""COMPUTED_VALUE"""),46062.6666666666)</f>
        <v>46062.666666666599</v>
      </c>
      <c r="C34" s="141">
        <f ca="1">IFERROR(__xludf.DUMMYFUNCTION("""COMPUTED_VALUE"""),67.73)</f>
        <v>67.73</v>
      </c>
      <c r="D34" s="141">
        <f ca="1">IFERROR(__xludf.DUMMYFUNCTION("""COMPUTED_VALUE"""),68.44)</f>
        <v>68.44</v>
      </c>
      <c r="E34" s="141">
        <f ca="1">IFERROR(__xludf.DUMMYFUNCTION("""COMPUTED_VALUE"""),67.69)</f>
        <v>67.69</v>
      </c>
      <c r="F34" s="141">
        <f ca="1">IFERROR(__xludf.DUMMYFUNCTION("""COMPUTED_VALUE"""),68.37)</f>
        <v>68.37</v>
      </c>
      <c r="G34" s="143">
        <f ca="1">IFERROR(__xludf.DUMMYFUNCTION("""COMPUTED_VALUE"""),21223429)</f>
        <v>21223429</v>
      </c>
      <c r="H34" s="26"/>
    </row>
    <row r="35" spans="1:8" ht="17.25" customHeight="1" x14ac:dyDescent="0.2">
      <c r="A35" s="26"/>
      <c r="B35" s="139">
        <f ca="1">IFERROR(__xludf.DUMMYFUNCTION("""COMPUTED_VALUE"""),46063.6666666666)</f>
        <v>46063.666666666599</v>
      </c>
      <c r="C35" s="141">
        <f ca="1">IFERROR(__xludf.DUMMYFUNCTION("""COMPUTED_VALUE"""),68.75)</f>
        <v>68.75</v>
      </c>
      <c r="D35" s="141">
        <f ca="1">IFERROR(__xludf.DUMMYFUNCTION("""COMPUTED_VALUE"""),68.77)</f>
        <v>68.77</v>
      </c>
      <c r="E35" s="141">
        <f ca="1">IFERROR(__xludf.DUMMYFUNCTION("""COMPUTED_VALUE"""),68.51)</f>
        <v>68.510000000000005</v>
      </c>
      <c r="F35" s="141">
        <f ca="1">IFERROR(__xludf.DUMMYFUNCTION("""COMPUTED_VALUE"""),68.54)</f>
        <v>68.540000000000006</v>
      </c>
      <c r="G35" s="143">
        <f ca="1">IFERROR(__xludf.DUMMYFUNCTION("""COMPUTED_VALUE"""),16400389)</f>
        <v>16400389</v>
      </c>
      <c r="H35" s="26"/>
    </row>
    <row r="36" spans="1:8" ht="17.25" customHeight="1" x14ac:dyDescent="0.2">
      <c r="A36" s="26"/>
      <c r="B36" s="139">
        <f ca="1">IFERROR(__xludf.DUMMYFUNCTION("""COMPUTED_VALUE"""),46064.6666666666)</f>
        <v>46064.666666666599</v>
      </c>
      <c r="C36" s="141">
        <f ca="1">IFERROR(__xludf.DUMMYFUNCTION("""COMPUTED_VALUE"""),69.06)</f>
        <v>69.06</v>
      </c>
      <c r="D36" s="141">
        <f ca="1">IFERROR(__xludf.DUMMYFUNCTION("""COMPUTED_VALUE"""),69.18)</f>
        <v>69.180000000000007</v>
      </c>
      <c r="E36" s="141">
        <f ca="1">IFERROR(__xludf.DUMMYFUNCTION("""COMPUTED_VALUE"""),68.46)</f>
        <v>68.459999999999994</v>
      </c>
      <c r="F36" s="141">
        <f ca="1">IFERROR(__xludf.DUMMYFUNCTION("""COMPUTED_VALUE"""),69.05)</f>
        <v>69.05</v>
      </c>
      <c r="G36" s="143">
        <f ca="1">IFERROR(__xludf.DUMMYFUNCTION("""COMPUTED_VALUE"""),18412351)</f>
        <v>18412351</v>
      </c>
      <c r="H36" s="26"/>
    </row>
    <row r="37" spans="1:8" ht="17.25" customHeight="1" x14ac:dyDescent="0.2">
      <c r="A37" s="26"/>
      <c r="B37" s="139">
        <f ca="1">IFERROR(__xludf.DUMMYFUNCTION("""COMPUTED_VALUE"""),46065.6666666666)</f>
        <v>46065.666666666599</v>
      </c>
      <c r="C37" s="141">
        <f ca="1">IFERROR(__xludf.DUMMYFUNCTION("""COMPUTED_VALUE"""),69.3)</f>
        <v>69.3</v>
      </c>
      <c r="D37" s="141">
        <f ca="1">IFERROR(__xludf.DUMMYFUNCTION("""COMPUTED_VALUE"""),69.4)</f>
        <v>69.400000000000006</v>
      </c>
      <c r="E37" s="141">
        <f ca="1">IFERROR(__xludf.DUMMYFUNCTION("""COMPUTED_VALUE"""),68.3)</f>
        <v>68.3</v>
      </c>
      <c r="F37" s="141">
        <f ca="1">IFERROR(__xludf.DUMMYFUNCTION("""COMPUTED_VALUE"""),68.5)</f>
        <v>68.5</v>
      </c>
      <c r="G37" s="143">
        <f ca="1">IFERROR(__xludf.DUMMYFUNCTION("""COMPUTED_VALUE"""),19882026)</f>
        <v>19882026</v>
      </c>
      <c r="H37" s="26"/>
    </row>
    <row r="38" spans="1:8" ht="17.25" customHeight="1" x14ac:dyDescent="0.2">
      <c r="A38" s="26"/>
      <c r="B38" s="139">
        <f ca="1">IFERROR(__xludf.DUMMYFUNCTION("""COMPUTED_VALUE"""),46066.6666666666)</f>
        <v>46066.666666666599</v>
      </c>
      <c r="C38" s="141">
        <f ca="1">IFERROR(__xludf.DUMMYFUNCTION("""COMPUTED_VALUE"""),68.41)</f>
        <v>68.41</v>
      </c>
      <c r="D38" s="141">
        <f ca="1">IFERROR(__xludf.DUMMYFUNCTION("""COMPUTED_VALUE"""),68.87)</f>
        <v>68.87</v>
      </c>
      <c r="E38" s="141">
        <f ca="1">IFERROR(__xludf.DUMMYFUNCTION("""COMPUTED_VALUE"""),68.02)</f>
        <v>68.02</v>
      </c>
      <c r="F38" s="141">
        <f ca="1">IFERROR(__xludf.DUMMYFUNCTION("""COMPUTED_VALUE"""),68.76)</f>
        <v>68.760000000000005</v>
      </c>
      <c r="G38" s="143">
        <f ca="1">IFERROR(__xludf.DUMMYFUNCTION("""COMPUTED_VALUE"""),23531712)</f>
        <v>23531712</v>
      </c>
      <c r="H38" s="26"/>
    </row>
    <row r="39" spans="1:8" ht="17.25" customHeight="1" x14ac:dyDescent="0.2">
      <c r="A39" s="26"/>
      <c r="B39" s="139">
        <f ca="1">IFERROR(__xludf.DUMMYFUNCTION("""COMPUTED_VALUE"""),46070.6666666666)</f>
        <v>46070.666666666599</v>
      </c>
      <c r="C39" s="141">
        <f ca="1">IFERROR(__xludf.DUMMYFUNCTION("""COMPUTED_VALUE"""),68.26)</f>
        <v>68.260000000000005</v>
      </c>
      <c r="D39" s="141">
        <f ca="1">IFERROR(__xludf.DUMMYFUNCTION("""COMPUTED_VALUE"""),68.75)</f>
        <v>68.75</v>
      </c>
      <c r="E39" s="141">
        <f ca="1">IFERROR(__xludf.DUMMYFUNCTION("""COMPUTED_VALUE"""),67.83)</f>
        <v>67.83</v>
      </c>
      <c r="F39" s="141">
        <f ca="1">IFERROR(__xludf.DUMMYFUNCTION("""COMPUTED_VALUE"""),68.58)</f>
        <v>68.58</v>
      </c>
      <c r="G39" s="143">
        <f ca="1">IFERROR(__xludf.DUMMYFUNCTION("""COMPUTED_VALUE"""),19239929)</f>
        <v>19239929</v>
      </c>
      <c r="H39" s="26"/>
    </row>
    <row r="40" spans="1:8" ht="17.25" customHeight="1" x14ac:dyDescent="0.2">
      <c r="A40" s="26"/>
      <c r="B40" s="139">
        <f ca="1">IFERROR(__xludf.DUMMYFUNCTION("""COMPUTED_VALUE"""),46071.6666666666)</f>
        <v>46071.666666666599</v>
      </c>
      <c r="C40" s="141">
        <f ca="1">IFERROR(__xludf.DUMMYFUNCTION("""COMPUTED_VALUE"""),68.75)</f>
        <v>68.75</v>
      </c>
      <c r="D40" s="141">
        <f ca="1">IFERROR(__xludf.DUMMYFUNCTION("""COMPUTED_VALUE"""),69.15)</f>
        <v>69.150000000000006</v>
      </c>
      <c r="E40" s="141">
        <f ca="1">IFERROR(__xludf.DUMMYFUNCTION("""COMPUTED_VALUE"""),68.64)</f>
        <v>68.64</v>
      </c>
      <c r="F40" s="141">
        <f ca="1">IFERROR(__xludf.DUMMYFUNCTION("""COMPUTED_VALUE"""),68.81)</f>
        <v>68.81</v>
      </c>
      <c r="G40" s="143">
        <f ca="1">IFERROR(__xludf.DUMMYFUNCTION("""COMPUTED_VALUE"""),11508384)</f>
        <v>11508384</v>
      </c>
      <c r="H40" s="26"/>
    </row>
    <row r="41" spans="1:8" ht="17.25" customHeight="1" x14ac:dyDescent="0.2">
      <c r="A41" s="26"/>
      <c r="B41" s="139">
        <f ca="1">IFERROR(__xludf.DUMMYFUNCTION("""COMPUTED_VALUE"""),46072.6666666666)</f>
        <v>46072.666666666599</v>
      </c>
      <c r="C41" s="141">
        <f ca="1">IFERROR(__xludf.DUMMYFUNCTION("""COMPUTED_VALUE"""),68.44)</f>
        <v>68.44</v>
      </c>
      <c r="D41" s="141">
        <f ca="1">IFERROR(__xludf.DUMMYFUNCTION("""COMPUTED_VALUE"""),68.8)</f>
        <v>68.8</v>
      </c>
      <c r="E41" s="141">
        <f ca="1">IFERROR(__xludf.DUMMYFUNCTION("""COMPUTED_VALUE"""),68.3)</f>
        <v>68.3</v>
      </c>
      <c r="F41" s="141">
        <f ca="1">IFERROR(__xludf.DUMMYFUNCTION("""COMPUTED_VALUE"""),68.79)</f>
        <v>68.790000000000006</v>
      </c>
      <c r="G41" s="143">
        <f ca="1">IFERROR(__xludf.DUMMYFUNCTION("""COMPUTED_VALUE"""),13326813)</f>
        <v>13326813</v>
      </c>
      <c r="H41" s="26"/>
    </row>
    <row r="42" spans="1:8" ht="17.25" customHeight="1" x14ac:dyDescent="0.2">
      <c r="A42" s="26"/>
      <c r="B42" s="139">
        <f ca="1">IFERROR(__xludf.DUMMYFUNCTION("""COMPUTED_VALUE"""),46073.6666666666)</f>
        <v>46073.666666666599</v>
      </c>
      <c r="C42" s="141">
        <f ca="1">IFERROR(__xludf.DUMMYFUNCTION("""COMPUTED_VALUE"""),68.79)</f>
        <v>68.790000000000006</v>
      </c>
      <c r="D42" s="141">
        <f ca="1">IFERROR(__xludf.DUMMYFUNCTION("""COMPUTED_VALUE"""),69.56)</f>
        <v>69.56</v>
      </c>
      <c r="E42" s="141">
        <f ca="1">IFERROR(__xludf.DUMMYFUNCTION("""COMPUTED_VALUE"""),68.77)</f>
        <v>68.77</v>
      </c>
      <c r="F42" s="141">
        <f ca="1">IFERROR(__xludf.DUMMYFUNCTION("""COMPUTED_VALUE"""),69.52)</f>
        <v>69.52</v>
      </c>
      <c r="G42" s="143">
        <f ca="1">IFERROR(__xludf.DUMMYFUNCTION("""COMPUTED_VALUE"""),15188793)</f>
        <v>15188793</v>
      </c>
      <c r="H42" s="26"/>
    </row>
    <row r="43" spans="1:8" ht="17.25" customHeight="1" x14ac:dyDescent="0.2">
      <c r="A43" s="26"/>
      <c r="B43" s="139">
        <f ca="1">IFERROR(__xludf.DUMMYFUNCTION("""COMPUTED_VALUE"""),46076.6666666666)</f>
        <v>46076.666666666599</v>
      </c>
      <c r="C43" s="141">
        <f ca="1">IFERROR(__xludf.DUMMYFUNCTION("""COMPUTED_VALUE"""),69.44)</f>
        <v>69.44</v>
      </c>
      <c r="D43" s="141">
        <f ca="1">IFERROR(__xludf.DUMMYFUNCTION("""COMPUTED_VALUE"""),69.66)</f>
        <v>69.66</v>
      </c>
      <c r="E43" s="141">
        <f ca="1">IFERROR(__xludf.DUMMYFUNCTION("""COMPUTED_VALUE"""),68.99)</f>
        <v>68.989999999999995</v>
      </c>
      <c r="F43" s="141">
        <f ca="1">IFERROR(__xludf.DUMMYFUNCTION("""COMPUTED_VALUE"""),69.18)</f>
        <v>69.180000000000007</v>
      </c>
      <c r="G43" s="143">
        <f ca="1">IFERROR(__xludf.DUMMYFUNCTION("""COMPUTED_VALUE"""),12016834)</f>
        <v>12016834</v>
      </c>
      <c r="H43" s="26"/>
    </row>
    <row r="44" spans="1:8" ht="17.25" customHeight="1" x14ac:dyDescent="0.2">
      <c r="A44" s="26"/>
      <c r="B44" s="139">
        <f ca="1">IFERROR(__xludf.DUMMYFUNCTION("""COMPUTED_VALUE"""),46077.6666666666)</f>
        <v>46077.666666666599</v>
      </c>
      <c r="C44" s="141">
        <f ca="1">IFERROR(__xludf.DUMMYFUNCTION("""COMPUTED_VALUE"""),69.15)</f>
        <v>69.150000000000006</v>
      </c>
      <c r="D44" s="141">
        <f ca="1">IFERROR(__xludf.DUMMYFUNCTION("""COMPUTED_VALUE"""),69.64)</f>
        <v>69.64</v>
      </c>
      <c r="E44" s="141">
        <f ca="1">IFERROR(__xludf.DUMMYFUNCTION("""COMPUTED_VALUE"""),69.06)</f>
        <v>69.06</v>
      </c>
      <c r="F44" s="141">
        <f ca="1">IFERROR(__xludf.DUMMYFUNCTION("""COMPUTED_VALUE"""),69.46)</f>
        <v>69.459999999999994</v>
      </c>
      <c r="G44" s="143">
        <f ca="1">IFERROR(__xludf.DUMMYFUNCTION("""COMPUTED_VALUE"""),19615538)</f>
        <v>19615538</v>
      </c>
      <c r="H44" s="26"/>
    </row>
    <row r="45" spans="1:8" ht="17.25" customHeight="1" x14ac:dyDescent="0.2">
      <c r="A45" s="26"/>
      <c r="B45" s="139">
        <f ca="1">IFERROR(__xludf.DUMMYFUNCTION("""COMPUTED_VALUE"""),46078.6666666666)</f>
        <v>46078.666666666599</v>
      </c>
      <c r="C45" s="141">
        <f ca="1">IFERROR(__xludf.DUMMYFUNCTION("""COMPUTED_VALUE"""),70)</f>
        <v>70</v>
      </c>
      <c r="D45" s="141">
        <f ca="1">IFERROR(__xludf.DUMMYFUNCTION("""COMPUTED_VALUE"""),70.33)</f>
        <v>70.33</v>
      </c>
      <c r="E45" s="141">
        <f ca="1">IFERROR(__xludf.DUMMYFUNCTION("""COMPUTED_VALUE"""),69.91)</f>
        <v>69.91</v>
      </c>
      <c r="F45" s="141">
        <f ca="1">IFERROR(__xludf.DUMMYFUNCTION("""COMPUTED_VALUE"""),70.26)</f>
        <v>70.260000000000005</v>
      </c>
      <c r="G45" s="143">
        <f ca="1">IFERROR(__xludf.DUMMYFUNCTION("""COMPUTED_VALUE"""),12212454)</f>
        <v>12212454</v>
      </c>
      <c r="H45" s="26"/>
    </row>
    <row r="46" spans="1:8" ht="17.25" customHeight="1" x14ac:dyDescent="0.2">
      <c r="A46" s="26"/>
      <c r="B46" s="139">
        <f ca="1">IFERROR(__xludf.DUMMYFUNCTION("""COMPUTED_VALUE"""),46079.6666666666)</f>
        <v>46079.666666666599</v>
      </c>
      <c r="C46" s="141">
        <f ca="1">IFERROR(__xludf.DUMMYFUNCTION("""COMPUTED_VALUE"""),70.36)</f>
        <v>70.36</v>
      </c>
      <c r="D46" s="141">
        <f ca="1">IFERROR(__xludf.DUMMYFUNCTION("""COMPUTED_VALUE"""),70.44)</f>
        <v>70.44</v>
      </c>
      <c r="E46" s="141">
        <f ca="1">IFERROR(__xludf.DUMMYFUNCTION("""COMPUTED_VALUE"""),69.72)</f>
        <v>69.72</v>
      </c>
      <c r="F46" s="141">
        <f ca="1">IFERROR(__xludf.DUMMYFUNCTION("""COMPUTED_VALUE"""),70.31)</f>
        <v>70.31</v>
      </c>
      <c r="G46" s="143">
        <f ca="1">IFERROR(__xludf.DUMMYFUNCTION("""COMPUTED_VALUE"""),19687912)</f>
        <v>19687912</v>
      </c>
      <c r="H46" s="26"/>
    </row>
    <row r="47" spans="1:8" ht="17.25" customHeight="1" x14ac:dyDescent="0.2">
      <c r="A47" s="26"/>
      <c r="B47" s="139">
        <f ca="1">IFERROR(__xludf.DUMMYFUNCTION("""COMPUTED_VALUE"""),46080.6666666666)</f>
        <v>46080.666666666599</v>
      </c>
      <c r="C47" s="141">
        <f ca="1">IFERROR(__xludf.DUMMYFUNCTION("""COMPUTED_VALUE"""),70.31)</f>
        <v>70.31</v>
      </c>
      <c r="D47" s="141">
        <f ca="1">IFERROR(__xludf.DUMMYFUNCTION("""COMPUTED_VALUE"""),70.55)</f>
        <v>70.55</v>
      </c>
      <c r="E47" s="141">
        <f ca="1">IFERROR(__xludf.DUMMYFUNCTION("""COMPUTED_VALUE"""),70.08)</f>
        <v>70.08</v>
      </c>
      <c r="F47" s="141">
        <f ca="1">IFERROR(__xludf.DUMMYFUNCTION("""COMPUTED_VALUE"""),70.24)</f>
        <v>70.239999999999995</v>
      </c>
      <c r="G47" s="143">
        <f ca="1">IFERROR(__xludf.DUMMYFUNCTION("""COMPUTED_VALUE"""),25743319)</f>
        <v>25743319</v>
      </c>
      <c r="H47" s="26"/>
    </row>
    <row r="48" spans="1:8" ht="17.25" customHeight="1" x14ac:dyDescent="0.2">
      <c r="A48" s="26"/>
      <c r="B48" s="139">
        <f ca="1">IFERROR(__xludf.DUMMYFUNCTION("""COMPUTED_VALUE"""),46083.6666666666)</f>
        <v>46083.666666666599</v>
      </c>
      <c r="C48" s="141">
        <f ca="1">IFERROR(__xludf.DUMMYFUNCTION("""COMPUTED_VALUE"""),68.57)</f>
        <v>68.569999999999993</v>
      </c>
      <c r="D48" s="141">
        <f ca="1">IFERROR(__xludf.DUMMYFUNCTION("""COMPUTED_VALUE"""),69.3)</f>
        <v>69.3</v>
      </c>
      <c r="E48" s="141">
        <f ca="1">IFERROR(__xludf.DUMMYFUNCTION("""COMPUTED_VALUE"""),68.49)</f>
        <v>68.489999999999995</v>
      </c>
      <c r="F48" s="141">
        <f ca="1">IFERROR(__xludf.DUMMYFUNCTION("""COMPUTED_VALUE"""),69.01)</f>
        <v>69.010000000000005</v>
      </c>
      <c r="G48" s="143">
        <f ca="1">IFERROR(__xludf.DUMMYFUNCTION("""COMPUTED_VALUE"""),18837760)</f>
        <v>18837760</v>
      </c>
      <c r="H48" s="26"/>
    </row>
    <row r="49" spans="1:8" ht="17.25" customHeight="1" x14ac:dyDescent="0.2">
      <c r="A49" s="26"/>
      <c r="B49" s="139">
        <f ca="1">IFERROR(__xludf.DUMMYFUNCTION("""COMPUTED_VALUE"""),46084.6666666666)</f>
        <v>46084.666666666599</v>
      </c>
      <c r="C49" s="141">
        <f ca="1">IFERROR(__xludf.DUMMYFUNCTION("""COMPUTED_VALUE"""),65.76)</f>
        <v>65.760000000000005</v>
      </c>
      <c r="D49" s="141">
        <f ca="1">IFERROR(__xludf.DUMMYFUNCTION("""COMPUTED_VALUE"""),66.93)</f>
        <v>66.930000000000007</v>
      </c>
      <c r="E49" s="141">
        <f ca="1">IFERROR(__xludf.DUMMYFUNCTION("""COMPUTED_VALUE"""),64.92)</f>
        <v>64.92</v>
      </c>
      <c r="F49" s="141">
        <f ca="1">IFERROR(__xludf.DUMMYFUNCTION("""COMPUTED_VALUE"""),66.61)</f>
        <v>66.61</v>
      </c>
      <c r="G49" s="143">
        <f ca="1">IFERROR(__xludf.DUMMYFUNCTION("""COMPUTED_VALUE"""),28271072)</f>
        <v>28271072</v>
      </c>
      <c r="H49" s="26"/>
    </row>
    <row r="50" spans="1:8" ht="17.25" customHeight="1" x14ac:dyDescent="0.2">
      <c r="A50" s="26"/>
      <c r="B50" s="139">
        <f ca="1">IFERROR(__xludf.DUMMYFUNCTION("""COMPUTED_VALUE"""),46085.6666666666)</f>
        <v>46085.666666666599</v>
      </c>
      <c r="C50" s="141">
        <f ca="1">IFERROR(__xludf.DUMMYFUNCTION("""COMPUTED_VALUE"""),66.8)</f>
        <v>66.8</v>
      </c>
      <c r="D50" s="141">
        <f ca="1">IFERROR(__xludf.DUMMYFUNCTION("""COMPUTED_VALUE"""),67.53)</f>
        <v>67.53</v>
      </c>
      <c r="E50" s="141">
        <f ca="1">IFERROR(__xludf.DUMMYFUNCTION("""COMPUTED_VALUE"""),66.59)</f>
        <v>66.59</v>
      </c>
      <c r="F50" s="141">
        <f ca="1">IFERROR(__xludf.DUMMYFUNCTION("""COMPUTED_VALUE"""),67.38)</f>
        <v>67.38</v>
      </c>
      <c r="G50" s="143">
        <f ca="1">IFERROR(__xludf.DUMMYFUNCTION("""COMPUTED_VALUE"""),33666187)</f>
        <v>33666187</v>
      </c>
      <c r="H50" s="26"/>
    </row>
    <row r="51" spans="1:8" ht="17.25" customHeight="1" x14ac:dyDescent="0.2">
      <c r="A51" s="26"/>
      <c r="B51" s="139">
        <f ca="1">IFERROR(__xludf.DUMMYFUNCTION("""COMPUTED_VALUE"""),46086.6666666666)</f>
        <v>46086.666666666599</v>
      </c>
      <c r="C51" s="141">
        <f ca="1">IFERROR(__xludf.DUMMYFUNCTION("""COMPUTED_VALUE"""),66.33)</f>
        <v>66.33</v>
      </c>
      <c r="D51" s="141">
        <f ca="1">IFERROR(__xludf.DUMMYFUNCTION("""COMPUTED_VALUE"""),66.68)</f>
        <v>66.680000000000007</v>
      </c>
      <c r="E51" s="141">
        <f ca="1">IFERROR(__xludf.DUMMYFUNCTION("""COMPUTED_VALUE"""),65.11)</f>
        <v>65.11</v>
      </c>
      <c r="F51" s="141">
        <f ca="1">IFERROR(__xludf.DUMMYFUNCTION("""COMPUTED_VALUE"""),65.79)</f>
        <v>65.790000000000006</v>
      </c>
      <c r="G51" s="143">
        <f ca="1">IFERROR(__xludf.DUMMYFUNCTION("""COMPUTED_VALUE"""),22354250)</f>
        <v>22354250</v>
      </c>
      <c r="H51" s="26"/>
    </row>
    <row r="52" spans="1:8" ht="17.25" customHeight="1" x14ac:dyDescent="0.2">
      <c r="A52" s="26"/>
      <c r="B52" s="139">
        <f ca="1">IFERROR(__xludf.DUMMYFUNCTION("""COMPUTED_VALUE"""),46087.6666666666)</f>
        <v>46087.666666666599</v>
      </c>
      <c r="C52" s="141">
        <f ca="1">IFERROR(__xludf.DUMMYFUNCTION("""COMPUTED_VALUE"""),64.64)</f>
        <v>64.64</v>
      </c>
      <c r="D52" s="141">
        <f ca="1">IFERROR(__xludf.DUMMYFUNCTION("""COMPUTED_VALUE"""),65.6)</f>
        <v>65.599999999999994</v>
      </c>
      <c r="E52" s="141">
        <f ca="1">IFERROR(__xludf.DUMMYFUNCTION("""COMPUTED_VALUE"""),64.41)</f>
        <v>64.41</v>
      </c>
      <c r="F52" s="141">
        <f ca="1">IFERROR(__xludf.DUMMYFUNCTION("""COMPUTED_VALUE"""),65.28)</f>
        <v>65.28</v>
      </c>
      <c r="G52" s="143">
        <f ca="1">IFERROR(__xludf.DUMMYFUNCTION("""COMPUTED_VALUE"""),18422052)</f>
        <v>18422052</v>
      </c>
      <c r="H52" s="26"/>
    </row>
    <row r="53" spans="1:8" ht="17.25" customHeight="1" x14ac:dyDescent="0.2">
      <c r="A53" s="26"/>
      <c r="B53" s="139">
        <f ca="1">IFERROR(__xludf.DUMMYFUNCTION("""COMPUTED_VALUE"""),46090.6666666666)</f>
        <v>46090.666666666599</v>
      </c>
      <c r="C53" s="141">
        <f ca="1">IFERROR(__xludf.DUMMYFUNCTION("""COMPUTED_VALUE"""),64.28)</f>
        <v>64.28</v>
      </c>
      <c r="D53" s="141">
        <f ca="1">IFERROR(__xludf.DUMMYFUNCTION("""COMPUTED_VALUE"""),66.13)</f>
        <v>66.13</v>
      </c>
      <c r="E53" s="141">
        <f ca="1">IFERROR(__xludf.DUMMYFUNCTION("""COMPUTED_VALUE"""),63.7)</f>
        <v>63.7</v>
      </c>
      <c r="F53" s="141">
        <f ca="1">IFERROR(__xludf.DUMMYFUNCTION("""COMPUTED_VALUE"""),65.91)</f>
        <v>65.91</v>
      </c>
      <c r="G53" s="143">
        <f ca="1">IFERROR(__xludf.DUMMYFUNCTION("""COMPUTED_VALUE"""),36737538)</f>
        <v>36737538</v>
      </c>
      <c r="H53" s="26"/>
    </row>
    <row r="54" spans="1:8" ht="17.25" customHeight="1" x14ac:dyDescent="0.2">
      <c r="A54" s="26"/>
      <c r="B54" s="139">
        <f ca="1">IFERROR(__xludf.DUMMYFUNCTION("""COMPUTED_VALUE"""),46091.6666666666)</f>
        <v>46091.666666666599</v>
      </c>
      <c r="C54" s="141">
        <f ca="1">IFERROR(__xludf.DUMMYFUNCTION("""COMPUTED_VALUE"""),66.32)</f>
        <v>66.319999999999993</v>
      </c>
      <c r="D54" s="141">
        <f ca="1">IFERROR(__xludf.DUMMYFUNCTION("""COMPUTED_VALUE"""),67.16)</f>
        <v>67.16</v>
      </c>
      <c r="E54" s="141">
        <f ca="1">IFERROR(__xludf.DUMMYFUNCTION("""COMPUTED_VALUE"""),65.88)</f>
        <v>65.88</v>
      </c>
      <c r="F54" s="141">
        <f ca="1">IFERROR(__xludf.DUMMYFUNCTION("""COMPUTED_VALUE"""),65.97)</f>
        <v>65.97</v>
      </c>
      <c r="G54" s="143">
        <f ca="1">IFERROR(__xludf.DUMMYFUNCTION("""COMPUTED_VALUE"""),24936428)</f>
        <v>24936428</v>
      </c>
      <c r="H54" s="26"/>
    </row>
    <row r="55" spans="1:8" ht="17.25" customHeight="1" x14ac:dyDescent="0.2">
      <c r="A55" s="26"/>
      <c r="B55" s="139">
        <f ca="1">IFERROR(__xludf.DUMMYFUNCTION("""COMPUTED_VALUE"""),46092.6666666666)</f>
        <v>46092.666666666599</v>
      </c>
      <c r="C55" s="141">
        <f ca="1">IFERROR(__xludf.DUMMYFUNCTION("""COMPUTED_VALUE"""),65.66)</f>
        <v>65.66</v>
      </c>
      <c r="D55" s="141">
        <f ca="1">IFERROR(__xludf.DUMMYFUNCTION("""COMPUTED_VALUE"""),66.13)</f>
        <v>66.13</v>
      </c>
      <c r="E55" s="141">
        <f ca="1">IFERROR(__xludf.DUMMYFUNCTION("""COMPUTED_VALUE"""),65.36)</f>
        <v>65.36</v>
      </c>
      <c r="F55" s="141">
        <f ca="1">IFERROR(__xludf.DUMMYFUNCTION("""COMPUTED_VALUE"""),65.86)</f>
        <v>65.86</v>
      </c>
      <c r="G55" s="143">
        <f ca="1">IFERROR(__xludf.DUMMYFUNCTION("""COMPUTED_VALUE"""),15592800)</f>
        <v>15592800</v>
      </c>
      <c r="H55" s="26"/>
    </row>
    <row r="56" spans="1:8" ht="17.25" customHeight="1" x14ac:dyDescent="0.2">
      <c r="A56" s="26"/>
      <c r="B56" s="139">
        <f ca="1">IFERROR(__xludf.DUMMYFUNCTION("""COMPUTED_VALUE"""),46093.6666666666)</f>
        <v>46093.666666666599</v>
      </c>
      <c r="C56" s="141">
        <f ca="1">IFERROR(__xludf.DUMMYFUNCTION("""COMPUTED_VALUE"""),65.15)</f>
        <v>65.150000000000006</v>
      </c>
      <c r="D56" s="141">
        <f ca="1">IFERROR(__xludf.DUMMYFUNCTION("""COMPUTED_VALUE"""),65.2)</f>
        <v>65.2</v>
      </c>
      <c r="E56" s="141">
        <f ca="1">IFERROR(__xludf.DUMMYFUNCTION("""COMPUTED_VALUE"""),64.32)</f>
        <v>64.319999999999993</v>
      </c>
      <c r="F56" s="141">
        <f ca="1">IFERROR(__xludf.DUMMYFUNCTION("""COMPUTED_VALUE"""),64.57)</f>
        <v>64.569999999999993</v>
      </c>
      <c r="G56" s="143">
        <f ca="1">IFERROR(__xludf.DUMMYFUNCTION("""COMPUTED_VALUE"""),22399362)</f>
        <v>22399362</v>
      </c>
      <c r="H56" s="26"/>
    </row>
    <row r="57" spans="1:8" ht="17.25" customHeight="1" x14ac:dyDescent="0.2">
      <c r="A57" s="26"/>
      <c r="B57" s="139">
        <f ca="1">IFERROR(__xludf.DUMMYFUNCTION("""COMPUTED_VALUE"""),46094.6666666666)</f>
        <v>46094.666666666599</v>
      </c>
      <c r="C57" s="141">
        <f ca="1">IFERROR(__xludf.DUMMYFUNCTION("""COMPUTED_VALUE"""),64.83)</f>
        <v>64.83</v>
      </c>
      <c r="D57" s="141">
        <f ca="1">IFERROR(__xludf.DUMMYFUNCTION("""COMPUTED_VALUE"""),65.11)</f>
        <v>65.11</v>
      </c>
      <c r="E57" s="141">
        <f ca="1">IFERROR(__xludf.DUMMYFUNCTION("""COMPUTED_VALUE"""),63.72)</f>
        <v>63.72</v>
      </c>
      <c r="F57" s="141">
        <f ca="1">IFERROR(__xludf.DUMMYFUNCTION("""COMPUTED_VALUE"""),63.82)</f>
        <v>63.82</v>
      </c>
      <c r="G57" s="143">
        <f ca="1">IFERROR(__xludf.DUMMYFUNCTION("""COMPUTED_VALUE"""),14972812)</f>
        <v>14972812</v>
      </c>
      <c r="H57" s="26"/>
    </row>
    <row r="58" spans="1:8" ht="17.25" customHeight="1" x14ac:dyDescent="0.2">
      <c r="A58" s="26"/>
      <c r="B58" s="139">
        <f ca="1">IFERROR(__xludf.DUMMYFUNCTION("""COMPUTED_VALUE"""),46097.6666666666)</f>
        <v>46097.666666666599</v>
      </c>
      <c r="C58" s="141">
        <f ca="1">IFERROR(__xludf.DUMMYFUNCTION("""COMPUTED_VALUE"""),64.82)</f>
        <v>64.819999999999993</v>
      </c>
      <c r="D58" s="141">
        <f ca="1">IFERROR(__xludf.DUMMYFUNCTION("""COMPUTED_VALUE"""),65.38)</f>
        <v>65.38</v>
      </c>
      <c r="E58" s="141">
        <f ca="1">IFERROR(__xludf.DUMMYFUNCTION("""COMPUTED_VALUE"""),64.71)</f>
        <v>64.709999999999994</v>
      </c>
      <c r="F58" s="141">
        <f ca="1">IFERROR(__xludf.DUMMYFUNCTION("""COMPUTED_VALUE"""),65.19)</f>
        <v>65.19</v>
      </c>
      <c r="G58" s="143">
        <f ca="1">IFERROR(__xludf.DUMMYFUNCTION("""COMPUTED_VALUE"""),16653421)</f>
        <v>16653421</v>
      </c>
      <c r="H58" s="26"/>
    </row>
    <row r="59" spans="1:8" ht="17.25" customHeight="1" x14ac:dyDescent="0.2">
      <c r="A59" s="26"/>
      <c r="B59" s="139">
        <f ca="1">IFERROR(__xludf.DUMMYFUNCTION("""COMPUTED_VALUE"""),46098.6666666666)</f>
        <v>46098.666666666599</v>
      </c>
      <c r="C59" s="141">
        <f ca="1">IFERROR(__xludf.DUMMYFUNCTION("""COMPUTED_VALUE"""),65.59)</f>
        <v>65.59</v>
      </c>
      <c r="D59" s="141">
        <f ca="1">IFERROR(__xludf.DUMMYFUNCTION("""COMPUTED_VALUE"""),65.82)</f>
        <v>65.819999999999993</v>
      </c>
      <c r="E59" s="141">
        <f ca="1">IFERROR(__xludf.DUMMYFUNCTION("""COMPUTED_VALUE"""),65.31)</f>
        <v>65.31</v>
      </c>
      <c r="F59" s="141">
        <f ca="1">IFERROR(__xludf.DUMMYFUNCTION("""COMPUTED_VALUE"""),65.41)</f>
        <v>65.41</v>
      </c>
      <c r="G59" s="143">
        <f ca="1">IFERROR(__xludf.DUMMYFUNCTION("""COMPUTED_VALUE"""),16693479)</f>
        <v>16693479</v>
      </c>
      <c r="H59" s="26"/>
    </row>
    <row r="60" spans="1:8" ht="17.25" customHeight="1" x14ac:dyDescent="0.2">
      <c r="A60" s="26"/>
      <c r="B60" s="139">
        <f ca="1">IFERROR(__xludf.DUMMYFUNCTION("""COMPUTED_VALUE"""),46099.6666666666)</f>
        <v>46099.666666666599</v>
      </c>
      <c r="C60" s="141">
        <f ca="1">IFERROR(__xludf.DUMMYFUNCTION("""COMPUTED_VALUE"""),65.1)</f>
        <v>65.099999999999994</v>
      </c>
      <c r="D60" s="141">
        <f ca="1">IFERROR(__xludf.DUMMYFUNCTION("""COMPUTED_VALUE"""),65.23)</f>
        <v>65.23</v>
      </c>
      <c r="E60" s="141">
        <f ca="1">IFERROR(__xludf.DUMMYFUNCTION("""COMPUTED_VALUE"""),64.23)</f>
        <v>64.23</v>
      </c>
      <c r="F60" s="141">
        <f ca="1">IFERROR(__xludf.DUMMYFUNCTION("""COMPUTED_VALUE"""),64.28)</f>
        <v>64.28</v>
      </c>
      <c r="G60" s="143">
        <f ca="1">IFERROR(__xludf.DUMMYFUNCTION("""COMPUTED_VALUE"""),14904865)</f>
        <v>14904865</v>
      </c>
      <c r="H60" s="26"/>
    </row>
    <row r="61" spans="1:8" ht="17.25" customHeight="1" x14ac:dyDescent="0.2">
      <c r="A61" s="26"/>
      <c r="B61" s="139">
        <f ca="1">IFERROR(__xludf.DUMMYFUNCTION("""COMPUTED_VALUE"""),46100.6666666666)</f>
        <v>46100.666666666599</v>
      </c>
      <c r="C61" s="141">
        <f ca="1">IFERROR(__xludf.DUMMYFUNCTION("""COMPUTED_VALUE"""),63.15)</f>
        <v>63.15</v>
      </c>
      <c r="D61" s="141">
        <f ca="1">IFERROR(__xludf.DUMMYFUNCTION("""COMPUTED_VALUE"""),64.54)</f>
        <v>64.540000000000006</v>
      </c>
      <c r="E61" s="141">
        <f ca="1">IFERROR(__xludf.DUMMYFUNCTION("""COMPUTED_VALUE"""),63.02)</f>
        <v>63.02</v>
      </c>
      <c r="F61" s="141">
        <f ca="1">IFERROR(__xludf.DUMMYFUNCTION("""COMPUTED_VALUE"""),64.16)</f>
        <v>64.16</v>
      </c>
      <c r="G61" s="143">
        <f ca="1">IFERROR(__xludf.DUMMYFUNCTION("""COMPUTED_VALUE"""),28759344)</f>
        <v>28759344</v>
      </c>
      <c r="H61" s="26"/>
    </row>
    <row r="62" spans="1:8" ht="17.25" customHeight="1" x14ac:dyDescent="0.2">
      <c r="A62" s="26"/>
      <c r="B62" s="139">
        <f ca="1">IFERROR(__xludf.DUMMYFUNCTION("""COMPUTED_VALUE"""),46101.6666666666)</f>
        <v>46101.666666666599</v>
      </c>
      <c r="C62" s="141">
        <f ca="1">IFERROR(__xludf.DUMMYFUNCTION("""COMPUTED_VALUE"""),63.74)</f>
        <v>63.74</v>
      </c>
      <c r="D62" s="141">
        <f ca="1">IFERROR(__xludf.DUMMYFUNCTION("""COMPUTED_VALUE"""),63.8)</f>
        <v>63.8</v>
      </c>
      <c r="E62" s="141">
        <f ca="1">IFERROR(__xludf.DUMMYFUNCTION("""COMPUTED_VALUE"""),61.68)</f>
        <v>61.68</v>
      </c>
      <c r="F62" s="141">
        <f ca="1">IFERROR(__xludf.DUMMYFUNCTION("""COMPUTED_VALUE"""),62.04)</f>
        <v>62.04</v>
      </c>
      <c r="G62" s="143">
        <f ca="1">IFERROR(__xludf.DUMMYFUNCTION("""COMPUTED_VALUE"""),23701347)</f>
        <v>23701347</v>
      </c>
      <c r="H62" s="26"/>
    </row>
    <row r="63" spans="1:8" ht="17.25" customHeight="1" x14ac:dyDescent="0.2">
      <c r="A63" s="26"/>
      <c r="B63" s="139">
        <f ca="1">IFERROR(__xludf.DUMMYFUNCTION("""COMPUTED_VALUE"""),46104.6666666666)</f>
        <v>46104.666666666599</v>
      </c>
      <c r="C63" s="141">
        <f ca="1">IFERROR(__xludf.DUMMYFUNCTION("""COMPUTED_VALUE"""),63.37)</f>
        <v>63.37</v>
      </c>
      <c r="D63" s="141">
        <f ca="1">IFERROR(__xludf.DUMMYFUNCTION("""COMPUTED_VALUE"""),64.41)</f>
        <v>64.41</v>
      </c>
      <c r="E63" s="141">
        <f ca="1">IFERROR(__xludf.DUMMYFUNCTION("""COMPUTED_VALUE"""),63)</f>
        <v>63</v>
      </c>
      <c r="F63" s="141">
        <f ca="1">IFERROR(__xludf.DUMMYFUNCTION("""COMPUTED_VALUE"""),63.66)</f>
        <v>63.66</v>
      </c>
      <c r="G63" s="143">
        <f ca="1">IFERROR(__xludf.DUMMYFUNCTION("""COMPUTED_VALUE"""),30015827)</f>
        <v>30015827</v>
      </c>
      <c r="H63" s="26"/>
    </row>
    <row r="64" spans="1:8" ht="17.25" customHeight="1" x14ac:dyDescent="0.2">
      <c r="A64" s="26"/>
      <c r="B64" s="139">
        <f ca="1">IFERROR(__xludf.DUMMYFUNCTION("""COMPUTED_VALUE"""),46105.6666666666)</f>
        <v>46105.666666666599</v>
      </c>
      <c r="C64" s="141">
        <f ca="1">IFERROR(__xludf.DUMMYFUNCTION("""COMPUTED_VALUE"""),62.69)</f>
        <v>62.69</v>
      </c>
      <c r="D64" s="141">
        <f ca="1">IFERROR(__xludf.DUMMYFUNCTION("""COMPUTED_VALUE"""),63.54)</f>
        <v>63.54</v>
      </c>
      <c r="E64" s="141">
        <f ca="1">IFERROR(__xludf.DUMMYFUNCTION("""COMPUTED_VALUE"""),62.57)</f>
        <v>62.57</v>
      </c>
      <c r="F64" s="141">
        <f ca="1">IFERROR(__xludf.DUMMYFUNCTION("""COMPUTED_VALUE"""),63.15)</f>
        <v>63.15</v>
      </c>
      <c r="G64" s="143">
        <f ca="1">IFERROR(__xludf.DUMMYFUNCTION("""COMPUTED_VALUE"""),21374721)</f>
        <v>21374721</v>
      </c>
      <c r="H64" s="26"/>
    </row>
    <row r="65" spans="1:8" ht="17.25" customHeight="1" x14ac:dyDescent="0.2">
      <c r="A65" s="26"/>
      <c r="B65" s="139">
        <f ca="1">IFERROR(__xludf.DUMMYFUNCTION("""COMPUTED_VALUE"""),46106.6666666666)</f>
        <v>46106.666666666599</v>
      </c>
      <c r="C65" s="141">
        <f ca="1">IFERROR(__xludf.DUMMYFUNCTION("""COMPUTED_VALUE"""),64.15)</f>
        <v>64.150000000000006</v>
      </c>
      <c r="D65" s="141">
        <f ca="1">IFERROR(__xludf.DUMMYFUNCTION("""COMPUTED_VALUE"""),64.33)</f>
        <v>64.33</v>
      </c>
      <c r="E65" s="141">
        <f ca="1">IFERROR(__xludf.DUMMYFUNCTION("""COMPUTED_VALUE"""),63.62)</f>
        <v>63.62</v>
      </c>
      <c r="F65" s="141">
        <f ca="1">IFERROR(__xludf.DUMMYFUNCTION("""COMPUTED_VALUE"""),63.97)</f>
        <v>63.97</v>
      </c>
      <c r="G65" s="143">
        <f ca="1">IFERROR(__xludf.DUMMYFUNCTION("""COMPUTED_VALUE"""),11955778)</f>
        <v>11955778</v>
      </c>
      <c r="H65" s="26"/>
    </row>
    <row r="66" spans="1:8" ht="17.25" customHeight="1" x14ac:dyDescent="0.2">
      <c r="A66" s="26"/>
      <c r="B66" s="139">
        <f ca="1">IFERROR(__xludf.DUMMYFUNCTION("""COMPUTED_VALUE"""),46107.6666666666)</f>
        <v>46107.666666666599</v>
      </c>
      <c r="C66" s="141">
        <f ca="1">IFERROR(__xludf.DUMMYFUNCTION("""COMPUTED_VALUE"""),63.16)</f>
        <v>63.16</v>
      </c>
      <c r="D66" s="141">
        <f ca="1">IFERROR(__xludf.DUMMYFUNCTION("""COMPUTED_VALUE"""),63.66)</f>
        <v>63.66</v>
      </c>
      <c r="E66" s="141">
        <f ca="1">IFERROR(__xludf.DUMMYFUNCTION("""COMPUTED_VALUE"""),62.47)</f>
        <v>62.47</v>
      </c>
      <c r="F66" s="141">
        <f ca="1">IFERROR(__xludf.DUMMYFUNCTION("""COMPUTED_VALUE"""),62.48)</f>
        <v>62.48</v>
      </c>
      <c r="G66" s="143">
        <f ca="1">IFERROR(__xludf.DUMMYFUNCTION("""COMPUTED_VALUE"""),14445600)</f>
        <v>14445600</v>
      </c>
      <c r="H66" s="26"/>
    </row>
    <row r="67" spans="1:8" ht="17.25" customHeight="1" x14ac:dyDescent="0.2">
      <c r="A67" s="26"/>
      <c r="B67" s="139">
        <f ca="1">IFERROR(__xludf.DUMMYFUNCTION("""COMPUTED_VALUE"""),46108.6666666666)</f>
        <v>46108.666666666599</v>
      </c>
      <c r="C67" s="141">
        <f ca="1">IFERROR(__xludf.DUMMYFUNCTION("""COMPUTED_VALUE"""),62.21)</f>
        <v>62.21</v>
      </c>
      <c r="D67" s="141">
        <f ca="1">IFERROR(__xludf.DUMMYFUNCTION("""COMPUTED_VALUE"""),62.72)</f>
        <v>62.72</v>
      </c>
      <c r="E67" s="141">
        <f ca="1">IFERROR(__xludf.DUMMYFUNCTION("""COMPUTED_VALUE"""),61.83)</f>
        <v>61.83</v>
      </c>
      <c r="F67" s="141">
        <f ca="1">IFERROR(__xludf.DUMMYFUNCTION("""COMPUTED_VALUE"""),62.05)</f>
        <v>62.05</v>
      </c>
      <c r="G67" s="143">
        <f ca="1">IFERROR(__xludf.DUMMYFUNCTION("""COMPUTED_VALUE"""),23786154)</f>
        <v>23786154</v>
      </c>
      <c r="H67" s="26"/>
    </row>
    <row r="68" spans="1:8" ht="17.25" customHeight="1" x14ac:dyDescent="0.2">
      <c r="A68" s="26"/>
      <c r="B68" s="139">
        <f ca="1">IFERROR(__xludf.DUMMYFUNCTION("""COMPUTED_VALUE"""),46111.6666666666)</f>
        <v>46111.666666666599</v>
      </c>
      <c r="C68" s="141">
        <f ca="1">IFERROR(__xludf.DUMMYFUNCTION("""COMPUTED_VALUE"""),62.6)</f>
        <v>62.6</v>
      </c>
      <c r="D68" s="141">
        <f ca="1">IFERROR(__xludf.DUMMYFUNCTION("""COMPUTED_VALUE"""),62.68)</f>
        <v>62.68</v>
      </c>
      <c r="E68" s="141">
        <f ca="1">IFERROR(__xludf.DUMMYFUNCTION("""COMPUTED_VALUE"""),61.73)</f>
        <v>61.73</v>
      </c>
      <c r="F68" s="141">
        <f ca="1">IFERROR(__xludf.DUMMYFUNCTION("""COMPUTED_VALUE"""),62.03)</f>
        <v>62.03</v>
      </c>
      <c r="G68" s="143">
        <f ca="1">IFERROR(__xludf.DUMMYFUNCTION("""COMPUTED_VALUE"""),13374689)</f>
        <v>13374689</v>
      </c>
      <c r="H68" s="26"/>
    </row>
    <row r="69" spans="1:8" ht="17.25" customHeight="1" x14ac:dyDescent="0.2">
      <c r="A69" s="26"/>
      <c r="B69" s="139">
        <f ca="1">IFERROR(__xludf.DUMMYFUNCTION("""COMPUTED_VALUE"""),46112.6666666666)</f>
        <v>46112.666666666599</v>
      </c>
      <c r="C69" s="141">
        <f ca="1">IFERROR(__xludf.DUMMYFUNCTION("""COMPUTED_VALUE"""),62.8)</f>
        <v>62.8</v>
      </c>
      <c r="D69" s="141">
        <f ca="1">IFERROR(__xludf.DUMMYFUNCTION("""COMPUTED_VALUE"""),64.11)</f>
        <v>64.11</v>
      </c>
      <c r="E69" s="141">
        <f ca="1">IFERROR(__xludf.DUMMYFUNCTION("""COMPUTED_VALUE"""),62.57)</f>
        <v>62.57</v>
      </c>
      <c r="F69" s="141">
        <f ca="1">IFERROR(__xludf.DUMMYFUNCTION("""COMPUTED_VALUE"""),64.08)</f>
        <v>64.08</v>
      </c>
      <c r="G69" s="143">
        <f ca="1">IFERROR(__xludf.DUMMYFUNCTION("""COMPUTED_VALUE"""),20633106)</f>
        <v>20633106</v>
      </c>
      <c r="H69" s="26"/>
    </row>
    <row r="70" spans="1:8" ht="17.25" customHeight="1" x14ac:dyDescent="0.2">
      <c r="A70" s="26"/>
      <c r="B70" s="139">
        <f ca="1">IFERROR(__xludf.DUMMYFUNCTION("""COMPUTED_VALUE"""),46113.6666666666)</f>
        <v>46113.666666666599</v>
      </c>
      <c r="C70" s="141">
        <f ca="1">IFERROR(__xludf.DUMMYFUNCTION("""COMPUTED_VALUE"""),64.97)</f>
        <v>64.97</v>
      </c>
      <c r="D70" s="141">
        <f ca="1">IFERROR(__xludf.DUMMYFUNCTION("""COMPUTED_VALUE"""),65.59)</f>
        <v>65.59</v>
      </c>
      <c r="E70" s="141">
        <f ca="1">IFERROR(__xludf.DUMMYFUNCTION("""COMPUTED_VALUE"""),64.8)</f>
        <v>64.8</v>
      </c>
      <c r="F70" s="141">
        <f ca="1">IFERROR(__xludf.DUMMYFUNCTION("""COMPUTED_VALUE"""),65.14)</f>
        <v>65.14</v>
      </c>
      <c r="G70" s="143">
        <f ca="1">IFERROR(__xludf.DUMMYFUNCTION("""COMPUTED_VALUE"""),22522996)</f>
        <v>22522996</v>
      </c>
      <c r="H70" s="26"/>
    </row>
    <row r="71" spans="1:8" ht="17.25" customHeight="1" x14ac:dyDescent="0.2">
      <c r="A71" s="26"/>
      <c r="B71" s="139">
        <f ca="1">IFERROR(__xludf.DUMMYFUNCTION("""COMPUTED_VALUE"""),46114.6666666666)</f>
        <v>46114.666666666599</v>
      </c>
      <c r="C71" s="141">
        <f ca="1">IFERROR(__xludf.DUMMYFUNCTION("""COMPUTED_VALUE"""),63.51)</f>
        <v>63.51</v>
      </c>
      <c r="D71" s="141">
        <f ca="1">IFERROR(__xludf.DUMMYFUNCTION("""COMPUTED_VALUE"""),64.96)</f>
        <v>64.959999999999994</v>
      </c>
      <c r="E71" s="141">
        <f ca="1">IFERROR(__xludf.DUMMYFUNCTION("""COMPUTED_VALUE"""),63.45)</f>
        <v>63.45</v>
      </c>
      <c r="F71" s="141">
        <f ca="1">IFERROR(__xludf.DUMMYFUNCTION("""COMPUTED_VALUE"""),64.64)</f>
        <v>64.64</v>
      </c>
      <c r="G71" s="143">
        <f ca="1">IFERROR(__xludf.DUMMYFUNCTION("""COMPUTED_VALUE"""),16486322)</f>
        <v>16486322</v>
      </c>
      <c r="H71" s="26"/>
    </row>
    <row r="72" spans="1:8" ht="17.25" customHeight="1" x14ac:dyDescent="0.2">
      <c r="A72" s="26"/>
      <c r="B72" s="139">
        <f ca="1">IFERROR(__xludf.DUMMYFUNCTION("""COMPUTED_VALUE"""),46118.6666666666)</f>
        <v>46118.666666666599</v>
      </c>
      <c r="C72" s="141">
        <f ca="1">IFERROR(__xludf.DUMMYFUNCTION("""COMPUTED_VALUE"""),64.83)</f>
        <v>64.83</v>
      </c>
      <c r="D72" s="141">
        <f ca="1">IFERROR(__xludf.DUMMYFUNCTION("""COMPUTED_VALUE"""),65.25)</f>
        <v>65.25</v>
      </c>
      <c r="E72" s="141">
        <f ca="1">IFERROR(__xludf.DUMMYFUNCTION("""COMPUTED_VALUE"""),64.77)</f>
        <v>64.77</v>
      </c>
      <c r="F72" s="141">
        <f ca="1">IFERROR(__xludf.DUMMYFUNCTION("""COMPUTED_VALUE"""),65.12)</f>
        <v>65.12</v>
      </c>
      <c r="G72" s="143">
        <f ca="1">IFERROR(__xludf.DUMMYFUNCTION("""COMPUTED_VALUE"""),14881959)</f>
        <v>14881959</v>
      </c>
      <c r="H72" s="26"/>
    </row>
    <row r="73" spans="1:8" ht="17.25" customHeight="1" x14ac:dyDescent="0.2">
      <c r="A73" s="26"/>
      <c r="B73" s="139">
        <f ca="1">IFERROR(__xludf.DUMMYFUNCTION("""COMPUTED_VALUE"""),46119.6666666666)</f>
        <v>46119.666666666599</v>
      </c>
      <c r="C73" s="141">
        <f ca="1">IFERROR(__xludf.DUMMYFUNCTION("""COMPUTED_VALUE"""),64.68)</f>
        <v>64.680000000000007</v>
      </c>
      <c r="D73" s="141">
        <f ca="1">IFERROR(__xludf.DUMMYFUNCTION("""COMPUTED_VALUE"""),65.17)</f>
        <v>65.17</v>
      </c>
      <c r="E73" s="141">
        <f ca="1">IFERROR(__xludf.DUMMYFUNCTION("""COMPUTED_VALUE"""),64.01)</f>
        <v>64.010000000000005</v>
      </c>
      <c r="F73" s="141">
        <f ca="1">IFERROR(__xludf.DUMMYFUNCTION("""COMPUTED_VALUE"""),65.09)</f>
        <v>65.09</v>
      </c>
      <c r="G73" s="143">
        <f ca="1">IFERROR(__xludf.DUMMYFUNCTION("""COMPUTED_VALUE"""),14707246)</f>
        <v>14707246</v>
      </c>
      <c r="H73" s="26"/>
    </row>
    <row r="74" spans="1:8" ht="17.25" customHeight="1" x14ac:dyDescent="0.2">
      <c r="A74" s="26"/>
      <c r="B74" s="139">
        <f ca="1">IFERROR(__xludf.DUMMYFUNCTION("""COMPUTED_VALUE"""),46120.6666666666)</f>
        <v>46120.666666666599</v>
      </c>
      <c r="C74" s="141">
        <f ca="1">IFERROR(__xludf.DUMMYFUNCTION("""COMPUTED_VALUE"""),68.09)</f>
        <v>68.09</v>
      </c>
      <c r="D74" s="141">
        <f ca="1">IFERROR(__xludf.DUMMYFUNCTION("""COMPUTED_VALUE"""),68.09)</f>
        <v>68.09</v>
      </c>
      <c r="E74" s="141">
        <f ca="1">IFERROR(__xludf.DUMMYFUNCTION("""COMPUTED_VALUE"""),67.3)</f>
        <v>67.3</v>
      </c>
      <c r="F74" s="141">
        <f ca="1">IFERROR(__xludf.DUMMYFUNCTION("""COMPUTED_VALUE"""),67.82)</f>
        <v>67.819999999999993</v>
      </c>
      <c r="G74" s="143">
        <f ca="1">IFERROR(__xludf.DUMMYFUNCTION("""COMPUTED_VALUE"""),12954461)</f>
        <v>12954461</v>
      </c>
      <c r="H74" s="26"/>
    </row>
    <row r="75" spans="1:8" ht="17.25" customHeight="1" x14ac:dyDescent="0.2">
      <c r="A75" s="26"/>
      <c r="B75" s="139">
        <f ca="1">IFERROR(__xludf.DUMMYFUNCTION("""COMPUTED_VALUE"""),46121.6666666666)</f>
        <v>46121.666666666599</v>
      </c>
      <c r="C75" s="141">
        <f ca="1">IFERROR(__xludf.DUMMYFUNCTION("""COMPUTED_VALUE"""),67.09)</f>
        <v>67.09</v>
      </c>
      <c r="D75" s="141">
        <f ca="1">IFERROR(__xludf.DUMMYFUNCTION("""COMPUTED_VALUE"""),67.88)</f>
        <v>67.88</v>
      </c>
      <c r="E75" s="141">
        <f ca="1">IFERROR(__xludf.DUMMYFUNCTION("""COMPUTED_VALUE"""),66.85)</f>
        <v>66.849999999999994</v>
      </c>
      <c r="F75" s="141">
        <f ca="1">IFERROR(__xludf.DUMMYFUNCTION("""COMPUTED_VALUE"""),67.55)</f>
        <v>67.55</v>
      </c>
      <c r="G75" s="143">
        <f ca="1">IFERROR(__xludf.DUMMYFUNCTION("""COMPUTED_VALUE"""),12114460)</f>
        <v>12114460</v>
      </c>
      <c r="H75" s="26"/>
    </row>
    <row r="76" spans="1:8" ht="17.25" customHeight="1" x14ac:dyDescent="0.2">
      <c r="A76" s="26"/>
      <c r="B76" s="139">
        <f ca="1">IFERROR(__xludf.DUMMYFUNCTION("""COMPUTED_VALUE"""),46122.6666666666)</f>
        <v>46122.666666666599</v>
      </c>
      <c r="C76" s="141">
        <f ca="1">IFERROR(__xludf.DUMMYFUNCTION("""COMPUTED_VALUE"""),67.97)</f>
        <v>67.97</v>
      </c>
      <c r="D76" s="141">
        <f ca="1">IFERROR(__xludf.DUMMYFUNCTION("""COMPUTED_VALUE"""),68.04)</f>
        <v>68.040000000000006</v>
      </c>
      <c r="E76" s="141">
        <f ca="1">IFERROR(__xludf.DUMMYFUNCTION("""COMPUTED_VALUE"""),67.44)</f>
        <v>67.44</v>
      </c>
      <c r="F76" s="141">
        <f ca="1">IFERROR(__xludf.DUMMYFUNCTION("""COMPUTED_VALUE"""),67.74)</f>
        <v>67.739999999999995</v>
      </c>
      <c r="G76" s="143">
        <f ca="1">IFERROR(__xludf.DUMMYFUNCTION("""COMPUTED_VALUE"""),10903973)</f>
        <v>10903973</v>
      </c>
      <c r="H76" s="26"/>
    </row>
    <row r="77" spans="1:8" ht="17.25" customHeight="1" x14ac:dyDescent="0.2">
      <c r="A77" s="26"/>
      <c r="B77" s="139">
        <f ca="1">IFERROR(__xludf.DUMMYFUNCTION("""COMPUTED_VALUE"""),46125.6666666666)</f>
        <v>46125.666666666599</v>
      </c>
      <c r="C77" s="141">
        <f ca="1">IFERROR(__xludf.DUMMYFUNCTION("""COMPUTED_VALUE"""),67.08)</f>
        <v>67.08</v>
      </c>
      <c r="D77" s="141">
        <f ca="1">IFERROR(__xludf.DUMMYFUNCTION("""COMPUTED_VALUE"""),68.24)</f>
        <v>68.239999999999995</v>
      </c>
      <c r="E77" s="141">
        <f ca="1">IFERROR(__xludf.DUMMYFUNCTION("""COMPUTED_VALUE"""),67.04)</f>
        <v>67.040000000000006</v>
      </c>
      <c r="F77" s="141">
        <f ca="1">IFERROR(__xludf.DUMMYFUNCTION("""COMPUTED_VALUE"""),68.21)</f>
        <v>68.209999999999994</v>
      </c>
      <c r="G77" s="143">
        <f ca="1">IFERROR(__xludf.DUMMYFUNCTION("""COMPUTED_VALUE"""),17884505)</f>
        <v>17884505</v>
      </c>
      <c r="H77" s="26"/>
    </row>
    <row r="78" spans="1:8" ht="17.25" customHeight="1" x14ac:dyDescent="0.2">
      <c r="A78" s="26"/>
      <c r="B78" s="139">
        <f ca="1">IFERROR(__xludf.DUMMYFUNCTION("""COMPUTED_VALUE"""),46126.6666666666)</f>
        <v>46126.666666666599</v>
      </c>
      <c r="C78" s="141">
        <f ca="1">IFERROR(__xludf.DUMMYFUNCTION("""COMPUTED_VALUE"""),68.58)</f>
        <v>68.58</v>
      </c>
      <c r="D78" s="141">
        <f ca="1">IFERROR(__xludf.DUMMYFUNCTION("""COMPUTED_VALUE"""),68.97)</f>
        <v>68.97</v>
      </c>
      <c r="E78" s="141">
        <f ca="1">IFERROR(__xludf.DUMMYFUNCTION("""COMPUTED_VALUE"""),68.48)</f>
        <v>68.48</v>
      </c>
      <c r="F78" s="141">
        <f ca="1">IFERROR(__xludf.DUMMYFUNCTION("""COMPUTED_VALUE"""),68.89)</f>
        <v>68.89</v>
      </c>
      <c r="G78" s="143">
        <f ca="1">IFERROR(__xludf.DUMMYFUNCTION("""COMPUTED_VALUE"""),8838059)</f>
        <v>8838059</v>
      </c>
      <c r="H78" s="26"/>
    </row>
    <row r="79" spans="1:8" ht="17.25" customHeight="1" x14ac:dyDescent="0.2">
      <c r="A79" s="26"/>
      <c r="B79" s="139">
        <f ca="1">IFERROR(__xludf.DUMMYFUNCTION("""COMPUTED_VALUE"""),46127.6666666666)</f>
        <v>46127.666666666599</v>
      </c>
      <c r="C79" s="141">
        <f ca="1">IFERROR(__xludf.DUMMYFUNCTION("""COMPUTED_VALUE"""),68.69)</f>
        <v>68.69</v>
      </c>
      <c r="D79" s="141">
        <f ca="1">IFERROR(__xludf.DUMMYFUNCTION("""COMPUTED_VALUE"""),68.76)</f>
        <v>68.760000000000005</v>
      </c>
      <c r="E79" s="141">
        <f ca="1">IFERROR(__xludf.DUMMYFUNCTION("""COMPUTED_VALUE"""),68.44)</f>
        <v>68.44</v>
      </c>
      <c r="F79" s="141">
        <f ca="1">IFERROR(__xludf.DUMMYFUNCTION("""COMPUTED_VALUE"""),68.7)</f>
        <v>68.7</v>
      </c>
      <c r="G79" s="143">
        <f ca="1">IFERROR(__xludf.DUMMYFUNCTION("""COMPUTED_VALUE"""),8517374)</f>
        <v>8517374</v>
      </c>
      <c r="H79" s="26"/>
    </row>
    <row r="80" spans="1:8" ht="17.25" customHeight="1" x14ac:dyDescent="0.2">
      <c r="A80" s="26"/>
      <c r="B80" s="139">
        <f ca="1">IFERROR(__xludf.DUMMYFUNCTION("""COMPUTED_VALUE"""),46128.6666666666)</f>
        <v>46128.666666666599</v>
      </c>
      <c r="C80" s="141">
        <f ca="1">IFERROR(__xludf.DUMMYFUNCTION("""COMPUTED_VALUE"""),68.93)</f>
        <v>68.930000000000007</v>
      </c>
      <c r="D80" s="141">
        <f ca="1">IFERROR(__xludf.DUMMYFUNCTION("""COMPUTED_VALUE"""),68.99)</f>
        <v>68.989999999999995</v>
      </c>
      <c r="E80" s="141">
        <f ca="1">IFERROR(__xludf.DUMMYFUNCTION("""COMPUTED_VALUE"""),68.43)</f>
        <v>68.430000000000007</v>
      </c>
      <c r="F80" s="141">
        <f ca="1">IFERROR(__xludf.DUMMYFUNCTION("""COMPUTED_VALUE"""),68.63)</f>
        <v>68.63</v>
      </c>
      <c r="G80" s="143">
        <f ca="1">IFERROR(__xludf.DUMMYFUNCTION("""COMPUTED_VALUE"""),7285450)</f>
        <v>7285450</v>
      </c>
      <c r="H80" s="26"/>
    </row>
    <row r="81" spans="1:8" ht="17.25" customHeight="1" x14ac:dyDescent="0.2">
      <c r="A81" s="26"/>
      <c r="B81" s="139">
        <f ca="1">IFERROR(__xludf.DUMMYFUNCTION("""COMPUTED_VALUE"""),46129.6666666666)</f>
        <v>46129.666666666599</v>
      </c>
      <c r="C81" s="141">
        <f ca="1">IFERROR(__xludf.DUMMYFUNCTION("""COMPUTED_VALUE"""),69.73)</f>
        <v>69.73</v>
      </c>
      <c r="D81" s="141">
        <f ca="1">IFERROR(__xludf.DUMMYFUNCTION("""COMPUTED_VALUE"""),70.17)</f>
        <v>70.17</v>
      </c>
      <c r="E81" s="141">
        <f ca="1">IFERROR(__xludf.DUMMYFUNCTION("""COMPUTED_VALUE"""),69.48)</f>
        <v>69.48</v>
      </c>
      <c r="F81" s="141">
        <f ca="1">IFERROR(__xludf.DUMMYFUNCTION("""COMPUTED_VALUE"""),69.63)</f>
        <v>69.63</v>
      </c>
      <c r="G81" s="143">
        <f ca="1">IFERROR(__xludf.DUMMYFUNCTION("""COMPUTED_VALUE"""),15122133)</f>
        <v>15122133</v>
      </c>
      <c r="H81" s="26"/>
    </row>
    <row r="82" spans="1:8" ht="17.25" customHeight="1" x14ac:dyDescent="0.2">
      <c r="A82" s="26"/>
      <c r="B82" s="139">
        <f ca="1">IFERROR(__xludf.DUMMYFUNCTION("""COMPUTED_VALUE"""),46132.6666666666)</f>
        <v>46132.666666666599</v>
      </c>
      <c r="C82" s="141">
        <f ca="1">IFERROR(__xludf.DUMMYFUNCTION("""COMPUTED_VALUE"""),69.17)</f>
        <v>69.17</v>
      </c>
      <c r="D82" s="141">
        <f ca="1">IFERROR(__xludf.DUMMYFUNCTION("""COMPUTED_VALUE"""),69.33)</f>
        <v>69.33</v>
      </c>
      <c r="E82" s="141">
        <f ca="1">IFERROR(__xludf.DUMMYFUNCTION("""COMPUTED_VALUE"""),68.8)</f>
        <v>68.8</v>
      </c>
      <c r="F82" s="141">
        <f ca="1">IFERROR(__xludf.DUMMYFUNCTION("""COMPUTED_VALUE"""),69.33)</f>
        <v>69.33</v>
      </c>
      <c r="G82" s="143">
        <f ca="1">IFERROR(__xludf.DUMMYFUNCTION("""COMPUTED_VALUE"""),9019166)</f>
        <v>9019166</v>
      </c>
      <c r="H82" s="26"/>
    </row>
    <row r="83" spans="1:8" ht="17.25" customHeight="1" x14ac:dyDescent="0.2">
      <c r="A83" s="26"/>
      <c r="B83" s="139">
        <f ca="1">IFERROR(__xludf.DUMMYFUNCTION("""COMPUTED_VALUE"""),46133.6666666666)</f>
        <v>46133.666666666599</v>
      </c>
      <c r="C83" s="141">
        <f ca="1">IFERROR(__xludf.DUMMYFUNCTION("""COMPUTED_VALUE"""),68.96)</f>
        <v>68.959999999999994</v>
      </c>
      <c r="D83" s="141">
        <f ca="1">IFERROR(__xludf.DUMMYFUNCTION("""COMPUTED_VALUE"""),69.05)</f>
        <v>69.05</v>
      </c>
      <c r="E83" s="141">
        <f ca="1">IFERROR(__xludf.DUMMYFUNCTION("""COMPUTED_VALUE"""),67.74)</f>
        <v>67.739999999999995</v>
      </c>
      <c r="F83" s="141">
        <f ca="1">IFERROR(__xludf.DUMMYFUNCTION("""COMPUTED_VALUE"""),67.82)</f>
        <v>67.819999999999993</v>
      </c>
      <c r="G83" s="143">
        <f ca="1">IFERROR(__xludf.DUMMYFUNCTION("""COMPUTED_VALUE"""),11404812)</f>
        <v>11404812</v>
      </c>
      <c r="H83" s="26"/>
    </row>
    <row r="84" spans="1:8" ht="17.25" customHeight="1" x14ac:dyDescent="0.2">
      <c r="A84" s="26"/>
      <c r="B84" s="139">
        <f ca="1">IFERROR(__xludf.DUMMYFUNCTION("""COMPUTED_VALUE"""),46134.6666666666)</f>
        <v>46134.666666666599</v>
      </c>
      <c r="C84" s="141">
        <f ca="1">IFERROR(__xludf.DUMMYFUNCTION("""COMPUTED_VALUE"""),68.43)</f>
        <v>68.430000000000007</v>
      </c>
      <c r="D84" s="141">
        <f ca="1">IFERROR(__xludf.DUMMYFUNCTION("""COMPUTED_VALUE"""),68.48)</f>
        <v>68.48</v>
      </c>
      <c r="E84" s="141">
        <f ca="1">IFERROR(__xludf.DUMMYFUNCTION("""COMPUTED_VALUE"""),68.11)</f>
        <v>68.11</v>
      </c>
      <c r="F84" s="141">
        <f ca="1">IFERROR(__xludf.DUMMYFUNCTION("""COMPUTED_VALUE"""),68.35)</f>
        <v>68.349999999999994</v>
      </c>
      <c r="G84" s="143">
        <f ca="1">IFERROR(__xludf.DUMMYFUNCTION("""COMPUTED_VALUE"""),9559403)</f>
        <v>9559403</v>
      </c>
      <c r="H84" s="26"/>
    </row>
    <row r="85" spans="1:8" ht="17.25" customHeight="1" x14ac:dyDescent="0.2">
      <c r="A85" s="26"/>
      <c r="B85" s="139">
        <f ca="1">IFERROR(__xludf.DUMMYFUNCTION("""COMPUTED_VALUE"""),46135.6666666666)</f>
        <v>46135.666666666599</v>
      </c>
      <c r="C85" s="141">
        <f ca="1">IFERROR(__xludf.DUMMYFUNCTION("""COMPUTED_VALUE"""),68.1)</f>
        <v>68.099999999999994</v>
      </c>
      <c r="D85" s="141">
        <f ca="1">IFERROR(__xludf.DUMMYFUNCTION("""COMPUTED_VALUE"""),68.36)</f>
        <v>68.36</v>
      </c>
      <c r="E85" s="141">
        <f ca="1">IFERROR(__xludf.DUMMYFUNCTION("""COMPUTED_VALUE"""),66.96)</f>
        <v>66.959999999999994</v>
      </c>
      <c r="F85" s="141">
        <f ca="1">IFERROR(__xludf.DUMMYFUNCTION("""COMPUTED_VALUE"""),67.69)</f>
        <v>67.69</v>
      </c>
      <c r="G85" s="143">
        <f ca="1">IFERROR(__xludf.DUMMYFUNCTION("""COMPUTED_VALUE"""),18912860)</f>
        <v>18912860</v>
      </c>
      <c r="H85" s="26"/>
    </row>
    <row r="86" spans="1:8" ht="17.25" customHeight="1" x14ac:dyDescent="0.2">
      <c r="A86" s="26"/>
      <c r="B86" s="139">
        <f ca="1">IFERROR(__xludf.DUMMYFUNCTION("""COMPUTED_VALUE"""),46136.6666666666)</f>
        <v>46136.666666666599</v>
      </c>
      <c r="C86" s="141">
        <f ca="1">IFERROR(__xludf.DUMMYFUNCTION("""COMPUTED_VALUE"""),67.93)</f>
        <v>67.930000000000007</v>
      </c>
      <c r="D86" s="141">
        <f ca="1">IFERROR(__xludf.DUMMYFUNCTION("""COMPUTED_VALUE"""),68.24)</f>
        <v>68.239999999999995</v>
      </c>
      <c r="E86" s="141">
        <f ca="1">IFERROR(__xludf.DUMMYFUNCTION("""COMPUTED_VALUE"""),67.69)</f>
        <v>67.69</v>
      </c>
      <c r="F86" s="141">
        <f ca="1">IFERROR(__xludf.DUMMYFUNCTION("""COMPUTED_VALUE"""),68.14)</f>
        <v>68.14</v>
      </c>
      <c r="G86" s="143">
        <f ca="1">IFERROR(__xludf.DUMMYFUNCTION("""COMPUTED_VALUE"""),9533283)</f>
        <v>9533283</v>
      </c>
      <c r="H86" s="26"/>
    </row>
    <row r="87" spans="1:8" ht="17.25" customHeight="1" x14ac:dyDescent="0.2">
      <c r="A87" s="26"/>
      <c r="B87" s="139">
        <f ca="1">IFERROR(__xludf.DUMMYFUNCTION("""COMPUTED_VALUE"""),46139.6666666666)</f>
        <v>46139.666666666599</v>
      </c>
      <c r="C87" s="141">
        <f ca="1">IFERROR(__xludf.DUMMYFUNCTION("""COMPUTED_VALUE"""),68.31)</f>
        <v>68.31</v>
      </c>
      <c r="D87" s="141">
        <f ca="1">IFERROR(__xludf.DUMMYFUNCTION("""COMPUTED_VALUE"""),68.44)</f>
        <v>68.44</v>
      </c>
      <c r="E87" s="141">
        <f ca="1">IFERROR(__xludf.DUMMYFUNCTION("""COMPUTED_VALUE"""),67.98)</f>
        <v>67.98</v>
      </c>
      <c r="F87" s="141">
        <f ca="1">IFERROR(__xludf.DUMMYFUNCTION("""COMPUTED_VALUE"""),68.07)</f>
        <v>68.069999999999993</v>
      </c>
      <c r="G87" s="143">
        <f ca="1">IFERROR(__xludf.DUMMYFUNCTION("""COMPUTED_VALUE"""),8949313)</f>
        <v>8949313</v>
      </c>
      <c r="H87" s="26"/>
    </row>
    <row r="88" spans="1:8" ht="17.25" customHeight="1" x14ac:dyDescent="0.2">
      <c r="A88" s="26"/>
      <c r="B88" s="139">
        <f ca="1">IFERROR(__xludf.DUMMYFUNCTION("""COMPUTED_VALUE"""),46140.6666666666)</f>
        <v>46140.666666666599</v>
      </c>
      <c r="C88" s="141">
        <f ca="1">IFERROR(__xludf.DUMMYFUNCTION("""COMPUTED_VALUE"""),67.75)</f>
        <v>67.75</v>
      </c>
      <c r="D88" s="141">
        <f ca="1">IFERROR(__xludf.DUMMYFUNCTION("""COMPUTED_VALUE"""),67.91)</f>
        <v>67.91</v>
      </c>
      <c r="E88" s="141">
        <f ca="1">IFERROR(__xludf.DUMMYFUNCTION("""COMPUTED_VALUE"""),67.44)</f>
        <v>67.44</v>
      </c>
      <c r="F88" s="141">
        <f ca="1">IFERROR(__xludf.DUMMYFUNCTION("""COMPUTED_VALUE"""),67.73)</f>
        <v>67.73</v>
      </c>
      <c r="G88" s="143">
        <f ca="1">IFERROR(__xludf.DUMMYFUNCTION("""COMPUTED_VALUE"""),11367825)</f>
        <v>11367825</v>
      </c>
      <c r="H88" s="26"/>
    </row>
    <row r="89" spans="1:8" ht="17.25" customHeight="1" x14ac:dyDescent="0.2">
      <c r="A89" s="26"/>
      <c r="B89" s="139">
        <f ca="1">IFERROR(__xludf.DUMMYFUNCTION("""COMPUTED_VALUE"""),46141.6666666666)</f>
        <v>46141.666666666599</v>
      </c>
      <c r="C89" s="141">
        <f ca="1">IFERROR(__xludf.DUMMYFUNCTION("""COMPUTED_VALUE"""),67.48)</f>
        <v>67.48</v>
      </c>
      <c r="D89" s="141">
        <f ca="1">IFERROR(__xludf.DUMMYFUNCTION("""COMPUTED_VALUE"""),67.54)</f>
        <v>67.540000000000006</v>
      </c>
      <c r="E89" s="141">
        <f ca="1">IFERROR(__xludf.DUMMYFUNCTION("""COMPUTED_VALUE"""),66.79)</f>
        <v>66.790000000000006</v>
      </c>
      <c r="F89" s="141">
        <f ca="1">IFERROR(__xludf.DUMMYFUNCTION("""COMPUTED_VALUE"""),67.08)</f>
        <v>67.08</v>
      </c>
      <c r="G89" s="143">
        <f ca="1">IFERROR(__xludf.DUMMYFUNCTION("""COMPUTED_VALUE"""),10743687)</f>
        <v>10743687</v>
      </c>
      <c r="H89" s="26"/>
    </row>
    <row r="90" spans="1:8" ht="17.25" customHeight="1" x14ac:dyDescent="0.2">
      <c r="A90" s="26"/>
      <c r="B90" s="139">
        <f ca="1">IFERROR(__xludf.DUMMYFUNCTION("""COMPUTED_VALUE"""),46142.6666666666)</f>
        <v>46142.666666666599</v>
      </c>
      <c r="C90" s="141">
        <f ca="1">IFERROR(__xludf.DUMMYFUNCTION("""COMPUTED_VALUE"""),68.04)</f>
        <v>68.040000000000006</v>
      </c>
      <c r="D90" s="141">
        <f ca="1">IFERROR(__xludf.DUMMYFUNCTION("""COMPUTED_VALUE"""),68.94)</f>
        <v>68.94</v>
      </c>
      <c r="E90" s="141">
        <f ca="1">IFERROR(__xludf.DUMMYFUNCTION("""COMPUTED_VALUE"""),67.9)</f>
        <v>67.900000000000006</v>
      </c>
      <c r="F90" s="141">
        <f ca="1">IFERROR(__xludf.DUMMYFUNCTION("""COMPUTED_VALUE"""),68.8)</f>
        <v>68.8</v>
      </c>
      <c r="G90" s="143">
        <f ca="1">IFERROR(__xludf.DUMMYFUNCTION("""COMPUTED_VALUE"""),13300004)</f>
        <v>13300004</v>
      </c>
      <c r="H90" s="26"/>
    </row>
    <row r="91" spans="1:8" ht="17.25" customHeight="1" x14ac:dyDescent="0.2">
      <c r="A91" s="26"/>
      <c r="B91" s="139">
        <f ca="1">IFERROR(__xludf.DUMMYFUNCTION("""COMPUTED_VALUE"""),46143.6666666666)</f>
        <v>46143.666666666599</v>
      </c>
      <c r="C91" s="141">
        <f ca="1">IFERROR(__xludf.DUMMYFUNCTION("""COMPUTED_VALUE"""),68.82)</f>
        <v>68.819999999999993</v>
      </c>
      <c r="D91" s="141">
        <f ca="1">IFERROR(__xludf.DUMMYFUNCTION("""COMPUTED_VALUE"""),69.22)</f>
        <v>69.22</v>
      </c>
      <c r="E91" s="141">
        <f ca="1">IFERROR(__xludf.DUMMYFUNCTION("""COMPUTED_VALUE"""),68.69)</f>
        <v>68.69</v>
      </c>
      <c r="F91" s="141">
        <f ca="1">IFERROR(__xludf.DUMMYFUNCTION("""COMPUTED_VALUE"""),68.72)</f>
        <v>68.72</v>
      </c>
      <c r="G91" s="143">
        <f ca="1">IFERROR(__xludf.DUMMYFUNCTION("""COMPUTED_VALUE"""),12749974)</f>
        <v>12749974</v>
      </c>
      <c r="H91" s="26"/>
    </row>
    <row r="92" spans="1:8" ht="17.25" customHeight="1" x14ac:dyDescent="0.2">
      <c r="A92" s="26"/>
      <c r="B92" s="139">
        <f ca="1">IFERROR(__xludf.DUMMYFUNCTION("""COMPUTED_VALUE"""),46146.6666666666)</f>
        <v>46146.666666666599</v>
      </c>
      <c r="C92" s="141">
        <f ca="1">IFERROR(__xludf.DUMMYFUNCTION("""COMPUTED_VALUE"""),68.48)</f>
        <v>68.48</v>
      </c>
      <c r="D92" s="141">
        <f ca="1">IFERROR(__xludf.DUMMYFUNCTION("""COMPUTED_VALUE"""),68.72)</f>
        <v>68.72</v>
      </c>
      <c r="E92" s="141">
        <f ca="1">IFERROR(__xludf.DUMMYFUNCTION("""COMPUTED_VALUE"""),67.71)</f>
        <v>67.709999999999994</v>
      </c>
      <c r="F92" s="141">
        <f ca="1">IFERROR(__xludf.DUMMYFUNCTION("""COMPUTED_VALUE"""),67.91)</f>
        <v>67.91</v>
      </c>
      <c r="G92" s="143">
        <f ca="1">IFERROR(__xludf.DUMMYFUNCTION("""COMPUTED_VALUE"""),15206270)</f>
        <v>15206270</v>
      </c>
      <c r="H92" s="26"/>
    </row>
    <row r="93" spans="1:8" ht="17.25" customHeight="1" x14ac:dyDescent="0.2">
      <c r="A93" s="26"/>
      <c r="B93" s="139">
        <f ca="1">IFERROR(__xludf.DUMMYFUNCTION("""COMPUTED_VALUE"""),46147.6666666666)</f>
        <v>46147.666666666599</v>
      </c>
      <c r="C93" s="141">
        <f ca="1">IFERROR(__xludf.DUMMYFUNCTION("""COMPUTED_VALUE"""),68.65)</f>
        <v>68.650000000000006</v>
      </c>
      <c r="D93" s="141">
        <f ca="1">IFERROR(__xludf.DUMMYFUNCTION("""COMPUTED_VALUE"""),69.14)</f>
        <v>69.14</v>
      </c>
      <c r="E93" s="141">
        <f ca="1">IFERROR(__xludf.DUMMYFUNCTION("""COMPUTED_VALUE"""),68.53)</f>
        <v>68.53</v>
      </c>
      <c r="F93" s="141">
        <f ca="1">IFERROR(__xludf.DUMMYFUNCTION("""COMPUTED_VALUE"""),68.98)</f>
        <v>68.98</v>
      </c>
      <c r="G93" s="143">
        <f ca="1">IFERROR(__xludf.DUMMYFUNCTION("""COMPUTED_VALUE"""),14930148)</f>
        <v>14930148</v>
      </c>
      <c r="H93" s="26"/>
    </row>
    <row r="94" spans="1:8" ht="17.25" customHeight="1" x14ac:dyDescent="0.2">
      <c r="A94" s="26"/>
      <c r="B94" s="139">
        <f ca="1">IFERROR(__xludf.DUMMYFUNCTION("""COMPUTED_VALUE"""),46148.6666666666)</f>
        <v>46148.666666666599</v>
      </c>
      <c r="C94" s="141">
        <f ca="1">IFERROR(__xludf.DUMMYFUNCTION("""COMPUTED_VALUE"""),70.59)</f>
        <v>70.59</v>
      </c>
      <c r="D94" s="141">
        <f ca="1">IFERROR(__xludf.DUMMYFUNCTION("""COMPUTED_VALUE"""),70.94)</f>
        <v>70.94</v>
      </c>
      <c r="E94" s="141">
        <f ca="1">IFERROR(__xludf.DUMMYFUNCTION("""COMPUTED_VALUE"""),70.47)</f>
        <v>70.47</v>
      </c>
      <c r="F94" s="141">
        <f ca="1">IFERROR(__xludf.DUMMYFUNCTION("""COMPUTED_VALUE"""),70.87)</f>
        <v>70.87</v>
      </c>
      <c r="G94" s="143">
        <f ca="1">IFERROR(__xludf.DUMMYFUNCTION("""COMPUTED_VALUE"""),9893090)</f>
        <v>9893090</v>
      </c>
      <c r="H94" s="26"/>
    </row>
    <row r="95" spans="1:8" ht="17.25" customHeight="1" x14ac:dyDescent="0.2">
      <c r="A95" s="26"/>
      <c r="B95" s="139">
        <f ca="1">IFERROR(__xludf.DUMMYFUNCTION("""COMPUTED_VALUE"""),46149.6666666666)</f>
        <v>46149.666666666599</v>
      </c>
      <c r="C95" s="141">
        <f ca="1">IFERROR(__xludf.DUMMYFUNCTION("""COMPUTED_VALUE"""),71.01)</f>
        <v>71.010000000000005</v>
      </c>
      <c r="D95" s="141">
        <f ca="1">IFERROR(__xludf.DUMMYFUNCTION("""COMPUTED_VALUE"""),71.12)</f>
        <v>71.12</v>
      </c>
      <c r="E95" s="141">
        <f ca="1">IFERROR(__xludf.DUMMYFUNCTION("""COMPUTED_VALUE"""),69.62)</f>
        <v>69.62</v>
      </c>
      <c r="F95" s="141">
        <f ca="1">IFERROR(__xludf.DUMMYFUNCTION("""COMPUTED_VALUE"""),69.67)</f>
        <v>69.67</v>
      </c>
      <c r="G95" s="143">
        <f ca="1">IFERROR(__xludf.DUMMYFUNCTION("""COMPUTED_VALUE"""),14924677)</f>
        <v>14924677</v>
      </c>
      <c r="H95" s="26"/>
    </row>
    <row r="96" spans="1:8" ht="17.25" customHeight="1" x14ac:dyDescent="0.2">
      <c r="A96" s="26"/>
      <c r="B96" s="139">
        <f ca="1">IFERROR(__xludf.DUMMYFUNCTION("""COMPUTED_VALUE"""),46150.6666666666)</f>
        <v>46150.666666666599</v>
      </c>
      <c r="C96" s="141">
        <f ca="1">IFERROR(__xludf.DUMMYFUNCTION("""COMPUTED_VALUE"""),70.42)</f>
        <v>70.42</v>
      </c>
      <c r="D96" s="141">
        <f ca="1">IFERROR(__xludf.DUMMYFUNCTION("""COMPUTED_VALUE"""),70.83)</f>
        <v>70.83</v>
      </c>
      <c r="E96" s="141">
        <f ca="1">IFERROR(__xludf.DUMMYFUNCTION("""COMPUTED_VALUE"""),70.39)</f>
        <v>70.39</v>
      </c>
      <c r="F96" s="141">
        <f ca="1">IFERROR(__xludf.DUMMYFUNCTION("""COMPUTED_VALUE"""),70.83)</f>
        <v>70.83</v>
      </c>
      <c r="G96" s="143">
        <f ca="1">IFERROR(__xludf.DUMMYFUNCTION("""COMPUTED_VALUE"""),9468538)</f>
        <v>9468538</v>
      </c>
      <c r="H96" s="26"/>
    </row>
    <row r="97" spans="1:8" ht="17.25" customHeight="1" x14ac:dyDescent="0.2">
      <c r="A97" s="26"/>
      <c r="B97" s="139">
        <f ca="1">IFERROR(__xludf.DUMMYFUNCTION("""COMPUTED_VALUE"""),46153.6666666666)</f>
        <v>46153.666666666599</v>
      </c>
      <c r="C97" s="141">
        <f ca="1">IFERROR(__xludf.DUMMYFUNCTION("""COMPUTED_VALUE"""),70.81)</f>
        <v>70.81</v>
      </c>
      <c r="D97" s="141">
        <f ca="1">IFERROR(__xludf.DUMMYFUNCTION("""COMPUTED_VALUE"""),71)</f>
        <v>71</v>
      </c>
      <c r="E97" s="141">
        <f ca="1">IFERROR(__xludf.DUMMYFUNCTION("""COMPUTED_VALUE"""),70.72)</f>
        <v>70.72</v>
      </c>
      <c r="F97" s="141">
        <f ca="1">IFERROR(__xludf.DUMMYFUNCTION("""COMPUTED_VALUE"""),70.82)</f>
        <v>70.819999999999993</v>
      </c>
      <c r="G97" s="143">
        <f ca="1">IFERROR(__xludf.DUMMYFUNCTION("""COMPUTED_VALUE"""),9789409)</f>
        <v>9789409</v>
      </c>
      <c r="H97" s="26"/>
    </row>
    <row r="98" spans="1:8" ht="17.25" customHeight="1" x14ac:dyDescent="0.2">
      <c r="A98" s="26"/>
      <c r="B98" s="139">
        <f ca="1">IFERROR(__xludf.DUMMYFUNCTION("""COMPUTED_VALUE"""),46154.6666666666)</f>
        <v>46154.666666666599</v>
      </c>
      <c r="C98" s="141">
        <f ca="1">IFERROR(__xludf.DUMMYFUNCTION("""COMPUTED_VALUE"""),70)</f>
        <v>70</v>
      </c>
      <c r="D98" s="141">
        <f ca="1">IFERROR(__xludf.DUMMYFUNCTION("""COMPUTED_VALUE"""),70.11)</f>
        <v>70.11</v>
      </c>
      <c r="E98" s="141">
        <f ca="1">IFERROR(__xludf.DUMMYFUNCTION("""COMPUTED_VALUE"""),69.36)</f>
        <v>69.36</v>
      </c>
      <c r="F98" s="141">
        <f ca="1">IFERROR(__xludf.DUMMYFUNCTION("""COMPUTED_VALUE"""),69.97)</f>
        <v>69.97</v>
      </c>
      <c r="G98" s="143">
        <f ca="1">IFERROR(__xludf.DUMMYFUNCTION("""COMPUTED_VALUE"""),9068189)</f>
        <v>9068189</v>
      </c>
      <c r="H98" s="26"/>
    </row>
    <row r="99" spans="1:8" ht="17.25" customHeight="1" x14ac:dyDescent="0.2">
      <c r="A99" s="26"/>
      <c r="B99" s="139">
        <f ca="1">IFERROR(__xludf.DUMMYFUNCTION("""COMPUTED_VALUE"""),46155.6666666666)</f>
        <v>46155.666666666599</v>
      </c>
      <c r="C99" s="141">
        <f ca="1">IFERROR(__xludf.DUMMYFUNCTION("""COMPUTED_VALUE"""),70.17)</f>
        <v>70.17</v>
      </c>
      <c r="D99" s="141">
        <f ca="1">IFERROR(__xludf.DUMMYFUNCTION("""COMPUTED_VALUE"""),70.65)</f>
        <v>70.650000000000006</v>
      </c>
      <c r="E99" s="141">
        <f ca="1">IFERROR(__xludf.DUMMYFUNCTION("""COMPUTED_VALUE"""),70)</f>
        <v>70</v>
      </c>
      <c r="F99" s="141">
        <f ca="1">IFERROR(__xludf.DUMMYFUNCTION("""COMPUTED_VALUE"""),70.63)</f>
        <v>70.63</v>
      </c>
      <c r="G99" s="143">
        <f ca="1">IFERROR(__xludf.DUMMYFUNCTION("""COMPUTED_VALUE"""),9963570)</f>
        <v>9963570</v>
      </c>
      <c r="H99" s="26"/>
    </row>
    <row r="100" spans="1:8" ht="17.25" customHeight="1" x14ac:dyDescent="0.2">
      <c r="A100" s="26"/>
      <c r="B100" s="139">
        <f ca="1">IFERROR(__xludf.DUMMYFUNCTION("""COMPUTED_VALUE"""),46156.6666666666)</f>
        <v>46156.666666666599</v>
      </c>
      <c r="C100" s="141">
        <f ca="1">IFERROR(__xludf.DUMMYFUNCTION("""COMPUTED_VALUE"""),70.69)</f>
        <v>70.69</v>
      </c>
      <c r="D100" s="141">
        <f ca="1">IFERROR(__xludf.DUMMYFUNCTION("""COMPUTED_VALUE"""),70.79)</f>
        <v>70.790000000000006</v>
      </c>
      <c r="E100" s="141">
        <f ca="1">IFERROR(__xludf.DUMMYFUNCTION("""COMPUTED_VALUE"""),70.46)</f>
        <v>70.459999999999994</v>
      </c>
      <c r="F100" s="141">
        <f ca="1">IFERROR(__xludf.DUMMYFUNCTION("""COMPUTED_VALUE"""),70.56)</f>
        <v>70.56</v>
      </c>
      <c r="G100" s="143">
        <f ca="1">IFERROR(__xludf.DUMMYFUNCTION("""COMPUTED_VALUE"""),10071231)</f>
        <v>10071231</v>
      </c>
      <c r="H100" s="26"/>
    </row>
    <row r="101" spans="1:8" ht="17.25" customHeight="1" x14ac:dyDescent="0.2">
      <c r="A101" s="26"/>
      <c r="B101" s="139">
        <f ca="1">IFERROR(__xludf.DUMMYFUNCTION("""COMPUTED_VALUE"""),46157.6666666666)</f>
        <v>46157.666666666599</v>
      </c>
      <c r="C101" s="141">
        <f ca="1">IFERROR(__xludf.DUMMYFUNCTION("""COMPUTED_VALUE"""),69.26)</f>
        <v>69.260000000000005</v>
      </c>
      <c r="D101" s="141">
        <f ca="1">IFERROR(__xludf.DUMMYFUNCTION("""COMPUTED_VALUE"""),69.35)</f>
        <v>69.349999999999994</v>
      </c>
      <c r="E101" s="141">
        <f ca="1">IFERROR(__xludf.DUMMYFUNCTION("""COMPUTED_VALUE"""),68.89)</f>
        <v>68.89</v>
      </c>
      <c r="F101" s="141">
        <f ca="1">IFERROR(__xludf.DUMMYFUNCTION("""COMPUTED_VALUE"""),69.08)</f>
        <v>69.08</v>
      </c>
      <c r="G101" s="143">
        <f ca="1">IFERROR(__xludf.DUMMYFUNCTION("""COMPUTED_VALUE"""),9970644)</f>
        <v>9970644</v>
      </c>
      <c r="H101" s="26"/>
    </row>
    <row r="102" spans="1:8" ht="17.25" customHeight="1" x14ac:dyDescent="0.2">
      <c r="A102" s="26"/>
      <c r="B102" s="139">
        <f ca="1">IFERROR(__xludf.DUMMYFUNCTION("""COMPUTED_VALUE"""),46160.6666666666)</f>
        <v>46160.666666666599</v>
      </c>
      <c r="C102" s="141">
        <f ca="1">IFERROR(__xludf.DUMMYFUNCTION("""COMPUTED_VALUE"""),69.73)</f>
        <v>69.73</v>
      </c>
      <c r="D102" s="141">
        <f ca="1">IFERROR(__xludf.DUMMYFUNCTION("""COMPUTED_VALUE"""),69.79)</f>
        <v>69.790000000000006</v>
      </c>
      <c r="E102" s="141">
        <f ca="1">IFERROR(__xludf.DUMMYFUNCTION("""COMPUTED_VALUE"""),68.91)</f>
        <v>68.91</v>
      </c>
      <c r="F102" s="141">
        <f ca="1">IFERROR(__xludf.DUMMYFUNCTION("""COMPUTED_VALUE"""),69.52)</f>
        <v>69.52</v>
      </c>
      <c r="G102" s="143">
        <f ca="1">IFERROR(__xludf.DUMMYFUNCTION("""COMPUTED_VALUE"""),12279325)</f>
        <v>12279325</v>
      </c>
      <c r="H102" s="26"/>
    </row>
    <row r="103" spans="1:8" ht="17.25" customHeight="1" x14ac:dyDescent="0.2">
      <c r="A103" s="26"/>
      <c r="B103" s="139">
        <f ca="1">IFERROR(__xludf.DUMMYFUNCTION("""COMPUTED_VALUE"""),46161.6666666666)</f>
        <v>46161.666666666599</v>
      </c>
      <c r="C103" s="141">
        <f ca="1">IFERROR(__xludf.DUMMYFUNCTION("""COMPUTED_VALUE"""),68.92)</f>
        <v>68.92</v>
      </c>
      <c r="D103" s="141">
        <f ca="1">IFERROR(__xludf.DUMMYFUNCTION("""COMPUTED_VALUE"""),69.46)</f>
        <v>69.459999999999994</v>
      </c>
      <c r="E103" s="141">
        <f ca="1">IFERROR(__xludf.DUMMYFUNCTION("""COMPUTED_VALUE"""),68.66)</f>
        <v>68.66</v>
      </c>
      <c r="F103" s="141">
        <f ca="1">IFERROR(__xludf.DUMMYFUNCTION("""COMPUTED_VALUE"""),68.99)</f>
        <v>68.989999999999995</v>
      </c>
      <c r="G103" s="143">
        <f ca="1">IFERROR(__xludf.DUMMYFUNCTION("""COMPUTED_VALUE"""),11695473)</f>
        <v>11695473</v>
      </c>
      <c r="H103" s="26"/>
    </row>
    <row r="104" spans="1:8" ht="17.25" customHeight="1" x14ac:dyDescent="0.2">
      <c r="A104" s="26"/>
      <c r="B104" s="139">
        <f ca="1">IFERROR(__xludf.DUMMYFUNCTION("""COMPUTED_VALUE"""),46162.6666666666)</f>
        <v>46162.666666666599</v>
      </c>
      <c r="C104" s="141">
        <f ca="1">IFERROR(__xludf.DUMMYFUNCTION("""COMPUTED_VALUE"""),69.06)</f>
        <v>69.06</v>
      </c>
      <c r="D104" s="141">
        <f ca="1">IFERROR(__xludf.DUMMYFUNCTION("""COMPUTED_VALUE"""),70.33)</f>
        <v>70.33</v>
      </c>
      <c r="E104" s="141">
        <f ca="1">IFERROR(__xludf.DUMMYFUNCTION("""COMPUTED_VALUE"""),69.02)</f>
        <v>69.02</v>
      </c>
      <c r="F104" s="141">
        <f ca="1">IFERROR(__xludf.DUMMYFUNCTION("""COMPUTED_VALUE"""),70.2)</f>
        <v>70.2</v>
      </c>
      <c r="G104" s="143">
        <f ca="1">IFERROR(__xludf.DUMMYFUNCTION("""COMPUTED_VALUE"""),9111527)</f>
        <v>9111527</v>
      </c>
      <c r="H104" s="26"/>
    </row>
    <row r="105" spans="1:8" ht="17.25" customHeight="1" x14ac:dyDescent="0.2">
      <c r="A105" s="26"/>
      <c r="B105" s="139">
        <f ca="1">IFERROR(__xludf.DUMMYFUNCTION("""COMPUTED_VALUE"""),46163.6666666666)</f>
        <v>46163.666666666599</v>
      </c>
      <c r="C105" s="141">
        <f ca="1">IFERROR(__xludf.DUMMYFUNCTION("""COMPUTED_VALUE"""),69.82)</f>
        <v>69.819999999999993</v>
      </c>
      <c r="D105" s="141">
        <f ca="1">IFERROR(__xludf.DUMMYFUNCTION("""COMPUTED_VALUE"""),70.93)</f>
        <v>70.930000000000007</v>
      </c>
      <c r="E105" s="141">
        <f ca="1">IFERROR(__xludf.DUMMYFUNCTION("""COMPUTED_VALUE"""),69.63)</f>
        <v>69.63</v>
      </c>
      <c r="F105" s="141">
        <f ca="1">IFERROR(__xludf.DUMMYFUNCTION("""COMPUTED_VALUE"""),70.69)</f>
        <v>70.69</v>
      </c>
      <c r="G105" s="143">
        <f ca="1">IFERROR(__xludf.DUMMYFUNCTION("""COMPUTED_VALUE"""),13457004)</f>
        <v>13457004</v>
      </c>
      <c r="H105" s="26"/>
    </row>
    <row r="106" spans="1:8" ht="17.25" customHeight="1" x14ac:dyDescent="0.2">
      <c r="A106" s="26"/>
      <c r="B106" s="139">
        <f ca="1">IFERROR(__xludf.DUMMYFUNCTION("""COMPUTED_VALUE"""),46164.6666666666)</f>
        <v>46164.666666666599</v>
      </c>
      <c r="C106" s="141">
        <f ca="1">IFERROR(__xludf.DUMMYFUNCTION("""COMPUTED_VALUE"""),70.67)</f>
        <v>70.67</v>
      </c>
      <c r="D106" s="141">
        <f ca="1">IFERROR(__xludf.DUMMYFUNCTION("""COMPUTED_VALUE"""),70.84)</f>
        <v>70.84</v>
      </c>
      <c r="E106" s="141">
        <f ca="1">IFERROR(__xludf.DUMMYFUNCTION("""COMPUTED_VALUE"""),70.38)</f>
        <v>70.38</v>
      </c>
      <c r="F106" s="141">
        <f ca="1">IFERROR(__xludf.DUMMYFUNCTION("""COMPUTED_VALUE"""),70.46)</f>
        <v>70.459999999999994</v>
      </c>
      <c r="G106" s="143">
        <f ca="1">IFERROR(__xludf.DUMMYFUNCTION("""COMPUTED_VALUE"""),8710069)</f>
        <v>8710069</v>
      </c>
      <c r="H106" s="26"/>
    </row>
    <row r="107" spans="1:8" ht="17.25" customHeight="1" x14ac:dyDescent="0.2">
      <c r="A107" s="26"/>
      <c r="B107" s="139">
        <f ca="1">IFERROR(__xludf.DUMMYFUNCTION("""COMPUTED_VALUE"""),46168.6666666666)</f>
        <v>46168.666666666599</v>
      </c>
      <c r="C107" s="141">
        <f ca="1">IFERROR(__xludf.DUMMYFUNCTION("""COMPUTED_VALUE"""),71.61)</f>
        <v>71.61</v>
      </c>
      <c r="D107" s="141">
        <f ca="1">IFERROR(__xludf.DUMMYFUNCTION("""COMPUTED_VALUE"""),71.88)</f>
        <v>71.88</v>
      </c>
      <c r="E107" s="141">
        <f ca="1">IFERROR(__xludf.DUMMYFUNCTION("""COMPUTED_VALUE"""),71.47)</f>
        <v>71.47</v>
      </c>
      <c r="F107" s="141">
        <f ca="1">IFERROR(__xludf.DUMMYFUNCTION("""COMPUTED_VALUE"""),71.78)</f>
        <v>71.78</v>
      </c>
      <c r="G107" s="143">
        <f ca="1">IFERROR(__xludf.DUMMYFUNCTION("""COMPUTED_VALUE"""),8767583)</f>
        <v>8767583</v>
      </c>
      <c r="H107" s="26"/>
    </row>
    <row r="108" spans="1:8" ht="17.25" customHeight="1" x14ac:dyDescent="0.2">
      <c r="A108" s="26"/>
      <c r="B108" s="139">
        <f ca="1">IFERROR(__xludf.DUMMYFUNCTION("""COMPUTED_VALUE"""),46169.6666666666)</f>
        <v>46169.666666666599</v>
      </c>
      <c r="C108" s="141">
        <f ca="1">IFERROR(__xludf.DUMMYFUNCTION("""COMPUTED_VALUE"""),71.71)</f>
        <v>71.709999999999994</v>
      </c>
      <c r="D108" s="141">
        <f ca="1">IFERROR(__xludf.DUMMYFUNCTION("""COMPUTED_VALUE"""),71.78)</f>
        <v>71.78</v>
      </c>
      <c r="E108" s="141">
        <f ca="1">IFERROR(__xludf.DUMMYFUNCTION("""COMPUTED_VALUE"""),71.2)</f>
        <v>71.2</v>
      </c>
      <c r="F108" s="141">
        <f ca="1">IFERROR(__xludf.DUMMYFUNCTION("""COMPUTED_VALUE"""),71.41)</f>
        <v>71.41</v>
      </c>
      <c r="G108" s="143">
        <f ca="1">IFERROR(__xludf.DUMMYFUNCTION("""COMPUTED_VALUE"""),8581151)</f>
        <v>8581151</v>
      </c>
      <c r="H108" s="26"/>
    </row>
    <row r="109" spans="1:8" ht="17.25" customHeight="1" x14ac:dyDescent="0.2">
      <c r="A109" s="26"/>
      <c r="B109" s="139">
        <f ca="1">IFERROR(__xludf.DUMMYFUNCTION("""COMPUTED_VALUE"""),46170.6666666666)</f>
        <v>46170.666666666599</v>
      </c>
      <c r="C109" s="141">
        <f ca="1">IFERROR(__xludf.DUMMYFUNCTION("""COMPUTED_VALUE"""),71.05)</f>
        <v>71.05</v>
      </c>
      <c r="D109" s="141">
        <f ca="1">IFERROR(__xludf.DUMMYFUNCTION("""COMPUTED_VALUE"""),71.84)</f>
        <v>71.84</v>
      </c>
      <c r="E109" s="141">
        <f ca="1">IFERROR(__xludf.DUMMYFUNCTION("""COMPUTED_VALUE"""),70.88)</f>
        <v>70.88</v>
      </c>
      <c r="F109" s="141">
        <f ca="1">IFERROR(__xludf.DUMMYFUNCTION("""COMPUTED_VALUE"""),71.66)</f>
        <v>71.66</v>
      </c>
      <c r="G109" s="143">
        <f ca="1">IFERROR(__xludf.DUMMYFUNCTION("""COMPUTED_VALUE"""),8371691)</f>
        <v>8371691</v>
      </c>
      <c r="H109" s="26"/>
    </row>
    <row r="110" spans="1:8" ht="17.25" customHeight="1" x14ac:dyDescent="0.2">
      <c r="A110" s="26"/>
      <c r="B110" s="139">
        <f ca="1">IFERROR(__xludf.DUMMYFUNCTION("""COMPUTED_VALUE"""),46171.6666666666)</f>
        <v>46171.666666666599</v>
      </c>
      <c r="C110" s="141">
        <f ca="1">IFERROR(__xludf.DUMMYFUNCTION("""COMPUTED_VALUE"""),72.02)</f>
        <v>72.02</v>
      </c>
      <c r="D110" s="141">
        <f ca="1">IFERROR(__xludf.DUMMYFUNCTION("""COMPUTED_VALUE"""),72.22)</f>
        <v>72.22</v>
      </c>
      <c r="E110" s="141">
        <f ca="1">IFERROR(__xludf.DUMMYFUNCTION("""COMPUTED_VALUE"""),71.7)</f>
        <v>71.7</v>
      </c>
      <c r="F110" s="141">
        <f ca="1">IFERROR(__xludf.DUMMYFUNCTION("""COMPUTED_VALUE"""),71.77)</f>
        <v>71.77</v>
      </c>
      <c r="G110" s="143">
        <f ca="1">IFERROR(__xludf.DUMMYFUNCTION("""COMPUTED_VALUE"""),11899233)</f>
        <v>11899233</v>
      </c>
      <c r="H110" s="26"/>
    </row>
    <row r="111" spans="1:8" ht="17.25" customHeight="1" x14ac:dyDescent="0.2">
      <c r="A111" s="26"/>
      <c r="B111" s="139">
        <f ca="1">IFERROR(__xludf.DUMMYFUNCTION("""COMPUTED_VALUE"""),46174.6666666666)</f>
        <v>46174.666666666599</v>
      </c>
      <c r="C111" s="141">
        <f ca="1">IFERROR(__xludf.DUMMYFUNCTION("""COMPUTED_VALUE"""),71.55)</f>
        <v>71.55</v>
      </c>
      <c r="D111" s="141">
        <f ca="1">IFERROR(__xludf.DUMMYFUNCTION("""COMPUTED_VALUE"""),72.22)</f>
        <v>72.22</v>
      </c>
      <c r="E111" s="141">
        <f ca="1">IFERROR(__xludf.DUMMYFUNCTION("""COMPUTED_VALUE"""),71.24)</f>
        <v>71.239999999999995</v>
      </c>
      <c r="F111" s="141">
        <f ca="1">IFERROR(__xludf.DUMMYFUNCTION("""COMPUTED_VALUE"""),71.87)</f>
        <v>71.87</v>
      </c>
      <c r="G111" s="143">
        <f ca="1">IFERROR(__xludf.DUMMYFUNCTION("""COMPUTED_VALUE"""),10528392)</f>
        <v>10528392</v>
      </c>
      <c r="H111" s="26"/>
    </row>
    <row r="112" spans="1:8" ht="17.25" customHeight="1" x14ac:dyDescent="0.2">
      <c r="A112" s="26"/>
      <c r="B112" s="139">
        <f ca="1">IFERROR(__xludf.DUMMYFUNCTION("""COMPUTED_VALUE"""),46175.6666666666)</f>
        <v>46175.666666666599</v>
      </c>
      <c r="C112" s="141">
        <f ca="1">IFERROR(__xludf.DUMMYFUNCTION("""COMPUTED_VALUE"""),71.88)</f>
        <v>71.88</v>
      </c>
      <c r="D112" s="141">
        <f ca="1">IFERROR(__xludf.DUMMYFUNCTION("""COMPUTED_VALUE"""),72.32)</f>
        <v>72.319999999999993</v>
      </c>
      <c r="E112" s="141">
        <f ca="1">IFERROR(__xludf.DUMMYFUNCTION("""COMPUTED_VALUE"""),71.8)</f>
        <v>71.8</v>
      </c>
      <c r="F112" s="141">
        <f ca="1">IFERROR(__xludf.DUMMYFUNCTION("""COMPUTED_VALUE"""),72.32)</f>
        <v>72.319999999999993</v>
      </c>
      <c r="G112" s="143">
        <f ca="1">IFERROR(__xludf.DUMMYFUNCTION("""COMPUTED_VALUE"""),7565078)</f>
        <v>7565078</v>
      </c>
      <c r="H112" s="26"/>
    </row>
    <row r="113" spans="1:8" ht="17.25" customHeight="1" x14ac:dyDescent="0.2">
      <c r="A113" s="26"/>
      <c r="B113" s="139">
        <f ca="1">IFERROR(__xludf.DUMMYFUNCTION("""COMPUTED_VALUE"""),46176.6666666666)</f>
        <v>46176.666666666599</v>
      </c>
      <c r="C113" s="141">
        <f ca="1">IFERROR(__xludf.DUMMYFUNCTION("""COMPUTED_VALUE"""),72.03)</f>
        <v>72.03</v>
      </c>
      <c r="D113" s="141">
        <f ca="1">IFERROR(__xludf.DUMMYFUNCTION("""COMPUTED_VALUE"""),72.1)</f>
        <v>72.099999999999994</v>
      </c>
      <c r="E113" s="141">
        <f ca="1">IFERROR(__xludf.DUMMYFUNCTION("""COMPUTED_VALUE"""),71.57)</f>
        <v>71.569999999999993</v>
      </c>
      <c r="F113" s="141">
        <f ca="1">IFERROR(__xludf.DUMMYFUNCTION("""COMPUTED_VALUE"""),71.67)</f>
        <v>71.67</v>
      </c>
      <c r="G113" s="143">
        <f ca="1">IFERROR(__xludf.DUMMYFUNCTION("""COMPUTED_VALUE"""),8235085)</f>
        <v>8235085</v>
      </c>
      <c r="H113" s="26"/>
    </row>
    <row r="114" spans="1:8" ht="17.25" customHeight="1" x14ac:dyDescent="0.2">
      <c r="A114" s="26"/>
      <c r="B114" s="139">
        <f ca="1">IFERROR(__xludf.DUMMYFUNCTION("""COMPUTED_VALUE"""),46177.6666666666)</f>
        <v>46177.666666666599</v>
      </c>
      <c r="C114" s="141">
        <f ca="1">IFERROR(__xludf.DUMMYFUNCTION("""COMPUTED_VALUE"""),71.51)</f>
        <v>71.510000000000005</v>
      </c>
      <c r="D114" s="141">
        <f ca="1">IFERROR(__xludf.DUMMYFUNCTION("""COMPUTED_VALUE"""),71.97)</f>
        <v>71.97</v>
      </c>
      <c r="E114" s="141">
        <f ca="1">IFERROR(__xludf.DUMMYFUNCTION("""COMPUTED_VALUE"""),71.39)</f>
        <v>71.39</v>
      </c>
      <c r="F114" s="141">
        <f ca="1">IFERROR(__xludf.DUMMYFUNCTION("""COMPUTED_VALUE"""),71.84)</f>
        <v>71.84</v>
      </c>
      <c r="G114" s="143">
        <f ca="1">IFERROR(__xludf.DUMMYFUNCTION("""COMPUTED_VALUE"""),7336979)</f>
        <v>7336979</v>
      </c>
      <c r="H114" s="26"/>
    </row>
    <row r="115" spans="1:8" ht="17.25" customHeight="1" x14ac:dyDescent="0.2">
      <c r="A115" s="26"/>
      <c r="B115" s="139">
        <f ca="1">IFERROR(__xludf.DUMMYFUNCTION("""COMPUTED_VALUE"""),46178.6666666666)</f>
        <v>46178.666666666599</v>
      </c>
      <c r="C115" s="141">
        <f ca="1">IFERROR(__xludf.DUMMYFUNCTION("""COMPUTED_VALUE"""),70.86)</f>
        <v>70.86</v>
      </c>
      <c r="D115" s="141">
        <f ca="1">IFERROR(__xludf.DUMMYFUNCTION("""COMPUTED_VALUE"""),70.91)</f>
        <v>70.91</v>
      </c>
      <c r="E115" s="141">
        <f ca="1">IFERROR(__xludf.DUMMYFUNCTION("""COMPUTED_VALUE"""),69.01)</f>
        <v>69.010000000000005</v>
      </c>
      <c r="F115" s="141">
        <f ca="1">IFERROR(__xludf.DUMMYFUNCTION("""COMPUTED_VALUE"""),69.17)</f>
        <v>69.17</v>
      </c>
      <c r="G115" s="143">
        <f ca="1">IFERROR(__xludf.DUMMYFUNCTION("""COMPUTED_VALUE"""),14225584)</f>
        <v>14225584</v>
      </c>
      <c r="H115" s="26"/>
    </row>
    <row r="116" spans="1:8" ht="17.25" customHeight="1" x14ac:dyDescent="0.2">
      <c r="A116" s="26"/>
      <c r="B116" s="139">
        <f ca="1">IFERROR(__xludf.DUMMYFUNCTION("""COMPUTED_VALUE"""),46181.6666666666)</f>
        <v>46181.666666666599</v>
      </c>
      <c r="C116" s="141">
        <f ca="1">IFERROR(__xludf.DUMMYFUNCTION("""COMPUTED_VALUE"""),70.16)</f>
        <v>70.16</v>
      </c>
      <c r="D116" s="141">
        <f ca="1">IFERROR(__xludf.DUMMYFUNCTION("""COMPUTED_VALUE"""),70.29)</f>
        <v>70.290000000000006</v>
      </c>
      <c r="E116" s="141">
        <f ca="1">IFERROR(__xludf.DUMMYFUNCTION("""COMPUTED_VALUE"""),69.71)</f>
        <v>69.709999999999994</v>
      </c>
      <c r="F116" s="141">
        <f ca="1">IFERROR(__xludf.DUMMYFUNCTION("""COMPUTED_VALUE"""),69.86)</f>
        <v>69.86</v>
      </c>
      <c r="G116" s="143">
        <f ca="1">IFERROR(__xludf.DUMMYFUNCTION("""COMPUTED_VALUE"""),13037891)</f>
        <v>13037891</v>
      </c>
      <c r="H116" s="26"/>
    </row>
    <row r="117" spans="1:8" ht="17.25" customHeight="1" x14ac:dyDescent="0.2">
      <c r="A117" s="26"/>
      <c r="B117" s="139">
        <f ca="1">IFERROR(__xludf.DUMMYFUNCTION("""COMPUTED_VALUE"""),46182.6666666666)</f>
        <v>46182.666666666599</v>
      </c>
      <c r="C117" s="141">
        <f ca="1">IFERROR(__xludf.DUMMYFUNCTION("""COMPUTED_VALUE"""),70.75)</f>
        <v>70.75</v>
      </c>
      <c r="D117" s="141">
        <f ca="1">IFERROR(__xludf.DUMMYFUNCTION("""COMPUTED_VALUE"""),70.97)</f>
        <v>70.97</v>
      </c>
      <c r="E117" s="141">
        <f ca="1">IFERROR(__xludf.DUMMYFUNCTION("""COMPUTED_VALUE"""),68.6)</f>
        <v>68.599999999999994</v>
      </c>
      <c r="F117" s="141">
        <f ca="1">IFERROR(__xludf.DUMMYFUNCTION("""COMPUTED_VALUE"""),69.84)</f>
        <v>69.84</v>
      </c>
      <c r="G117" s="143">
        <f ca="1">IFERROR(__xludf.DUMMYFUNCTION("""COMPUTED_VALUE"""),11879921)</f>
        <v>11879921</v>
      </c>
      <c r="H117" s="26"/>
    </row>
    <row r="118" spans="1:8" ht="17.25" customHeight="1" x14ac:dyDescent="0.2">
      <c r="A118" s="26"/>
      <c r="B118" s="139">
        <f ca="1">IFERROR(__xludf.DUMMYFUNCTION("""COMPUTED_VALUE"""),46183.6666666666)</f>
        <v>46183.666666666599</v>
      </c>
      <c r="C118" s="141">
        <f ca="1">IFERROR(__xludf.DUMMYFUNCTION("""COMPUTED_VALUE"""),69.4)</f>
        <v>69.400000000000006</v>
      </c>
      <c r="D118" s="141">
        <f ca="1">IFERROR(__xludf.DUMMYFUNCTION("""COMPUTED_VALUE"""),69.96)</f>
        <v>69.959999999999994</v>
      </c>
      <c r="E118" s="141">
        <f ca="1">IFERROR(__xludf.DUMMYFUNCTION("""COMPUTED_VALUE"""),68.78)</f>
        <v>68.78</v>
      </c>
      <c r="F118" s="141">
        <f ca="1">IFERROR(__xludf.DUMMYFUNCTION("""COMPUTED_VALUE"""),68.81)</f>
        <v>68.81</v>
      </c>
      <c r="G118" s="143">
        <f ca="1">IFERROR(__xludf.DUMMYFUNCTION("""COMPUTED_VALUE"""),11333959)</f>
        <v>11333959</v>
      </c>
      <c r="H118" s="26"/>
    </row>
    <row r="119" spans="1:8" ht="17.25" customHeight="1" x14ac:dyDescent="0.2">
      <c r="A119" s="26"/>
      <c r="B119" s="139">
        <f ca="1">IFERROR(__xludf.DUMMYFUNCTION("""COMPUTED_VALUE"""),46184.6666666666)</f>
        <v>46184.666666666599</v>
      </c>
      <c r="C119" s="141">
        <f ca="1">IFERROR(__xludf.DUMMYFUNCTION("""COMPUTED_VALUE"""),69.66)</f>
        <v>69.66</v>
      </c>
      <c r="D119" s="141">
        <f ca="1">IFERROR(__xludf.DUMMYFUNCTION("""COMPUTED_VALUE"""),71.4)</f>
        <v>71.400000000000006</v>
      </c>
      <c r="E119" s="141">
        <f ca="1">IFERROR(__xludf.DUMMYFUNCTION("""COMPUTED_VALUE"""),69.42)</f>
        <v>69.42</v>
      </c>
      <c r="F119" s="141">
        <f ca="1">IFERROR(__xludf.DUMMYFUNCTION("""COMPUTED_VALUE"""),71.31)</f>
        <v>71.31</v>
      </c>
      <c r="G119" s="143">
        <f ca="1">IFERROR(__xludf.DUMMYFUNCTION("""COMPUTED_VALUE"""),16157729)</f>
        <v>16157729</v>
      </c>
      <c r="H119" s="26"/>
    </row>
    <row r="120" spans="1:8" ht="17.25" customHeight="1" x14ac:dyDescent="0.2">
      <c r="A120" s="26"/>
      <c r="B120" s="139">
        <f ca="1">IFERROR(__xludf.DUMMYFUNCTION("""COMPUTED_VALUE"""),46185.6666666666)</f>
        <v>46185.666666666599</v>
      </c>
      <c r="C120" s="141">
        <f ca="1">IFERROR(__xludf.DUMMYFUNCTION("""COMPUTED_VALUE"""),71.14)</f>
        <v>71.14</v>
      </c>
      <c r="D120" s="141">
        <f ca="1">IFERROR(__xludf.DUMMYFUNCTION("""COMPUTED_VALUE"""),71.8)</f>
        <v>71.8</v>
      </c>
      <c r="E120" s="141">
        <f ca="1">IFERROR(__xludf.DUMMYFUNCTION("""COMPUTED_VALUE"""),70.83)</f>
        <v>70.83</v>
      </c>
      <c r="F120" s="141">
        <f ca="1">IFERROR(__xludf.DUMMYFUNCTION("""COMPUTED_VALUE"""),71.55)</f>
        <v>71.55</v>
      </c>
      <c r="G120" s="143">
        <f ca="1">IFERROR(__xludf.DUMMYFUNCTION("""COMPUTED_VALUE"""),15850843)</f>
        <v>15850843</v>
      </c>
      <c r="H120" s="26"/>
    </row>
    <row r="121" spans="1:8" ht="17.25" customHeight="1" x14ac:dyDescent="0.2">
      <c r="A121" s="26"/>
      <c r="B121" s="139">
        <f ca="1">IFERROR(__xludf.DUMMYFUNCTION("""COMPUTED_VALUE"""),46188.6666666666)</f>
        <v>46188.666666666599</v>
      </c>
      <c r="C121" s="141">
        <f ca="1">IFERROR(__xludf.DUMMYFUNCTION("""COMPUTED_VALUE"""),72.7)</f>
        <v>72.7</v>
      </c>
      <c r="D121" s="141">
        <f ca="1">IFERROR(__xludf.DUMMYFUNCTION("""COMPUTED_VALUE"""),72.8)</f>
        <v>72.8</v>
      </c>
      <c r="E121" s="141">
        <f ca="1">IFERROR(__xludf.DUMMYFUNCTION("""COMPUTED_VALUE"""),72.29)</f>
        <v>72.290000000000006</v>
      </c>
      <c r="F121" s="141">
        <f ca="1">IFERROR(__xludf.DUMMYFUNCTION("""COMPUTED_VALUE"""),72.39)</f>
        <v>72.39</v>
      </c>
      <c r="G121" s="143">
        <f ca="1">IFERROR(__xludf.DUMMYFUNCTION("""COMPUTED_VALUE"""),10650541)</f>
        <v>10650541</v>
      </c>
      <c r="H121" s="26"/>
    </row>
    <row r="122" spans="1:8" ht="17.25" customHeight="1" x14ac:dyDescent="0.2">
      <c r="A122" s="26"/>
      <c r="B122" s="139">
        <f ca="1">IFERROR(__xludf.DUMMYFUNCTION("""COMPUTED_VALUE"""),46189.6666666666)</f>
        <v>46189.666666666599</v>
      </c>
      <c r="C122" s="141">
        <f ca="1">IFERROR(__xludf.DUMMYFUNCTION("""COMPUTED_VALUE"""),72.72)</f>
        <v>72.72</v>
      </c>
      <c r="D122" s="141">
        <f ca="1">IFERROR(__xludf.DUMMYFUNCTION("""COMPUTED_VALUE"""),72.85)</f>
        <v>72.849999999999994</v>
      </c>
      <c r="E122" s="141">
        <f ca="1">IFERROR(__xludf.DUMMYFUNCTION("""COMPUTED_VALUE"""),72.25)</f>
        <v>72.25</v>
      </c>
      <c r="F122" s="141">
        <f ca="1">IFERROR(__xludf.DUMMYFUNCTION("""COMPUTED_VALUE"""),72.32)</f>
        <v>72.319999999999993</v>
      </c>
      <c r="G122" s="143">
        <f ca="1">IFERROR(__xludf.DUMMYFUNCTION("""COMPUTED_VALUE"""),7907297)</f>
        <v>7907297</v>
      </c>
      <c r="H122" s="26"/>
    </row>
    <row r="123" spans="1:8" ht="17.25" customHeight="1" x14ac:dyDescent="0.2">
      <c r="A123" s="26"/>
      <c r="B123" s="139">
        <f ca="1">IFERROR(__xludf.DUMMYFUNCTION("""COMPUTED_VALUE"""),46190.6666666666)</f>
        <v>46190.666666666599</v>
      </c>
      <c r="C123" s="141">
        <f ca="1">IFERROR(__xludf.DUMMYFUNCTION("""COMPUTED_VALUE"""),72.88)</f>
        <v>72.88</v>
      </c>
      <c r="D123" s="141">
        <f ca="1">IFERROR(__xludf.DUMMYFUNCTION("""COMPUTED_VALUE"""),73.23)</f>
        <v>73.23</v>
      </c>
      <c r="E123" s="141">
        <f ca="1">IFERROR(__xludf.DUMMYFUNCTION("""COMPUTED_VALUE"""),71.85)</f>
        <v>71.849999999999994</v>
      </c>
      <c r="F123" s="141">
        <f ca="1">IFERROR(__xludf.DUMMYFUNCTION("""COMPUTED_VALUE"""),72)</f>
        <v>72</v>
      </c>
      <c r="G123" s="143">
        <f ca="1">IFERROR(__xludf.DUMMYFUNCTION("""COMPUTED_VALUE"""),20840117)</f>
        <v>20840117</v>
      </c>
      <c r="H123" s="26"/>
    </row>
    <row r="124" spans="1:8" ht="17.25" customHeight="1" x14ac:dyDescent="0.2">
      <c r="A124" s="26"/>
      <c r="B124" s="139">
        <f ca="1">IFERROR(__xludf.DUMMYFUNCTION("""COMPUTED_VALUE"""),46191.6666666666)</f>
        <v>46191.666666666599</v>
      </c>
      <c r="C124" s="141">
        <f ca="1">IFERROR(__xludf.DUMMYFUNCTION("""COMPUTED_VALUE"""),72.36)</f>
        <v>72.36</v>
      </c>
      <c r="D124" s="141">
        <f ca="1">IFERROR(__xludf.DUMMYFUNCTION("""COMPUTED_VALUE"""),72.51)</f>
        <v>72.510000000000005</v>
      </c>
      <c r="E124" s="141">
        <f ca="1">IFERROR(__xludf.DUMMYFUNCTION("""COMPUTED_VALUE"""),72.15)</f>
        <v>72.150000000000006</v>
      </c>
      <c r="F124" s="141">
        <f ca="1">IFERROR(__xludf.DUMMYFUNCTION("""COMPUTED_VALUE"""),72.31)</f>
        <v>72.31</v>
      </c>
      <c r="G124" s="143">
        <f ca="1">IFERROR(__xludf.DUMMYFUNCTION("""COMPUTED_VALUE"""),8922238)</f>
        <v>8922238</v>
      </c>
      <c r="H124" s="26"/>
    </row>
    <row r="125" spans="1:8" ht="17.25" customHeight="1" x14ac:dyDescent="0.2">
      <c r="A125" s="26"/>
      <c r="B125" s="139">
        <f ca="1">IFERROR(__xludf.DUMMYFUNCTION("""COMPUTED_VALUE"""),46195.6666666666)</f>
        <v>46195.666666666599</v>
      </c>
      <c r="C125" s="141">
        <f ca="1">IFERROR(__xludf.DUMMYFUNCTION("""COMPUTED_VALUE"""),72.36)</f>
        <v>72.36</v>
      </c>
      <c r="D125" s="141">
        <f ca="1">IFERROR(__xludf.DUMMYFUNCTION("""COMPUTED_VALUE"""),72.56)</f>
        <v>72.56</v>
      </c>
      <c r="E125" s="141">
        <f ca="1">IFERROR(__xludf.DUMMYFUNCTION("""COMPUTED_VALUE"""),72.24)</f>
        <v>72.239999999999995</v>
      </c>
      <c r="F125" s="141">
        <f ca="1">IFERROR(__xludf.DUMMYFUNCTION("""COMPUTED_VALUE"""),72.39)</f>
        <v>72.39</v>
      </c>
      <c r="G125" s="143">
        <f ca="1">IFERROR(__xludf.DUMMYFUNCTION("""COMPUTED_VALUE"""),9433782)</f>
        <v>9433782</v>
      </c>
      <c r="H125" s="26"/>
    </row>
    <row r="126" spans="1:8" ht="17.25" customHeight="1" x14ac:dyDescent="0.2">
      <c r="A126" s="26"/>
      <c r="B126" s="139">
        <f ca="1">IFERROR(__xludf.DUMMYFUNCTION("""COMPUTED_VALUE"""),46196.6666666666)</f>
        <v>46196.666666666599</v>
      </c>
      <c r="C126" s="141">
        <f ca="1">IFERROR(__xludf.DUMMYFUNCTION("""COMPUTED_VALUE"""),70.16)</f>
        <v>70.16</v>
      </c>
      <c r="D126" s="141">
        <f ca="1">IFERROR(__xludf.DUMMYFUNCTION("""COMPUTED_VALUE"""),70.79)</f>
        <v>70.790000000000006</v>
      </c>
      <c r="E126" s="141">
        <f ca="1">IFERROR(__xludf.DUMMYFUNCTION("""COMPUTED_VALUE"""),70.06)</f>
        <v>70.06</v>
      </c>
      <c r="F126" s="141">
        <f ca="1">IFERROR(__xludf.DUMMYFUNCTION("""COMPUTED_VALUE"""),70.17)</f>
        <v>70.17</v>
      </c>
      <c r="G126" s="143">
        <f ca="1">IFERROR(__xludf.DUMMYFUNCTION("""COMPUTED_VALUE"""),13265907)</f>
        <v>13265907</v>
      </c>
      <c r="H126" s="26"/>
    </row>
    <row r="127" spans="1:8" ht="17.25" customHeight="1" x14ac:dyDescent="0.2">
      <c r="A127" s="26"/>
      <c r="B127" s="139">
        <f ca="1">IFERROR(__xludf.DUMMYFUNCTION("""COMPUTED_VALUE"""),46197.6666666666)</f>
        <v>46197.666666666599</v>
      </c>
      <c r="C127" s="141">
        <f ca="1">IFERROR(__xludf.DUMMYFUNCTION("""COMPUTED_VALUE"""),70.32)</f>
        <v>70.319999999999993</v>
      </c>
      <c r="D127" s="141">
        <f ca="1">IFERROR(__xludf.DUMMYFUNCTION("""COMPUTED_VALUE"""),70.52)</f>
        <v>70.52</v>
      </c>
      <c r="E127" s="141">
        <f ca="1">IFERROR(__xludf.DUMMYFUNCTION("""COMPUTED_VALUE"""),69.92)</f>
        <v>69.92</v>
      </c>
      <c r="F127" s="141">
        <f ca="1">IFERROR(__xludf.DUMMYFUNCTION("""COMPUTED_VALUE"""),70.28)</f>
        <v>70.28</v>
      </c>
      <c r="G127" s="143">
        <f ca="1">IFERROR(__xludf.DUMMYFUNCTION("""COMPUTED_VALUE"""),9889778)</f>
        <v>9889778</v>
      </c>
      <c r="H127" s="26"/>
    </row>
    <row r="128" spans="1:8" ht="17.25" customHeight="1" x14ac:dyDescent="0.2">
      <c r="A128" s="26"/>
      <c r="B128" s="139">
        <f ca="1">IFERROR(__xludf.DUMMYFUNCTION("""COMPUTED_VALUE"""),46198.6666666666)</f>
        <v>46198.666666666599</v>
      </c>
      <c r="C128" s="141">
        <f ca="1">IFERROR(__xludf.DUMMYFUNCTION("""COMPUTED_VALUE"""),71.49)</f>
        <v>71.489999999999995</v>
      </c>
      <c r="D128" s="141">
        <f ca="1">IFERROR(__xludf.DUMMYFUNCTION("""COMPUTED_VALUE"""),71.54)</f>
        <v>71.540000000000006</v>
      </c>
      <c r="E128" s="141">
        <f ca="1">IFERROR(__xludf.DUMMYFUNCTION("""COMPUTED_VALUE"""),70.74)</f>
        <v>70.739999999999995</v>
      </c>
      <c r="F128" s="141">
        <f ca="1">IFERROR(__xludf.DUMMYFUNCTION("""COMPUTED_VALUE"""),71.16)</f>
        <v>71.16</v>
      </c>
      <c r="G128" s="143">
        <f ca="1">IFERROR(__xludf.DUMMYFUNCTION("""COMPUTED_VALUE"""),8494843)</f>
        <v>8494843</v>
      </c>
      <c r="H128" s="26"/>
    </row>
    <row r="129" spans="1:8" ht="17.25" customHeight="1" x14ac:dyDescent="0.2">
      <c r="A129" s="26"/>
      <c r="B129" s="139">
        <f ca="1">IFERROR(__xludf.DUMMYFUNCTION("""COMPUTED_VALUE"""),46199.6666666666)</f>
        <v>46199.666666666599</v>
      </c>
      <c r="C129" s="141">
        <f ca="1">IFERROR(__xludf.DUMMYFUNCTION("""COMPUTED_VALUE"""),70.41)</f>
        <v>70.41</v>
      </c>
      <c r="D129" s="141">
        <f ca="1">IFERROR(__xludf.DUMMYFUNCTION("""COMPUTED_VALUE"""),71.05)</f>
        <v>71.05</v>
      </c>
      <c r="E129" s="141">
        <f ca="1">IFERROR(__xludf.DUMMYFUNCTION("""COMPUTED_VALUE"""),70.33)</f>
        <v>70.33</v>
      </c>
      <c r="F129" s="141">
        <f ca="1">IFERROR(__xludf.DUMMYFUNCTION("""COMPUTED_VALUE"""),70.56)</f>
        <v>70.56</v>
      </c>
      <c r="G129" s="143">
        <f ca="1">IFERROR(__xludf.DUMMYFUNCTION("""COMPUTED_VALUE"""),14441820)</f>
        <v>14441820</v>
      </c>
      <c r="H129" s="26"/>
    </row>
    <row r="130" spans="1:8" ht="17.25" customHeight="1" x14ac:dyDescent="0.2">
      <c r="A130" s="26"/>
      <c r="B130" s="139">
        <f ca="1">IFERROR(__xludf.DUMMYFUNCTION("""COMPUTED_VALUE"""),46202.6666666666)</f>
        <v>46202.666666666599</v>
      </c>
      <c r="C130" s="141">
        <f ca="1">IFERROR(__xludf.DUMMYFUNCTION("""COMPUTED_VALUE"""),70.68)</f>
        <v>70.680000000000007</v>
      </c>
      <c r="D130" s="141">
        <f ca="1">IFERROR(__xludf.DUMMYFUNCTION("""COMPUTED_VALUE"""),70.93)</f>
        <v>70.930000000000007</v>
      </c>
      <c r="E130" s="141">
        <f ca="1">IFERROR(__xludf.DUMMYFUNCTION("""COMPUTED_VALUE"""),69.96)</f>
        <v>69.959999999999994</v>
      </c>
      <c r="F130" s="141">
        <f ca="1">IFERROR(__xludf.DUMMYFUNCTION("""COMPUTED_VALUE"""),70.92)</f>
        <v>70.92</v>
      </c>
      <c r="G130" s="143">
        <f ca="1">IFERROR(__xludf.DUMMYFUNCTION("""COMPUTED_VALUE"""),11260180)</f>
        <v>11260180</v>
      </c>
      <c r="H130" s="26"/>
    </row>
    <row r="131" spans="1:8" ht="17.25" customHeight="1" x14ac:dyDescent="0.2">
      <c r="A131" s="26"/>
      <c r="B131" s="139">
        <f ca="1">IFERROR(__xludf.DUMMYFUNCTION("""COMPUTED_VALUE"""),46203.6666666666)</f>
        <v>46203.666666666599</v>
      </c>
      <c r="C131" s="141">
        <f ca="1">IFERROR(__xludf.DUMMYFUNCTION("""COMPUTED_VALUE"""),70.89)</f>
        <v>70.89</v>
      </c>
      <c r="D131" s="141">
        <f ca="1">IFERROR(__xludf.DUMMYFUNCTION("""COMPUTED_VALUE"""),71.32)</f>
        <v>71.319999999999993</v>
      </c>
      <c r="E131" s="141">
        <f ca="1">IFERROR(__xludf.DUMMYFUNCTION("""COMPUTED_VALUE"""),70.81)</f>
        <v>70.81</v>
      </c>
      <c r="F131" s="141">
        <f ca="1">IFERROR(__xludf.DUMMYFUNCTION("""COMPUTED_VALUE"""),71.25)</f>
        <v>71.25</v>
      </c>
      <c r="G131" s="143">
        <f ca="1">IFERROR(__xludf.DUMMYFUNCTION("""COMPUTED_VALUE"""),24041467)</f>
        <v>24041467</v>
      </c>
      <c r="H131" s="26"/>
    </row>
    <row r="132" spans="1:8" ht="17.25" customHeight="1" x14ac:dyDescent="0.2">
      <c r="A132" s="26"/>
      <c r="B132" s="139">
        <f ca="1">IFERROR(__xludf.DUMMYFUNCTION("""COMPUTED_VALUE"""),46204.6666666666)</f>
        <v>46204.666666666599</v>
      </c>
      <c r="C132" s="141">
        <f ca="1">IFERROR(__xludf.DUMMYFUNCTION("""COMPUTED_VALUE"""),70.49)</f>
        <v>70.489999999999995</v>
      </c>
      <c r="D132" s="141">
        <f ca="1">IFERROR(__xludf.DUMMYFUNCTION("""COMPUTED_VALUE"""),70.78)</f>
        <v>70.78</v>
      </c>
      <c r="E132" s="141">
        <f ca="1">IFERROR(__xludf.DUMMYFUNCTION("""COMPUTED_VALUE"""),70.31)</f>
        <v>70.31</v>
      </c>
      <c r="F132" s="141">
        <f ca="1">IFERROR(__xludf.DUMMYFUNCTION("""COMPUTED_VALUE"""),70.36)</f>
        <v>70.36</v>
      </c>
      <c r="G132" s="143">
        <f ca="1">IFERROR(__xludf.DUMMYFUNCTION("""COMPUTED_VALUE"""),9515565)</f>
        <v>9515565</v>
      </c>
      <c r="H132" s="26"/>
    </row>
    <row r="133" spans="1:8" ht="17.25" customHeight="1" x14ac:dyDescent="0.2">
      <c r="A133" s="26"/>
      <c r="B133" s="139">
        <f ca="1">IFERROR(__xludf.DUMMYFUNCTION("""COMPUTED_VALUE"""),46205.6666666666)</f>
        <v>46205.666666666599</v>
      </c>
      <c r="C133" s="141">
        <f ca="1">IFERROR(__xludf.DUMMYFUNCTION("""COMPUTED_VALUE"""),71.1)</f>
        <v>71.099999999999994</v>
      </c>
      <c r="D133" s="141">
        <f ca="1">IFERROR(__xludf.DUMMYFUNCTION("""COMPUTED_VALUE"""),71.57)</f>
        <v>71.569999999999993</v>
      </c>
      <c r="E133" s="141">
        <f ca="1">IFERROR(__xludf.DUMMYFUNCTION("""COMPUTED_VALUE"""),70.17)</f>
        <v>70.17</v>
      </c>
      <c r="F133" s="141">
        <f ca="1">IFERROR(__xludf.DUMMYFUNCTION("""COMPUTED_VALUE"""),70.81)</f>
        <v>70.81</v>
      </c>
      <c r="G133" s="143">
        <f ca="1">IFERROR(__xludf.DUMMYFUNCTION("""COMPUTED_VALUE"""),17603157)</f>
        <v>17603157</v>
      </c>
      <c r="H133" s="26"/>
    </row>
    <row r="134" spans="1:8" ht="17.25" customHeight="1" x14ac:dyDescent="0.2">
      <c r="A134" s="26"/>
      <c r="B134" s="139">
        <f ca="1">IFERROR(__xludf.DUMMYFUNCTION("""COMPUTED_VALUE"""),46209.6666666666)</f>
        <v>46209.666666666599</v>
      </c>
      <c r="C134" s="141">
        <f ca="1">IFERROR(__xludf.DUMMYFUNCTION("""COMPUTED_VALUE"""),71.61)</f>
        <v>71.61</v>
      </c>
      <c r="D134" s="141">
        <f ca="1">IFERROR(__xludf.DUMMYFUNCTION("""COMPUTED_VALUE"""),71.92)</f>
        <v>71.92</v>
      </c>
      <c r="E134" s="141">
        <f ca="1">IFERROR(__xludf.DUMMYFUNCTION("""COMPUTED_VALUE"""),71.52)</f>
        <v>71.52</v>
      </c>
      <c r="F134" s="141">
        <f ca="1">IFERROR(__xludf.DUMMYFUNCTION("""COMPUTED_VALUE"""),71.89)</f>
        <v>71.89</v>
      </c>
      <c r="G134" s="143">
        <f ca="1">IFERROR(__xludf.DUMMYFUNCTION("""COMPUTED_VALUE"""),10960231)</f>
        <v>10960231</v>
      </c>
      <c r="H134" s="26"/>
    </row>
    <row r="135" spans="1:8" ht="17.25" customHeight="1" x14ac:dyDescent="0.2">
      <c r="A135" s="26"/>
      <c r="B135" s="139">
        <f ca="1">IFERROR(__xludf.DUMMYFUNCTION("""COMPUTED_VALUE"""),46210.6666666666)</f>
        <v>46210.666666666599</v>
      </c>
      <c r="C135" s="141">
        <f ca="1">IFERROR(__xludf.DUMMYFUNCTION("""COMPUTED_VALUE"""),71.23)</f>
        <v>71.23</v>
      </c>
      <c r="D135" s="141">
        <f ca="1">IFERROR(__xludf.DUMMYFUNCTION("""COMPUTED_VALUE"""),71.38)</f>
        <v>71.38</v>
      </c>
      <c r="E135" s="141">
        <f ca="1">IFERROR(__xludf.DUMMYFUNCTION("""COMPUTED_VALUE"""),70.53)</f>
        <v>70.53</v>
      </c>
      <c r="F135" s="141">
        <f ca="1">IFERROR(__xludf.DUMMYFUNCTION("""COMPUTED_VALUE"""),70.78)</f>
        <v>70.78</v>
      </c>
      <c r="G135" s="143">
        <f ca="1">IFERROR(__xludf.DUMMYFUNCTION("""COMPUTED_VALUE"""),8612961)</f>
        <v>8612961</v>
      </c>
      <c r="H135" s="26"/>
    </row>
    <row r="136" spans="1:8" ht="17.25" customHeight="1" x14ac:dyDescent="0.2">
      <c r="A136" s="26"/>
      <c r="B136" s="139">
        <f ca="1">IFERROR(__xludf.DUMMYFUNCTION("""COMPUTED_VALUE"""),46211.6666666666)</f>
        <v>46211.666666666599</v>
      </c>
      <c r="C136" s="141">
        <f ca="1">IFERROR(__xludf.DUMMYFUNCTION("""COMPUTED_VALUE"""),69.77)</f>
        <v>69.77</v>
      </c>
      <c r="D136" s="141">
        <f ca="1">IFERROR(__xludf.DUMMYFUNCTION("""COMPUTED_VALUE"""),70.38)</f>
        <v>70.38</v>
      </c>
      <c r="E136" s="141">
        <f ca="1">IFERROR(__xludf.DUMMYFUNCTION("""COMPUTED_VALUE"""),69.34)</f>
        <v>69.34</v>
      </c>
      <c r="F136" s="141">
        <f ca="1">IFERROR(__xludf.DUMMYFUNCTION("""COMPUTED_VALUE"""),70.34)</f>
        <v>70.34</v>
      </c>
      <c r="G136" s="143">
        <f ca="1">IFERROR(__xludf.DUMMYFUNCTION("""COMPUTED_VALUE"""),27524056)</f>
        <v>27524056</v>
      </c>
      <c r="H136" s="26"/>
    </row>
    <row r="137" spans="1:8" ht="17.25" customHeight="1" x14ac:dyDescent="0.2">
      <c r="A137" s="26"/>
      <c r="B137" s="139">
        <f ca="1">IFERROR(__xludf.DUMMYFUNCTION("""COMPUTED_VALUE"""),46212.6666666666)</f>
        <v>46212.666666666599</v>
      </c>
      <c r="C137" s="141">
        <f ca="1">IFERROR(__xludf.DUMMYFUNCTION("""COMPUTED_VALUE"""),70.6)</f>
        <v>70.599999999999994</v>
      </c>
      <c r="D137" s="141">
        <f ca="1">IFERROR(__xludf.DUMMYFUNCTION("""COMPUTED_VALUE"""),70.93)</f>
        <v>70.930000000000007</v>
      </c>
      <c r="E137" s="141">
        <f ca="1">IFERROR(__xludf.DUMMYFUNCTION("""COMPUTED_VALUE"""),70.48)</f>
        <v>70.48</v>
      </c>
      <c r="F137" s="141">
        <f ca="1">IFERROR(__xludf.DUMMYFUNCTION("""COMPUTED_VALUE"""),70.73)</f>
        <v>70.73</v>
      </c>
      <c r="G137" s="143">
        <f ca="1">IFERROR(__xludf.DUMMYFUNCTION("""COMPUTED_VALUE"""),12647827)</f>
        <v>12647827</v>
      </c>
      <c r="H137" s="26"/>
    </row>
    <row r="138" spans="1:8" ht="17.25" customHeight="1" x14ac:dyDescent="0.2">
      <c r="A138" s="26"/>
      <c r="B138" s="139">
        <f ca="1">IFERROR(__xludf.DUMMYFUNCTION("""COMPUTED_VALUE"""),46213.6666666666)</f>
        <v>46213.666666666599</v>
      </c>
      <c r="C138" s="141">
        <f ca="1">IFERROR(__xludf.DUMMYFUNCTION("""COMPUTED_VALUE"""),70.78)</f>
        <v>70.78</v>
      </c>
      <c r="D138" s="141">
        <f ca="1">IFERROR(__xludf.DUMMYFUNCTION("""COMPUTED_VALUE"""),71.14)</f>
        <v>71.14</v>
      </c>
      <c r="E138" s="141">
        <f ca="1">IFERROR(__xludf.DUMMYFUNCTION("""COMPUTED_VALUE"""),70.43)</f>
        <v>70.430000000000007</v>
      </c>
      <c r="F138" s="141">
        <f ca="1">IFERROR(__xludf.DUMMYFUNCTION("""COMPUTED_VALUE"""),70.99)</f>
        <v>70.989999999999995</v>
      </c>
      <c r="G138" s="143">
        <f ca="1">IFERROR(__xludf.DUMMYFUNCTION("""COMPUTED_VALUE"""),12687371)</f>
        <v>12687371</v>
      </c>
      <c r="H138" s="26"/>
    </row>
    <row r="139" spans="1:8" ht="17.25" customHeight="1" x14ac:dyDescent="0.2">
      <c r="A139" s="26"/>
      <c r="B139" s="139">
        <f ca="1">IFERROR(__xludf.DUMMYFUNCTION("""COMPUTED_VALUE"""),46216.6666666666)</f>
        <v>46216.666666666599</v>
      </c>
      <c r="C139" s="141">
        <f ca="1">IFERROR(__xludf.DUMMYFUNCTION("""COMPUTED_VALUE"""),70.18)</f>
        <v>70.180000000000007</v>
      </c>
      <c r="D139" s="141">
        <f ca="1">IFERROR(__xludf.DUMMYFUNCTION("""COMPUTED_VALUE"""),70.32)</f>
        <v>70.319999999999993</v>
      </c>
      <c r="E139" s="141">
        <f ca="1">IFERROR(__xludf.DUMMYFUNCTION("""COMPUTED_VALUE"""),69.64)</f>
        <v>69.64</v>
      </c>
      <c r="F139" s="141">
        <f ca="1">IFERROR(__xludf.DUMMYFUNCTION("""COMPUTED_VALUE"""),69.76)</f>
        <v>69.760000000000005</v>
      </c>
      <c r="G139" s="143">
        <f ca="1">IFERROR(__xludf.DUMMYFUNCTION("""COMPUTED_VALUE"""),9119216)</f>
        <v>9119216</v>
      </c>
      <c r="H139" s="26"/>
    </row>
    <row r="140" spans="1:8" ht="17.25" customHeight="1" x14ac:dyDescent="0.2">
      <c r="A140" s="26"/>
      <c r="B140" s="139">
        <f ca="1">IFERROR(__xludf.DUMMYFUNCTION("""COMPUTED_VALUE"""),46217.6666666666)</f>
        <v>46217.666666666599</v>
      </c>
      <c r="C140" s="141">
        <f ca="1">IFERROR(__xludf.DUMMYFUNCTION("""COMPUTED_VALUE"""),70.65)</f>
        <v>70.650000000000006</v>
      </c>
      <c r="D140" s="141">
        <f ca="1">IFERROR(__xludf.DUMMYFUNCTION("""COMPUTED_VALUE"""),71.04)</f>
        <v>71.040000000000006</v>
      </c>
      <c r="E140" s="141">
        <f ca="1">IFERROR(__xludf.DUMMYFUNCTION("""COMPUTED_VALUE"""),70.56)</f>
        <v>70.56</v>
      </c>
      <c r="F140" s="141">
        <f ca="1">IFERROR(__xludf.DUMMYFUNCTION("""COMPUTED_VALUE"""),70.6)</f>
        <v>70.599999999999994</v>
      </c>
      <c r="G140" s="143">
        <f ca="1">IFERROR(__xludf.DUMMYFUNCTION("""COMPUTED_VALUE"""),13284706)</f>
        <v>13284706</v>
      </c>
      <c r="H140" s="26"/>
    </row>
    <row r="141" spans="1:8" ht="17.25" customHeight="1" x14ac:dyDescent="0.2">
      <c r="A141" s="26"/>
      <c r="B141" s="139">
        <f ca="1">IFERROR(__xludf.DUMMYFUNCTION("""COMPUTED_VALUE"""),46218.6666666666)</f>
        <v>46218.666666666599</v>
      </c>
      <c r="C141" s="141">
        <f ca="1">IFERROR(__xludf.DUMMYFUNCTION("""COMPUTED_VALUE"""),70.82)</f>
        <v>70.819999999999993</v>
      </c>
      <c r="D141" s="141">
        <f ca="1">IFERROR(__xludf.DUMMYFUNCTION("""COMPUTED_VALUE"""),70.94)</f>
        <v>70.94</v>
      </c>
      <c r="E141" s="141">
        <f ca="1">IFERROR(__xludf.DUMMYFUNCTION("""COMPUTED_VALUE"""),70.15)</f>
        <v>70.150000000000006</v>
      </c>
      <c r="F141" s="141">
        <f ca="1">IFERROR(__xludf.DUMMYFUNCTION("""COMPUTED_VALUE"""),70.82)</f>
        <v>70.819999999999993</v>
      </c>
      <c r="G141" s="143">
        <f ca="1">IFERROR(__xludf.DUMMYFUNCTION("""COMPUTED_VALUE"""),9670259)</f>
        <v>9670259</v>
      </c>
      <c r="H141" s="26"/>
    </row>
    <row r="142" spans="1:8" ht="17.25" customHeight="1" x14ac:dyDescent="0.2">
      <c r="A142" s="26"/>
      <c r="B142" s="139">
        <f ca="1">IFERROR(__xludf.DUMMYFUNCTION("""COMPUTED_VALUE"""),46219.6666666666)</f>
        <v>46219.666666666599</v>
      </c>
      <c r="C142" s="141">
        <f ca="1">IFERROR(__xludf.DUMMYFUNCTION("""COMPUTED_VALUE"""),70.03)</f>
        <v>70.03</v>
      </c>
      <c r="D142" s="141">
        <f ca="1">IFERROR(__xludf.DUMMYFUNCTION("""COMPUTED_VALUE"""),70.42)</f>
        <v>70.42</v>
      </c>
      <c r="E142" s="141">
        <f ca="1">IFERROR(__xludf.DUMMYFUNCTION("""COMPUTED_VALUE"""),69.84)</f>
        <v>69.84</v>
      </c>
      <c r="F142" s="141">
        <f ca="1">IFERROR(__xludf.DUMMYFUNCTION("""COMPUTED_VALUE"""),70.03)</f>
        <v>70.03</v>
      </c>
      <c r="G142" s="143">
        <f ca="1">IFERROR(__xludf.DUMMYFUNCTION("""COMPUTED_VALUE"""),8242851)</f>
        <v>8242851</v>
      </c>
      <c r="H142" s="26"/>
    </row>
    <row r="143" spans="1:8" ht="17.25" customHeight="1" x14ac:dyDescent="0.2">
      <c r="A143" s="26"/>
      <c r="B143" s="139">
        <f ca="1">IFERROR(__xludf.DUMMYFUNCTION("""COMPUTED_VALUE"""),46220.6666666666)</f>
        <v>46220.666666666599</v>
      </c>
      <c r="C143" s="141">
        <f ca="1">IFERROR(__xludf.DUMMYFUNCTION("""COMPUTED_VALUE"""),69.13)</f>
        <v>69.13</v>
      </c>
      <c r="D143" s="141">
        <f ca="1">IFERROR(__xludf.DUMMYFUNCTION("""COMPUTED_VALUE"""),69.97)</f>
        <v>69.97</v>
      </c>
      <c r="E143" s="141">
        <f ca="1">IFERROR(__xludf.DUMMYFUNCTION("""COMPUTED_VALUE"""),68.97)</f>
        <v>68.97</v>
      </c>
      <c r="F143" s="141">
        <f ca="1">IFERROR(__xludf.DUMMYFUNCTION("""COMPUTED_VALUE"""),69.7)</f>
        <v>69.7</v>
      </c>
      <c r="G143" s="143">
        <f ca="1">IFERROR(__xludf.DUMMYFUNCTION("""COMPUTED_VALUE"""),11115498)</f>
        <v>11115498</v>
      </c>
      <c r="H143" s="26"/>
    </row>
    <row r="144" spans="1:8" ht="17.25" customHeight="1" x14ac:dyDescent="0.2">
      <c r="A144" s="26"/>
      <c r="B144" s="139">
        <f ca="1">IFERROR(__xludf.DUMMYFUNCTION("""COMPUTED_VALUE"""),46223.6666666666)</f>
        <v>46223.666666666599</v>
      </c>
      <c r="C144" s="141">
        <f ca="1">IFERROR(__xludf.DUMMYFUNCTION("""COMPUTED_VALUE"""),69.77)</f>
        <v>69.77</v>
      </c>
      <c r="D144" s="141">
        <f ca="1">IFERROR(__xludf.DUMMYFUNCTION("""COMPUTED_VALUE"""),69.9)</f>
        <v>69.900000000000006</v>
      </c>
      <c r="E144" s="141">
        <f ca="1">IFERROR(__xludf.DUMMYFUNCTION("""COMPUTED_VALUE"""),69.19)</f>
        <v>69.19</v>
      </c>
      <c r="F144" s="141">
        <f ca="1">IFERROR(__xludf.DUMMYFUNCTION("""COMPUTED_VALUE"""),69.23)</f>
        <v>69.23</v>
      </c>
      <c r="G144" s="143">
        <f ca="1">IFERROR(__xludf.DUMMYFUNCTION("""COMPUTED_VALUE"""),11088140)</f>
        <v>11088140</v>
      </c>
      <c r="H144" s="26"/>
    </row>
    <row r="145" spans="1:8" ht="17.25" customHeight="1" x14ac:dyDescent="0.2">
      <c r="A145" s="26"/>
      <c r="B145" s="139">
        <f ca="1">IFERROR(__xludf.DUMMYFUNCTION("""COMPUTED_VALUE"""),46224.6666666666)</f>
        <v>46224.666666666599</v>
      </c>
      <c r="C145" s="141">
        <f ca="1">IFERROR(__xludf.DUMMYFUNCTION("""COMPUTED_VALUE"""),69.98)</f>
        <v>69.98</v>
      </c>
      <c r="D145" s="141">
        <f ca="1">IFERROR(__xludf.DUMMYFUNCTION("""COMPUTED_VALUE"""),70.55)</f>
        <v>70.55</v>
      </c>
      <c r="E145" s="141">
        <f ca="1">IFERROR(__xludf.DUMMYFUNCTION("""COMPUTED_VALUE"""),69.73)</f>
        <v>69.73</v>
      </c>
      <c r="F145" s="141">
        <f ca="1">IFERROR(__xludf.DUMMYFUNCTION("""COMPUTED_VALUE"""),70.47)</f>
        <v>70.47</v>
      </c>
      <c r="G145" s="143">
        <f ca="1">IFERROR(__xludf.DUMMYFUNCTION("""COMPUTED_VALUE"""),7458376)</f>
        <v>7458376</v>
      </c>
      <c r="H145" s="26"/>
    </row>
    <row r="146" spans="1:8" ht="17.25" customHeight="1" x14ac:dyDescent="0.2">
      <c r="A146" s="26"/>
      <c r="B146" s="139">
        <f ca="1">IFERROR(__xludf.DUMMYFUNCTION("""COMPUTED_VALUE"""),46225.6666666666)</f>
        <v>46225.666666666599</v>
      </c>
      <c r="C146" s="141">
        <f ca="1">IFERROR(__xludf.DUMMYFUNCTION("""COMPUTED_VALUE"""),70.48)</f>
        <v>70.48</v>
      </c>
      <c r="D146" s="141">
        <f ca="1">IFERROR(__xludf.DUMMYFUNCTION("""COMPUTED_VALUE"""),70.75)</f>
        <v>70.75</v>
      </c>
      <c r="E146" s="141">
        <f ca="1">IFERROR(__xludf.DUMMYFUNCTION("""COMPUTED_VALUE"""),70.46)</f>
        <v>70.459999999999994</v>
      </c>
      <c r="F146" s="141">
        <f ca="1">IFERROR(__xludf.DUMMYFUNCTION("""COMPUTED_VALUE"""),70.49)</f>
        <v>70.489999999999995</v>
      </c>
      <c r="G146" s="143">
        <f ca="1">IFERROR(__xludf.DUMMYFUNCTION("""COMPUTED_VALUE"""),6017468)</f>
        <v>6017468</v>
      </c>
      <c r="H146" s="26"/>
    </row>
    <row r="147" spans="1:8" ht="17.25" customHeight="1" x14ac:dyDescent="0.2">
      <c r="A147" s="26"/>
      <c r="B147" s="139">
        <f ca="1">IFERROR(__xludf.DUMMYFUNCTION("""COMPUTED_VALUE"""),46226.6666666666)</f>
        <v>46226.666666666599</v>
      </c>
      <c r="C147" s="141">
        <f ca="1">IFERROR(__xludf.DUMMYFUNCTION("""COMPUTED_VALUE"""),69.71)</f>
        <v>69.709999999999994</v>
      </c>
      <c r="D147" s="141">
        <f ca="1">IFERROR(__xludf.DUMMYFUNCTION("""COMPUTED_VALUE"""),70.09)</f>
        <v>70.09</v>
      </c>
      <c r="E147" s="141">
        <f ca="1">IFERROR(__xludf.DUMMYFUNCTION("""COMPUTED_VALUE"""),69.41)</f>
        <v>69.41</v>
      </c>
      <c r="F147" s="141">
        <f ca="1">IFERROR(__xludf.DUMMYFUNCTION("""COMPUTED_VALUE"""),69.78)</f>
        <v>69.78</v>
      </c>
      <c r="G147" s="143">
        <f ca="1">IFERROR(__xludf.DUMMYFUNCTION("""COMPUTED_VALUE"""),9653720)</f>
        <v>9653720</v>
      </c>
      <c r="H147" s="26"/>
    </row>
    <row r="148" spans="1:8" ht="17.25" customHeight="1" x14ac:dyDescent="0.2">
      <c r="A148" s="26"/>
      <c r="B148" s="139">
        <f ca="1">IFERROR(__xludf.DUMMYFUNCTION("""COMPUTED_VALUE"""),46227.6666666666)</f>
        <v>46227.666666666599</v>
      </c>
      <c r="C148" s="141">
        <f ca="1">IFERROR(__xludf.DUMMYFUNCTION("""COMPUTED_VALUE"""),69.96)</f>
        <v>69.959999999999994</v>
      </c>
      <c r="D148" s="141">
        <f ca="1">IFERROR(__xludf.DUMMYFUNCTION("""COMPUTED_VALUE"""),70.23)</f>
        <v>70.23</v>
      </c>
      <c r="E148" s="141">
        <f ca="1">IFERROR(__xludf.DUMMYFUNCTION("""COMPUTED_VALUE"""),69.62)</f>
        <v>69.62</v>
      </c>
      <c r="F148" s="141">
        <f ca="1">IFERROR(__xludf.DUMMYFUNCTION("""COMPUTED_VALUE"""),69.71)</f>
        <v>69.709999999999994</v>
      </c>
      <c r="G148" s="143">
        <f ca="1">IFERROR(__xludf.DUMMYFUNCTION("""COMPUTED_VALUE"""),8584787)</f>
        <v>8584787</v>
      </c>
      <c r="H148" s="26"/>
    </row>
    <row r="149" spans="1:8" ht="17.25" customHeight="1" x14ac:dyDescent="0.2">
      <c r="A149" s="26"/>
      <c r="B149" s="139">
        <f ca="1">IFERROR(__xludf.DUMMYFUNCTION("""COMPUTED_VALUE"""),46230.6666666666)</f>
        <v>46230.666666666599</v>
      </c>
      <c r="C149" s="141">
        <f ca="1">IFERROR(__xludf.DUMMYFUNCTION("""COMPUTED_VALUE"""),70.45)</f>
        <v>70.45</v>
      </c>
      <c r="D149" s="141">
        <f ca="1">IFERROR(__xludf.DUMMYFUNCTION("""COMPUTED_VALUE"""),70.53)</f>
        <v>70.53</v>
      </c>
      <c r="E149" s="141">
        <f ca="1">IFERROR(__xludf.DUMMYFUNCTION("""COMPUTED_VALUE"""),69.56)</f>
        <v>69.56</v>
      </c>
      <c r="F149" s="141">
        <f ca="1">IFERROR(__xludf.DUMMYFUNCTION("""COMPUTED_VALUE"""),70)</f>
        <v>70</v>
      </c>
      <c r="G149" s="143">
        <f ca="1">IFERROR(__xludf.DUMMYFUNCTION("""COMPUTED_VALUE"""),6613534)</f>
        <v>6613534</v>
      </c>
      <c r="H149" s="26"/>
    </row>
    <row r="150" spans="1:8" ht="17.25" customHeight="1" x14ac:dyDescent="0.2">
      <c r="A150" s="26"/>
      <c r="B150" s="139">
        <f ca="1">IFERROR(__xludf.DUMMYFUNCTION("""COMPUTED_VALUE"""),46231.6666666666)</f>
        <v>46231.666666666599</v>
      </c>
      <c r="C150" s="141">
        <f ca="1">IFERROR(__xludf.DUMMYFUNCTION("""COMPUTED_VALUE"""),69.19)</f>
        <v>69.19</v>
      </c>
      <c r="D150" s="141">
        <f ca="1">IFERROR(__xludf.DUMMYFUNCTION("""COMPUTED_VALUE"""),69.89)</f>
        <v>69.89</v>
      </c>
      <c r="E150" s="141">
        <f ca="1">IFERROR(__xludf.DUMMYFUNCTION("""COMPUTED_VALUE"""),69.08)</f>
        <v>69.08</v>
      </c>
      <c r="F150" s="141">
        <f ca="1">IFERROR(__xludf.DUMMYFUNCTION("""COMPUTED_VALUE"""),69.6)</f>
        <v>69.599999999999994</v>
      </c>
      <c r="G150" s="143">
        <f ca="1">IFERROR(__xludf.DUMMYFUNCTION("""COMPUTED_VALUE"""),9064924)</f>
        <v>9064924</v>
      </c>
      <c r="H150" s="26"/>
    </row>
    <row r="151" spans="1:8" ht="17.25" customHeight="1" x14ac:dyDescent="0.2">
      <c r="A151" s="26"/>
      <c r="B151" s="139">
        <f ca="1">IFERROR(__xludf.DUMMYFUNCTION("""COMPUTED_VALUE"""),46232.6666666666)</f>
        <v>46232.666666666599</v>
      </c>
      <c r="C151" s="141">
        <f ca="1">IFERROR(__xludf.DUMMYFUNCTION("""COMPUTED_VALUE"""),69.42)</f>
        <v>69.42</v>
      </c>
      <c r="D151" s="141">
        <f ca="1">IFERROR(__xludf.DUMMYFUNCTION("""COMPUTED_VALUE"""),70.19)</f>
        <v>70.19</v>
      </c>
      <c r="E151" s="141">
        <f ca="1">IFERROR(__xludf.DUMMYFUNCTION("""COMPUTED_VALUE"""),68.66)</f>
        <v>68.66</v>
      </c>
      <c r="F151" s="141">
        <f ca="1">IFERROR(__xludf.DUMMYFUNCTION("""COMPUTED_VALUE"""),68.95)</f>
        <v>68.95</v>
      </c>
      <c r="G151" s="143">
        <f ca="1">IFERROR(__xludf.DUMMYFUNCTION("""COMPUTED_VALUE"""),13349067)</f>
        <v>13349067</v>
      </c>
      <c r="H151" s="26"/>
    </row>
    <row r="152" spans="1:8" ht="17.25" customHeight="1" x14ac:dyDescent="0.2">
      <c r="A152" s="26"/>
      <c r="B152" s="139"/>
      <c r="C152" s="141"/>
      <c r="D152" s="141"/>
      <c r="E152" s="141"/>
      <c r="F152" s="141"/>
      <c r="G152" s="143"/>
      <c r="H152" s="26"/>
    </row>
    <row r="153" spans="1:8" ht="17.25" customHeight="1" x14ac:dyDescent="0.2">
      <c r="A153" s="26"/>
      <c r="B153" s="139"/>
      <c r="C153" s="141"/>
      <c r="D153" s="141"/>
      <c r="E153" s="141"/>
      <c r="F153" s="141"/>
      <c r="G153" s="143"/>
      <c r="H153" s="26"/>
    </row>
    <row r="154" spans="1:8" ht="17.25" customHeight="1" x14ac:dyDescent="0.2">
      <c r="A154" s="26"/>
      <c r="B154" s="139"/>
      <c r="C154" s="141"/>
      <c r="D154" s="141"/>
      <c r="E154" s="141"/>
      <c r="F154" s="141"/>
      <c r="G154" s="143"/>
      <c r="H154" s="26"/>
    </row>
    <row r="155" spans="1:8" ht="17.25" customHeight="1" x14ac:dyDescent="0.2">
      <c r="A155" s="26"/>
      <c r="B155" s="139"/>
      <c r="C155" s="141"/>
      <c r="D155" s="141"/>
      <c r="E155" s="141"/>
      <c r="F155" s="141"/>
      <c r="G155" s="143"/>
      <c r="H155" s="26"/>
    </row>
    <row r="156" spans="1:8" ht="17.25" customHeight="1" x14ac:dyDescent="0.2">
      <c r="A156" s="26"/>
      <c r="B156" s="139"/>
      <c r="C156" s="141"/>
      <c r="D156" s="141"/>
      <c r="E156" s="141"/>
      <c r="F156" s="141"/>
      <c r="G156" s="143"/>
      <c r="H156" s="26"/>
    </row>
    <row r="157" spans="1:8" ht="17.25" customHeight="1" x14ac:dyDescent="0.2">
      <c r="A157" s="26"/>
      <c r="B157" s="139"/>
      <c r="C157" s="141"/>
      <c r="D157" s="141"/>
      <c r="E157" s="141"/>
      <c r="F157" s="141"/>
      <c r="G157" s="143"/>
      <c r="H157" s="26"/>
    </row>
    <row r="158" spans="1:8" ht="17.25" customHeight="1" x14ac:dyDescent="0.2">
      <c r="A158" s="26"/>
      <c r="B158" s="139"/>
      <c r="C158" s="141"/>
      <c r="D158" s="141"/>
      <c r="E158" s="141"/>
      <c r="F158" s="141"/>
      <c r="G158" s="143"/>
      <c r="H158" s="26"/>
    </row>
    <row r="159" spans="1:8" ht="17.25" customHeight="1" x14ac:dyDescent="0.2">
      <c r="A159" s="26"/>
      <c r="B159" s="139"/>
      <c r="C159" s="141"/>
      <c r="D159" s="141"/>
      <c r="E159" s="141"/>
      <c r="F159" s="141"/>
      <c r="G159" s="143"/>
      <c r="H159" s="26"/>
    </row>
    <row r="160" spans="1:8" ht="17.25" customHeight="1" x14ac:dyDescent="0.2">
      <c r="A160" s="26"/>
      <c r="B160" s="139"/>
      <c r="C160" s="141"/>
      <c r="D160" s="141"/>
      <c r="E160" s="141"/>
      <c r="F160" s="141"/>
      <c r="G160" s="143"/>
      <c r="H160" s="26"/>
    </row>
    <row r="161" spans="1:8" ht="17.25" customHeight="1" x14ac:dyDescent="0.2">
      <c r="A161" s="26"/>
      <c r="B161" s="139"/>
      <c r="C161" s="141"/>
      <c r="D161" s="141"/>
      <c r="E161" s="141"/>
      <c r="F161" s="141"/>
      <c r="G161" s="143"/>
      <c r="H161" s="26"/>
    </row>
    <row r="162" spans="1:8" ht="17.25" customHeight="1" x14ac:dyDescent="0.2">
      <c r="A162" s="26"/>
      <c r="B162" s="139"/>
      <c r="C162" s="141"/>
      <c r="D162" s="141"/>
      <c r="E162" s="141"/>
      <c r="F162" s="141"/>
      <c r="G162" s="143"/>
      <c r="H162" s="26"/>
    </row>
    <row r="163" spans="1:8" ht="17.25" customHeight="1" x14ac:dyDescent="0.2">
      <c r="A163" s="26"/>
      <c r="B163" s="139"/>
      <c r="C163" s="141"/>
      <c r="D163" s="141"/>
      <c r="E163" s="141"/>
      <c r="F163" s="141"/>
      <c r="G163" s="143"/>
      <c r="H163" s="26"/>
    </row>
    <row r="164" spans="1:8" ht="17.25" customHeight="1" x14ac:dyDescent="0.2">
      <c r="A164" s="26"/>
      <c r="B164" s="139"/>
      <c r="C164" s="141"/>
      <c r="D164" s="141"/>
      <c r="E164" s="141"/>
      <c r="F164" s="141"/>
      <c r="G164" s="143"/>
      <c r="H164" s="26"/>
    </row>
    <row r="165" spans="1:8" ht="17.25" customHeight="1" x14ac:dyDescent="0.2">
      <c r="A165" s="26"/>
      <c r="B165" s="139"/>
      <c r="C165" s="141"/>
      <c r="D165" s="141"/>
      <c r="E165" s="141"/>
      <c r="F165" s="141"/>
      <c r="G165" s="143"/>
      <c r="H165" s="26"/>
    </row>
    <row r="166" spans="1:8" ht="17.25" customHeight="1" x14ac:dyDescent="0.2">
      <c r="A166" s="26"/>
      <c r="B166" s="139"/>
      <c r="C166" s="141"/>
      <c r="D166" s="141"/>
      <c r="E166" s="141"/>
      <c r="F166" s="141"/>
      <c r="G166" s="143"/>
      <c r="H166" s="26"/>
    </row>
    <row r="167" spans="1:8" ht="17.25" customHeight="1" x14ac:dyDescent="0.2">
      <c r="A167" s="26"/>
      <c r="B167" s="139"/>
      <c r="C167" s="141"/>
      <c r="D167" s="141"/>
      <c r="E167" s="141"/>
      <c r="F167" s="141"/>
      <c r="G167" s="143"/>
      <c r="H167" s="26"/>
    </row>
    <row r="168" spans="1:8" ht="17.25" customHeight="1" x14ac:dyDescent="0.2">
      <c r="A168" s="26"/>
      <c r="B168" s="139"/>
      <c r="C168" s="141"/>
      <c r="D168" s="141"/>
      <c r="E168" s="141"/>
      <c r="F168" s="141"/>
      <c r="G168" s="143"/>
      <c r="H168" s="26"/>
    </row>
    <row r="169" spans="1:8" ht="17.25" customHeight="1" x14ac:dyDescent="0.2">
      <c r="A169" s="26"/>
      <c r="B169" s="139"/>
      <c r="C169" s="141"/>
      <c r="D169" s="141"/>
      <c r="E169" s="141"/>
      <c r="F169" s="141"/>
      <c r="G169" s="143"/>
      <c r="H169" s="26"/>
    </row>
    <row r="170" spans="1:8" ht="17.25" customHeight="1" x14ac:dyDescent="0.2">
      <c r="A170" s="26"/>
      <c r="B170" s="139"/>
      <c r="C170" s="141"/>
      <c r="D170" s="141"/>
      <c r="E170" s="141"/>
      <c r="F170" s="141"/>
      <c r="G170" s="143"/>
      <c r="H170" s="26"/>
    </row>
    <row r="171" spans="1:8" ht="17.25" customHeight="1" x14ac:dyDescent="0.2">
      <c r="A171" s="26"/>
      <c r="B171" s="139"/>
      <c r="C171" s="141"/>
      <c r="D171" s="141"/>
      <c r="E171" s="141"/>
      <c r="F171" s="141"/>
      <c r="G171" s="143"/>
      <c r="H171" s="26"/>
    </row>
    <row r="172" spans="1:8" ht="17.25" customHeight="1" x14ac:dyDescent="0.2">
      <c r="A172" s="26"/>
      <c r="B172" s="139"/>
      <c r="C172" s="141"/>
      <c r="D172" s="141"/>
      <c r="E172" s="141"/>
      <c r="F172" s="141"/>
      <c r="G172" s="143"/>
      <c r="H172" s="26"/>
    </row>
    <row r="173" spans="1:8" ht="17.25" customHeight="1" x14ac:dyDescent="0.2">
      <c r="A173" s="26"/>
      <c r="B173" s="139"/>
      <c r="C173" s="141"/>
      <c r="D173" s="141"/>
      <c r="E173" s="141"/>
      <c r="F173" s="141"/>
      <c r="G173" s="143"/>
      <c r="H173" s="26"/>
    </row>
    <row r="174" spans="1:8" ht="17.25" customHeight="1" x14ac:dyDescent="0.2">
      <c r="A174" s="26"/>
      <c r="B174" s="139"/>
      <c r="C174" s="141"/>
      <c r="D174" s="141"/>
      <c r="E174" s="141"/>
      <c r="F174" s="141"/>
      <c r="G174" s="143"/>
      <c r="H174" s="26"/>
    </row>
    <row r="175" spans="1:8" ht="17.25" customHeight="1" x14ac:dyDescent="0.2">
      <c r="A175" s="26"/>
      <c r="B175" s="139"/>
      <c r="C175" s="141"/>
      <c r="D175" s="141"/>
      <c r="E175" s="141"/>
      <c r="F175" s="141"/>
      <c r="G175" s="143"/>
      <c r="H175" s="26"/>
    </row>
    <row r="176" spans="1:8" ht="17.25" customHeight="1" x14ac:dyDescent="0.2">
      <c r="A176" s="26"/>
      <c r="B176" s="139"/>
      <c r="C176" s="141"/>
      <c r="D176" s="141"/>
      <c r="E176" s="141"/>
      <c r="F176" s="141"/>
      <c r="G176" s="143"/>
      <c r="H176" s="26"/>
    </row>
    <row r="177" spans="1:8" ht="17.25" customHeight="1" x14ac:dyDescent="0.2">
      <c r="A177" s="26"/>
      <c r="B177" s="139"/>
      <c r="C177" s="141"/>
      <c r="D177" s="141"/>
      <c r="E177" s="141"/>
      <c r="F177" s="141"/>
      <c r="G177" s="143"/>
      <c r="H177" s="26"/>
    </row>
    <row r="178" spans="1:8" ht="17.25" customHeight="1" x14ac:dyDescent="0.2">
      <c r="A178" s="26"/>
      <c r="B178" s="139"/>
      <c r="C178" s="141"/>
      <c r="D178" s="141"/>
      <c r="E178" s="141"/>
      <c r="F178" s="141"/>
      <c r="G178" s="143"/>
      <c r="H178" s="26"/>
    </row>
    <row r="179" spans="1:8" ht="17.25" customHeight="1" x14ac:dyDescent="0.2">
      <c r="A179" s="26"/>
      <c r="B179" s="139"/>
      <c r="C179" s="141"/>
      <c r="D179" s="141"/>
      <c r="E179" s="141"/>
      <c r="F179" s="141"/>
      <c r="G179" s="143"/>
      <c r="H179" s="26"/>
    </row>
    <row r="180" spans="1:8" ht="17.25" customHeight="1" x14ac:dyDescent="0.2">
      <c r="A180" s="26"/>
      <c r="B180" s="139"/>
      <c r="C180" s="141"/>
      <c r="D180" s="141"/>
      <c r="E180" s="141"/>
      <c r="F180" s="141"/>
      <c r="G180" s="143"/>
      <c r="H180" s="26"/>
    </row>
    <row r="181" spans="1:8" ht="17.25" customHeight="1" x14ac:dyDescent="0.2">
      <c r="A181" s="26"/>
      <c r="B181" s="139"/>
      <c r="C181" s="141"/>
      <c r="D181" s="141"/>
      <c r="E181" s="141"/>
      <c r="F181" s="141"/>
      <c r="G181" s="143"/>
      <c r="H181" s="26"/>
    </row>
    <row r="182" spans="1:8" ht="17.25" customHeight="1" x14ac:dyDescent="0.2">
      <c r="A182" s="26"/>
      <c r="B182" s="139"/>
      <c r="C182" s="141"/>
      <c r="D182" s="141"/>
      <c r="E182" s="141"/>
      <c r="F182" s="141"/>
      <c r="G182" s="143"/>
      <c r="H182" s="26"/>
    </row>
    <row r="183" spans="1:8" ht="17.25" customHeight="1" x14ac:dyDescent="0.2">
      <c r="A183" s="26"/>
      <c r="B183" s="139"/>
      <c r="C183" s="141"/>
      <c r="D183" s="141"/>
      <c r="E183" s="141"/>
      <c r="F183" s="141"/>
      <c r="G183" s="143"/>
      <c r="H183" s="26"/>
    </row>
    <row r="184" spans="1:8" ht="17.25" customHeight="1" x14ac:dyDescent="0.2">
      <c r="A184" s="26"/>
      <c r="B184" s="139"/>
      <c r="C184" s="141"/>
      <c r="D184" s="141"/>
      <c r="E184" s="141"/>
      <c r="F184" s="141"/>
      <c r="G184" s="143"/>
      <c r="H184" s="26"/>
    </row>
    <row r="185" spans="1:8" ht="17.25" customHeight="1" x14ac:dyDescent="0.2">
      <c r="A185" s="26"/>
      <c r="B185" s="139"/>
      <c r="C185" s="141"/>
      <c r="D185" s="141"/>
      <c r="E185" s="141"/>
      <c r="F185" s="141"/>
      <c r="G185" s="143"/>
      <c r="H185" s="26"/>
    </row>
    <row r="186" spans="1:8" ht="17.25" customHeight="1" x14ac:dyDescent="0.2">
      <c r="A186" s="26"/>
      <c r="B186" s="139"/>
      <c r="C186" s="141"/>
      <c r="D186" s="141"/>
      <c r="E186" s="141"/>
      <c r="F186" s="141"/>
      <c r="G186" s="143"/>
      <c r="H186" s="26"/>
    </row>
    <row r="187" spans="1:8" ht="17.25" customHeight="1" x14ac:dyDescent="0.2">
      <c r="A187" s="26"/>
      <c r="B187" s="139"/>
      <c r="C187" s="141"/>
      <c r="D187" s="141"/>
      <c r="E187" s="141"/>
      <c r="F187" s="141"/>
      <c r="G187" s="143"/>
      <c r="H187" s="26"/>
    </row>
    <row r="188" spans="1:8" ht="17.25" customHeight="1" x14ac:dyDescent="0.2">
      <c r="A188" s="26"/>
      <c r="B188" s="139"/>
      <c r="C188" s="141"/>
      <c r="D188" s="141"/>
      <c r="E188" s="141"/>
      <c r="F188" s="141"/>
      <c r="G188" s="143"/>
      <c r="H188" s="26"/>
    </row>
    <row r="189" spans="1:8" ht="17.25" customHeight="1" x14ac:dyDescent="0.2">
      <c r="A189" s="26"/>
      <c r="B189" s="139"/>
      <c r="C189" s="141"/>
      <c r="D189" s="141"/>
      <c r="E189" s="141"/>
      <c r="F189" s="141"/>
      <c r="G189" s="143"/>
      <c r="H189" s="26"/>
    </row>
    <row r="190" spans="1:8" ht="17.25" customHeight="1" x14ac:dyDescent="0.2">
      <c r="A190" s="26"/>
      <c r="B190" s="139"/>
      <c r="C190" s="141"/>
      <c r="D190" s="141"/>
      <c r="E190" s="141"/>
      <c r="F190" s="141"/>
      <c r="G190" s="143"/>
      <c r="H190" s="26"/>
    </row>
    <row r="191" spans="1:8" ht="17.25" customHeight="1" x14ac:dyDescent="0.2">
      <c r="A191" s="26"/>
      <c r="B191" s="139"/>
      <c r="C191" s="141"/>
      <c r="D191" s="141"/>
      <c r="E191" s="141"/>
      <c r="F191" s="141"/>
      <c r="G191" s="143"/>
      <c r="H191" s="26"/>
    </row>
    <row r="192" spans="1:8" ht="17.25" customHeight="1" x14ac:dyDescent="0.2">
      <c r="A192" s="26"/>
      <c r="B192" s="139"/>
      <c r="C192" s="141"/>
      <c r="D192" s="141"/>
      <c r="E192" s="141"/>
      <c r="F192" s="141"/>
      <c r="G192" s="143"/>
      <c r="H192" s="26"/>
    </row>
    <row r="193" spans="1:8" ht="17.25" customHeight="1" x14ac:dyDescent="0.2">
      <c r="A193" s="26"/>
      <c r="B193" s="139"/>
      <c r="C193" s="141"/>
      <c r="D193" s="141"/>
      <c r="E193" s="141"/>
      <c r="F193" s="141"/>
      <c r="G193" s="143"/>
      <c r="H193" s="26"/>
    </row>
    <row r="194" spans="1:8" ht="17.25" customHeight="1" x14ac:dyDescent="0.2">
      <c r="A194" s="26"/>
      <c r="B194" s="139"/>
      <c r="C194" s="141"/>
      <c r="D194" s="141"/>
      <c r="E194" s="141"/>
      <c r="F194" s="141"/>
      <c r="G194" s="143"/>
      <c r="H194" s="26"/>
    </row>
    <row r="195" spans="1:8" ht="17.25" customHeight="1" x14ac:dyDescent="0.2">
      <c r="A195" s="26"/>
      <c r="B195" s="139"/>
      <c r="C195" s="141"/>
      <c r="D195" s="141"/>
      <c r="E195" s="141"/>
      <c r="F195" s="141"/>
      <c r="G195" s="143"/>
      <c r="H195" s="26"/>
    </row>
    <row r="196" spans="1:8" ht="17.25" customHeight="1" x14ac:dyDescent="0.2">
      <c r="A196" s="26"/>
      <c r="B196" s="139"/>
      <c r="C196" s="141"/>
      <c r="D196" s="141"/>
      <c r="E196" s="141"/>
      <c r="F196" s="141"/>
      <c r="G196" s="143"/>
      <c r="H196" s="26"/>
    </row>
    <row r="197" spans="1:8" ht="17.25" customHeight="1" x14ac:dyDescent="0.2">
      <c r="A197" s="26"/>
      <c r="B197" s="139"/>
      <c r="C197" s="141"/>
      <c r="D197" s="141"/>
      <c r="E197" s="141"/>
      <c r="F197" s="141"/>
      <c r="G197" s="143"/>
      <c r="H197" s="26"/>
    </row>
    <row r="198" spans="1:8" ht="17.25" customHeight="1" x14ac:dyDescent="0.2">
      <c r="A198" s="26"/>
      <c r="B198" s="139"/>
      <c r="C198" s="141"/>
      <c r="D198" s="141"/>
      <c r="E198" s="141"/>
      <c r="F198" s="141"/>
      <c r="G198" s="143"/>
      <c r="H198" s="26"/>
    </row>
    <row r="199" spans="1:8" ht="17.25" customHeight="1" x14ac:dyDescent="0.2">
      <c r="A199" s="26"/>
      <c r="B199" s="139"/>
      <c r="C199" s="141"/>
      <c r="D199" s="141"/>
      <c r="E199" s="141"/>
      <c r="F199" s="141"/>
      <c r="G199" s="143"/>
      <c r="H199" s="26"/>
    </row>
    <row r="200" spans="1:8" ht="17.25" customHeight="1" x14ac:dyDescent="0.2">
      <c r="A200" s="26"/>
      <c r="B200" s="139"/>
      <c r="C200" s="141"/>
      <c r="D200" s="141"/>
      <c r="E200" s="141"/>
      <c r="F200" s="141"/>
      <c r="G200" s="143"/>
      <c r="H200" s="26"/>
    </row>
    <row r="201" spans="1:8" ht="17.25" customHeight="1" x14ac:dyDescent="0.2">
      <c r="A201" s="26"/>
      <c r="B201" s="139"/>
      <c r="C201" s="141"/>
      <c r="D201" s="141"/>
      <c r="E201" s="141"/>
      <c r="F201" s="141"/>
      <c r="G201" s="143"/>
      <c r="H201" s="26"/>
    </row>
    <row r="202" spans="1:8" ht="17.25" customHeight="1" x14ac:dyDescent="0.2">
      <c r="A202" s="26"/>
      <c r="B202" s="139"/>
      <c r="C202" s="141"/>
      <c r="D202" s="141"/>
      <c r="E202" s="141"/>
      <c r="F202" s="141"/>
      <c r="G202" s="143"/>
      <c r="H202" s="26"/>
    </row>
    <row r="203" spans="1:8" ht="17.25" customHeight="1" x14ac:dyDescent="0.2">
      <c r="A203" s="26"/>
      <c r="B203" s="139"/>
      <c r="C203" s="141"/>
      <c r="D203" s="141"/>
      <c r="E203" s="141"/>
      <c r="F203" s="141"/>
      <c r="G203" s="143"/>
      <c r="H203" s="26"/>
    </row>
    <row r="204" spans="1:8" ht="17.25" customHeight="1" x14ac:dyDescent="0.2">
      <c r="A204" s="26"/>
      <c r="B204" s="139"/>
      <c r="C204" s="141"/>
      <c r="D204" s="141"/>
      <c r="E204" s="141"/>
      <c r="F204" s="141"/>
      <c r="G204" s="143"/>
      <c r="H204" s="26"/>
    </row>
    <row r="205" spans="1:8" ht="17.25" customHeight="1" x14ac:dyDescent="0.2">
      <c r="A205" s="26"/>
      <c r="B205" s="139"/>
      <c r="C205" s="141"/>
      <c r="D205" s="141"/>
      <c r="E205" s="141"/>
      <c r="F205" s="141"/>
      <c r="G205" s="143"/>
      <c r="H205" s="26"/>
    </row>
    <row r="206" spans="1:8" ht="17.25" customHeight="1" x14ac:dyDescent="0.2">
      <c r="A206" s="26"/>
      <c r="B206" s="139"/>
      <c r="C206" s="141"/>
      <c r="D206" s="141"/>
      <c r="E206" s="141"/>
      <c r="F206" s="141"/>
      <c r="G206" s="143"/>
      <c r="H206" s="26"/>
    </row>
    <row r="207" spans="1:8" ht="17.25" customHeight="1" x14ac:dyDescent="0.2">
      <c r="A207" s="26"/>
      <c r="B207" s="139"/>
      <c r="C207" s="141"/>
      <c r="D207" s="141"/>
      <c r="E207" s="141"/>
      <c r="F207" s="141"/>
      <c r="G207" s="143"/>
      <c r="H207" s="26"/>
    </row>
    <row r="208" spans="1:8" ht="17.25" customHeight="1" x14ac:dyDescent="0.2">
      <c r="A208" s="26"/>
      <c r="B208" s="139"/>
      <c r="C208" s="141"/>
      <c r="D208" s="141"/>
      <c r="E208" s="141"/>
      <c r="F208" s="141"/>
      <c r="G208" s="143"/>
      <c r="H208" s="26"/>
    </row>
    <row r="209" spans="1:8" ht="17.25" customHeight="1" x14ac:dyDescent="0.2">
      <c r="A209" s="26"/>
      <c r="B209" s="139"/>
      <c r="C209" s="141"/>
      <c r="D209" s="141"/>
      <c r="E209" s="141"/>
      <c r="F209" s="141"/>
      <c r="G209" s="143"/>
      <c r="H209" s="26"/>
    </row>
    <row r="210" spans="1:8" ht="17.25" customHeight="1" x14ac:dyDescent="0.2">
      <c r="A210" s="26"/>
      <c r="B210" s="139"/>
      <c r="C210" s="141"/>
      <c r="D210" s="141"/>
      <c r="E210" s="141"/>
      <c r="F210" s="141"/>
      <c r="G210" s="143"/>
      <c r="H210" s="26"/>
    </row>
    <row r="211" spans="1:8" ht="17.25" customHeight="1" x14ac:dyDescent="0.2">
      <c r="A211" s="26"/>
      <c r="B211" s="139"/>
      <c r="C211" s="141"/>
      <c r="D211" s="141"/>
      <c r="E211" s="141"/>
      <c r="F211" s="141"/>
      <c r="G211" s="143"/>
      <c r="H211" s="26"/>
    </row>
    <row r="212" spans="1:8" ht="17.25" customHeight="1" x14ac:dyDescent="0.2">
      <c r="A212" s="26"/>
      <c r="B212" s="139"/>
      <c r="C212" s="141"/>
      <c r="D212" s="141"/>
      <c r="E212" s="141"/>
      <c r="F212" s="141"/>
      <c r="G212" s="143"/>
      <c r="H212" s="26"/>
    </row>
    <row r="213" spans="1:8" ht="17.25" customHeight="1" x14ac:dyDescent="0.2">
      <c r="A213" s="26"/>
      <c r="B213" s="139"/>
      <c r="C213" s="141"/>
      <c r="D213" s="141"/>
      <c r="E213" s="141"/>
      <c r="F213" s="141"/>
      <c r="G213" s="143"/>
      <c r="H213" s="26"/>
    </row>
    <row r="214" spans="1:8" ht="17.25" customHeight="1" x14ac:dyDescent="0.2">
      <c r="A214" s="26"/>
      <c r="B214" s="139"/>
      <c r="C214" s="141"/>
      <c r="D214" s="141"/>
      <c r="E214" s="141"/>
      <c r="F214" s="141"/>
      <c r="G214" s="143"/>
      <c r="H214" s="26"/>
    </row>
    <row r="215" spans="1:8" ht="17.25" customHeight="1" x14ac:dyDescent="0.2">
      <c r="A215" s="26"/>
      <c r="B215" s="139"/>
      <c r="C215" s="141"/>
      <c r="D215" s="141"/>
      <c r="E215" s="141"/>
      <c r="F215" s="141"/>
      <c r="G215" s="143"/>
      <c r="H215" s="26"/>
    </row>
    <row r="216" spans="1:8" ht="17.25" customHeight="1" x14ac:dyDescent="0.2">
      <c r="A216" s="26"/>
      <c r="B216" s="139"/>
      <c r="C216" s="141"/>
      <c r="D216" s="141"/>
      <c r="E216" s="141"/>
      <c r="F216" s="141"/>
      <c r="G216" s="143"/>
      <c r="H216" s="26"/>
    </row>
    <row r="217" spans="1:8" ht="17.25" customHeight="1" x14ac:dyDescent="0.2">
      <c r="A217" s="26"/>
      <c r="B217" s="139"/>
      <c r="C217" s="141"/>
      <c r="D217" s="141"/>
      <c r="E217" s="141"/>
      <c r="F217" s="141"/>
      <c r="G217" s="143"/>
      <c r="H217" s="26"/>
    </row>
    <row r="218" spans="1:8" ht="17.25" customHeight="1" x14ac:dyDescent="0.2">
      <c r="A218" s="26"/>
      <c r="B218" s="139"/>
      <c r="C218" s="141"/>
      <c r="D218" s="141"/>
      <c r="E218" s="141"/>
      <c r="F218" s="141"/>
      <c r="G218" s="143"/>
      <c r="H218" s="26"/>
    </row>
    <row r="219" spans="1:8" ht="17.25" customHeight="1" x14ac:dyDescent="0.2">
      <c r="A219" s="26"/>
      <c r="B219" s="139"/>
      <c r="C219" s="141"/>
      <c r="D219" s="141"/>
      <c r="E219" s="141"/>
      <c r="F219" s="141"/>
      <c r="G219" s="143"/>
      <c r="H219" s="26"/>
    </row>
    <row r="220" spans="1:8" ht="17.25" customHeight="1" x14ac:dyDescent="0.2">
      <c r="A220" s="26"/>
      <c r="B220" s="139"/>
      <c r="C220" s="141"/>
      <c r="D220" s="141"/>
      <c r="E220" s="141"/>
      <c r="F220" s="141"/>
      <c r="G220" s="143"/>
      <c r="H220" s="26"/>
    </row>
    <row r="221" spans="1:8" ht="17.25" customHeight="1" x14ac:dyDescent="0.2">
      <c r="A221" s="26"/>
      <c r="B221" s="139"/>
      <c r="C221" s="141"/>
      <c r="D221" s="141"/>
      <c r="E221" s="141"/>
      <c r="F221" s="141"/>
      <c r="G221" s="143"/>
      <c r="H221" s="26"/>
    </row>
    <row r="222" spans="1:8" ht="17.25" customHeight="1" x14ac:dyDescent="0.2">
      <c r="A222" s="26"/>
      <c r="B222" s="139"/>
      <c r="C222" s="141"/>
      <c r="D222" s="141"/>
      <c r="E222" s="141"/>
      <c r="F222" s="141"/>
      <c r="G222" s="143"/>
      <c r="H222" s="26"/>
    </row>
    <row r="223" spans="1:8" ht="17.25" customHeight="1" x14ac:dyDescent="0.2">
      <c r="A223" s="26"/>
      <c r="B223" s="139"/>
      <c r="C223" s="141"/>
      <c r="D223" s="141"/>
      <c r="E223" s="141"/>
      <c r="F223" s="141"/>
      <c r="G223" s="143"/>
      <c r="H223" s="26"/>
    </row>
    <row r="224" spans="1:8" ht="17.25" customHeight="1" x14ac:dyDescent="0.2">
      <c r="A224" s="26"/>
      <c r="B224" s="139"/>
      <c r="C224" s="141"/>
      <c r="D224" s="141"/>
      <c r="E224" s="141"/>
      <c r="F224" s="141"/>
      <c r="G224" s="143"/>
      <c r="H224" s="26"/>
    </row>
    <row r="225" spans="1:8" ht="17.25" customHeight="1" x14ac:dyDescent="0.2">
      <c r="A225" s="26"/>
      <c r="B225" s="139"/>
      <c r="C225" s="141"/>
      <c r="D225" s="141"/>
      <c r="E225" s="141"/>
      <c r="F225" s="141"/>
      <c r="G225" s="143"/>
      <c r="H225" s="26"/>
    </row>
    <row r="226" spans="1:8" ht="17.25" customHeight="1" x14ac:dyDescent="0.2">
      <c r="A226" s="26"/>
      <c r="B226" s="139"/>
      <c r="C226" s="141"/>
      <c r="D226" s="141"/>
      <c r="E226" s="141"/>
      <c r="F226" s="141"/>
      <c r="G226" s="143"/>
      <c r="H226" s="26"/>
    </row>
    <row r="227" spans="1:8" ht="17.25" customHeight="1" x14ac:dyDescent="0.2">
      <c r="A227" s="26"/>
      <c r="B227" s="139"/>
      <c r="C227" s="141"/>
      <c r="D227" s="141"/>
      <c r="E227" s="141"/>
      <c r="F227" s="141"/>
      <c r="G227" s="143"/>
      <c r="H227" s="26"/>
    </row>
    <row r="228" spans="1:8" ht="17.25" customHeight="1" x14ac:dyDescent="0.2">
      <c r="A228" s="26"/>
      <c r="B228" s="139"/>
      <c r="C228" s="141"/>
      <c r="D228" s="141"/>
      <c r="E228" s="141"/>
      <c r="F228" s="141"/>
      <c r="G228" s="143"/>
      <c r="H228" s="26"/>
    </row>
    <row r="229" spans="1:8" ht="17.25" customHeight="1" x14ac:dyDescent="0.2">
      <c r="A229" s="26"/>
      <c r="B229" s="139"/>
      <c r="C229" s="141"/>
      <c r="D229" s="141"/>
      <c r="E229" s="141"/>
      <c r="F229" s="141"/>
      <c r="G229" s="143"/>
      <c r="H229" s="26"/>
    </row>
    <row r="230" spans="1:8" ht="17.25" customHeight="1" x14ac:dyDescent="0.2">
      <c r="A230" s="26"/>
      <c r="B230" s="139"/>
      <c r="C230" s="141"/>
      <c r="D230" s="141"/>
      <c r="E230" s="141"/>
      <c r="F230" s="141"/>
      <c r="G230" s="143"/>
      <c r="H230" s="26"/>
    </row>
    <row r="231" spans="1:8" ht="17.25" customHeight="1" x14ac:dyDescent="0.2">
      <c r="A231" s="26"/>
      <c r="B231" s="139"/>
      <c r="C231" s="141"/>
      <c r="D231" s="141"/>
      <c r="E231" s="141"/>
      <c r="F231" s="141"/>
      <c r="G231" s="143"/>
      <c r="H231" s="26"/>
    </row>
    <row r="232" spans="1:8" ht="17.25" customHeight="1" x14ac:dyDescent="0.2">
      <c r="A232" s="26"/>
      <c r="B232" s="139"/>
      <c r="C232" s="141"/>
      <c r="D232" s="141"/>
      <c r="E232" s="141"/>
      <c r="F232" s="141"/>
      <c r="G232" s="143"/>
      <c r="H232" s="26"/>
    </row>
    <row r="233" spans="1:8" ht="17.25" customHeight="1" x14ac:dyDescent="0.2">
      <c r="A233" s="26"/>
      <c r="B233" s="139"/>
      <c r="C233" s="141"/>
      <c r="D233" s="141"/>
      <c r="E233" s="141"/>
      <c r="F233" s="141"/>
      <c r="G233" s="143"/>
      <c r="H233" s="26"/>
    </row>
    <row r="234" spans="1:8" ht="17.25" customHeight="1" x14ac:dyDescent="0.2">
      <c r="A234" s="26"/>
      <c r="B234" s="139"/>
      <c r="C234" s="141"/>
      <c r="D234" s="141"/>
      <c r="E234" s="141"/>
      <c r="F234" s="141"/>
      <c r="G234" s="143"/>
      <c r="H234" s="26"/>
    </row>
    <row r="235" spans="1:8" ht="17.25" customHeight="1" x14ac:dyDescent="0.2">
      <c r="A235" s="26"/>
      <c r="B235" s="139"/>
      <c r="C235" s="141"/>
      <c r="D235" s="141"/>
      <c r="E235" s="141"/>
      <c r="F235" s="141"/>
      <c r="G235" s="143"/>
      <c r="H235" s="26"/>
    </row>
    <row r="236" spans="1:8" ht="17.25" customHeight="1" x14ac:dyDescent="0.2">
      <c r="A236" s="26"/>
      <c r="B236" s="139"/>
      <c r="C236" s="141"/>
      <c r="D236" s="141"/>
      <c r="E236" s="141"/>
      <c r="F236" s="141"/>
      <c r="G236" s="143"/>
      <c r="H236" s="26"/>
    </row>
    <row r="237" spans="1:8" ht="17.25" customHeight="1" x14ac:dyDescent="0.2">
      <c r="A237" s="26"/>
      <c r="B237" s="139"/>
      <c r="C237" s="141"/>
      <c r="D237" s="141"/>
      <c r="E237" s="141"/>
      <c r="F237" s="141"/>
      <c r="G237" s="143"/>
      <c r="H237" s="26"/>
    </row>
    <row r="238" spans="1:8" ht="17.25" customHeight="1" x14ac:dyDescent="0.2">
      <c r="A238" s="26"/>
      <c r="B238" s="139"/>
      <c r="C238" s="141"/>
      <c r="D238" s="141"/>
      <c r="E238" s="141"/>
      <c r="F238" s="141"/>
      <c r="G238" s="143"/>
      <c r="H238" s="26"/>
    </row>
    <row r="239" spans="1:8" ht="17.25" customHeight="1" x14ac:dyDescent="0.2">
      <c r="A239" s="26"/>
      <c r="B239" s="139"/>
      <c r="C239" s="141"/>
      <c r="D239" s="141"/>
      <c r="E239" s="141"/>
      <c r="F239" s="141"/>
      <c r="G239" s="143"/>
      <c r="H239" s="26"/>
    </row>
    <row r="240" spans="1:8" ht="17.25" customHeight="1" x14ac:dyDescent="0.2">
      <c r="A240" s="26"/>
      <c r="B240" s="139"/>
      <c r="C240" s="141"/>
      <c r="D240" s="141"/>
      <c r="E240" s="141"/>
      <c r="F240" s="141"/>
      <c r="G240" s="143"/>
      <c r="H240" s="26"/>
    </row>
    <row r="241" spans="1:8" ht="17.25" customHeight="1" x14ac:dyDescent="0.2">
      <c r="A241" s="26"/>
      <c r="B241" s="139"/>
      <c r="C241" s="141"/>
      <c r="D241" s="141"/>
      <c r="E241" s="141"/>
      <c r="F241" s="141"/>
      <c r="G241" s="143"/>
      <c r="H241" s="26"/>
    </row>
    <row r="242" spans="1:8" ht="17.25" customHeight="1" x14ac:dyDescent="0.2">
      <c r="A242" s="26"/>
      <c r="B242" s="139"/>
      <c r="C242" s="141"/>
      <c r="D242" s="141"/>
      <c r="E242" s="141"/>
      <c r="F242" s="141"/>
      <c r="G242" s="143"/>
      <c r="H242" s="26"/>
    </row>
    <row r="243" spans="1:8" ht="17.25" customHeight="1" x14ac:dyDescent="0.2">
      <c r="A243" s="26"/>
      <c r="B243" s="139"/>
      <c r="C243" s="141"/>
      <c r="D243" s="141"/>
      <c r="E243" s="141"/>
      <c r="F243" s="141"/>
      <c r="G243" s="143"/>
      <c r="H243" s="26"/>
    </row>
    <row r="244" spans="1:8" ht="17.25" customHeight="1" x14ac:dyDescent="0.2">
      <c r="A244" s="26"/>
      <c r="B244" s="139"/>
      <c r="C244" s="141"/>
      <c r="D244" s="141"/>
      <c r="E244" s="141"/>
      <c r="F244" s="141"/>
      <c r="G244" s="143"/>
      <c r="H244" s="26"/>
    </row>
    <row r="245" spans="1:8" ht="17.25" customHeight="1" x14ac:dyDescent="0.2">
      <c r="A245" s="26"/>
      <c r="B245" s="139"/>
      <c r="C245" s="141"/>
      <c r="D245" s="141"/>
      <c r="E245" s="141"/>
      <c r="F245" s="141"/>
      <c r="G245" s="143"/>
      <c r="H245" s="26"/>
    </row>
    <row r="246" spans="1:8" ht="17.25" customHeight="1" x14ac:dyDescent="0.2">
      <c r="A246" s="26"/>
      <c r="B246" s="139"/>
      <c r="C246" s="141"/>
      <c r="D246" s="141"/>
      <c r="E246" s="141"/>
      <c r="F246" s="141"/>
      <c r="G246" s="143"/>
      <c r="H246" s="26"/>
    </row>
    <row r="247" spans="1:8" ht="17.25" customHeight="1" x14ac:dyDescent="0.2">
      <c r="A247" s="26"/>
      <c r="B247" s="139"/>
      <c r="C247" s="141"/>
      <c r="D247" s="141"/>
      <c r="E247" s="141"/>
      <c r="F247" s="141"/>
      <c r="G247" s="143"/>
      <c r="H247" s="26"/>
    </row>
    <row r="248" spans="1:8" ht="17.25" customHeight="1" x14ac:dyDescent="0.2">
      <c r="A248" s="26"/>
      <c r="B248" s="139"/>
      <c r="C248" s="141"/>
      <c r="D248" s="141"/>
      <c r="E248" s="141"/>
      <c r="F248" s="141"/>
      <c r="G248" s="143"/>
      <c r="H248" s="26"/>
    </row>
    <row r="249" spans="1:8" ht="17.25" customHeight="1" x14ac:dyDescent="0.2">
      <c r="A249" s="26"/>
      <c r="B249" s="139"/>
      <c r="C249" s="141"/>
      <c r="D249" s="141"/>
      <c r="E249" s="141"/>
      <c r="F249" s="141"/>
      <c r="G249" s="143"/>
      <c r="H249" s="26"/>
    </row>
    <row r="250" spans="1:8" ht="17.25" customHeight="1" x14ac:dyDescent="0.2">
      <c r="A250" s="26"/>
      <c r="B250" s="139"/>
      <c r="C250" s="141"/>
      <c r="D250" s="141"/>
      <c r="E250" s="141"/>
      <c r="F250" s="141"/>
      <c r="G250" s="143"/>
      <c r="H250" s="26"/>
    </row>
    <row r="251" spans="1:8" ht="17.25" customHeight="1" x14ac:dyDescent="0.2">
      <c r="A251" s="26"/>
      <c r="B251" s="139"/>
      <c r="C251" s="141"/>
      <c r="D251" s="141"/>
      <c r="E251" s="141"/>
      <c r="F251" s="141"/>
      <c r="G251" s="143"/>
      <c r="H251" s="26"/>
    </row>
    <row r="252" spans="1:8" ht="17.25" customHeight="1" x14ac:dyDescent="0.2">
      <c r="A252" s="26"/>
      <c r="B252" s="139"/>
      <c r="C252" s="141"/>
      <c r="D252" s="141"/>
      <c r="E252" s="141"/>
      <c r="F252" s="141"/>
      <c r="G252" s="143"/>
      <c r="H252" s="26"/>
    </row>
    <row r="253" spans="1:8" ht="17.25" customHeight="1" x14ac:dyDescent="0.2">
      <c r="A253" s="26"/>
      <c r="B253" s="139"/>
      <c r="C253" s="141"/>
      <c r="D253" s="141"/>
      <c r="E253" s="141"/>
      <c r="F253" s="141"/>
      <c r="G253" s="143"/>
      <c r="H253" s="26"/>
    </row>
    <row r="254" spans="1:8" ht="17.25" customHeight="1" x14ac:dyDescent="0.2">
      <c r="A254" s="26"/>
      <c r="B254" s="139"/>
      <c r="C254" s="141"/>
      <c r="D254" s="141"/>
      <c r="E254" s="141"/>
      <c r="F254" s="141"/>
      <c r="G254" s="143"/>
      <c r="H254" s="26"/>
    </row>
    <row r="255" spans="1:8" ht="17.25" customHeight="1" x14ac:dyDescent="0.2">
      <c r="A255" s="26"/>
      <c r="B255" s="139"/>
      <c r="C255" s="141"/>
      <c r="D255" s="141"/>
      <c r="E255" s="141"/>
      <c r="F255" s="141"/>
      <c r="G255" s="143"/>
      <c r="H255" s="26"/>
    </row>
    <row r="256" spans="1:8" ht="17.25" customHeight="1" x14ac:dyDescent="0.2">
      <c r="A256" s="26"/>
      <c r="B256" s="139"/>
      <c r="C256" s="141"/>
      <c r="D256" s="141"/>
      <c r="E256" s="141"/>
      <c r="F256" s="141"/>
      <c r="G256" s="143"/>
      <c r="H256" s="26"/>
    </row>
    <row r="257" spans="1:8" ht="17.25" customHeight="1" x14ac:dyDescent="0.2">
      <c r="A257" s="26"/>
      <c r="B257" s="139"/>
      <c r="C257" s="141"/>
      <c r="D257" s="141"/>
      <c r="E257" s="141"/>
      <c r="F257" s="141"/>
      <c r="G257" s="143"/>
      <c r="H257" s="26"/>
    </row>
    <row r="258" spans="1:8" ht="17.25" customHeight="1" x14ac:dyDescent="0.2">
      <c r="A258" s="26"/>
      <c r="B258" s="139"/>
      <c r="C258" s="141"/>
      <c r="D258" s="141"/>
      <c r="E258" s="141"/>
      <c r="F258" s="141"/>
      <c r="G258" s="143"/>
      <c r="H258" s="26"/>
    </row>
    <row r="259" spans="1:8" ht="17.25" customHeight="1" x14ac:dyDescent="0.2">
      <c r="A259" s="26"/>
      <c r="B259" s="139"/>
      <c r="C259" s="141"/>
      <c r="D259" s="141"/>
      <c r="E259" s="141"/>
      <c r="F259" s="141"/>
      <c r="G259" s="143"/>
      <c r="H259" s="26"/>
    </row>
    <row r="260" spans="1:8" ht="17.25" customHeight="1" x14ac:dyDescent="0.2">
      <c r="A260" s="26"/>
      <c r="B260" s="139"/>
      <c r="C260" s="141"/>
      <c r="D260" s="141"/>
      <c r="E260" s="141"/>
      <c r="F260" s="141"/>
      <c r="G260" s="143"/>
      <c r="H260" s="26"/>
    </row>
    <row r="261" spans="1:8" ht="17.25" customHeight="1" x14ac:dyDescent="0.2">
      <c r="A261" s="26"/>
      <c r="B261" s="139"/>
      <c r="C261" s="141"/>
      <c r="D261" s="141"/>
      <c r="E261" s="141"/>
      <c r="F261" s="141"/>
      <c r="G261" s="143"/>
      <c r="H261" s="26"/>
    </row>
    <row r="262" spans="1:8" ht="17.25" customHeight="1" x14ac:dyDescent="0.2">
      <c r="A262" s="26"/>
      <c r="B262" s="139"/>
      <c r="C262" s="141"/>
      <c r="D262" s="141"/>
      <c r="E262" s="141"/>
      <c r="F262" s="141"/>
      <c r="G262" s="143"/>
      <c r="H262" s="26"/>
    </row>
    <row r="263" spans="1:8" ht="17.25" customHeight="1" x14ac:dyDescent="0.2">
      <c r="A263" s="26"/>
      <c r="B263" s="139"/>
      <c r="C263" s="141"/>
      <c r="D263" s="141"/>
      <c r="E263" s="141"/>
      <c r="F263" s="141"/>
      <c r="G263" s="143"/>
      <c r="H263" s="26"/>
    </row>
    <row r="264" spans="1:8" ht="17.25" customHeight="1" x14ac:dyDescent="0.2">
      <c r="A264" s="26"/>
      <c r="B264" s="139"/>
      <c r="C264" s="141"/>
      <c r="D264" s="141"/>
      <c r="E264" s="141"/>
      <c r="F264" s="141"/>
      <c r="G264" s="143"/>
      <c r="H264" s="26"/>
    </row>
    <row r="265" spans="1:8" ht="17.25" customHeight="1" x14ac:dyDescent="0.2">
      <c r="A265" s="26"/>
      <c r="B265" s="139"/>
      <c r="C265" s="141"/>
      <c r="D265" s="141"/>
      <c r="E265" s="141"/>
      <c r="F265" s="141"/>
      <c r="G265" s="143"/>
      <c r="H265" s="26"/>
    </row>
    <row r="266" spans="1:8" ht="17.25" customHeight="1" x14ac:dyDescent="0.2">
      <c r="A266" s="26"/>
      <c r="B266" s="139"/>
      <c r="C266" s="141"/>
      <c r="D266" s="141"/>
      <c r="E266" s="141"/>
      <c r="F266" s="141"/>
      <c r="G266" s="143"/>
      <c r="H266" s="26"/>
    </row>
    <row r="267" spans="1:8" ht="17.25" customHeight="1" x14ac:dyDescent="0.2">
      <c r="A267" s="26"/>
      <c r="B267" s="139"/>
      <c r="C267" s="141"/>
      <c r="D267" s="141"/>
      <c r="E267" s="141"/>
      <c r="F267" s="141"/>
      <c r="G267" s="143"/>
      <c r="H267" s="26"/>
    </row>
    <row r="268" spans="1:8" ht="17.25" customHeight="1" x14ac:dyDescent="0.2">
      <c r="A268" s="26"/>
      <c r="B268" s="139"/>
      <c r="C268" s="141"/>
      <c r="D268" s="141"/>
      <c r="E268" s="141"/>
      <c r="F268" s="141"/>
      <c r="G268" s="143"/>
      <c r="H268" s="26"/>
    </row>
    <row r="269" spans="1:8" ht="17.25" customHeight="1" x14ac:dyDescent="0.2">
      <c r="A269" s="26"/>
      <c r="B269" s="139"/>
      <c r="C269" s="141"/>
      <c r="D269" s="141"/>
      <c r="E269" s="141"/>
      <c r="F269" s="141"/>
      <c r="G269" s="143"/>
      <c r="H269" s="26"/>
    </row>
    <row r="270" spans="1:8" ht="17.25" customHeight="1" x14ac:dyDescent="0.2">
      <c r="A270" s="26"/>
      <c r="B270" s="139"/>
      <c r="C270" s="141"/>
      <c r="D270" s="141"/>
      <c r="E270" s="141"/>
      <c r="F270" s="141"/>
      <c r="G270" s="143"/>
      <c r="H270" s="26"/>
    </row>
    <row r="271" spans="1:8" ht="17.25" customHeight="1" x14ac:dyDescent="0.2">
      <c r="A271" s="26"/>
      <c r="B271" s="139"/>
      <c r="C271" s="141"/>
      <c r="D271" s="141"/>
      <c r="E271" s="141"/>
      <c r="F271" s="141"/>
      <c r="G271" s="143"/>
      <c r="H271" s="26"/>
    </row>
    <row r="272" spans="1:8" ht="17.25" customHeight="1" x14ac:dyDescent="0.2">
      <c r="A272" s="26"/>
      <c r="B272" s="139"/>
      <c r="C272" s="141"/>
      <c r="D272" s="141"/>
      <c r="E272" s="141"/>
      <c r="F272" s="141"/>
      <c r="G272" s="143"/>
      <c r="H272" s="26"/>
    </row>
    <row r="273" spans="1:8" ht="17.25" customHeight="1" x14ac:dyDescent="0.2">
      <c r="A273" s="26"/>
      <c r="B273" s="139"/>
      <c r="C273" s="141"/>
      <c r="D273" s="141"/>
      <c r="E273" s="141"/>
      <c r="F273" s="141"/>
      <c r="G273" s="143"/>
      <c r="H273" s="26"/>
    </row>
    <row r="274" spans="1:8" ht="17.25" customHeight="1" x14ac:dyDescent="0.2">
      <c r="A274" s="26"/>
      <c r="B274" s="139"/>
      <c r="C274" s="141"/>
      <c r="D274" s="141"/>
      <c r="E274" s="141"/>
      <c r="F274" s="141"/>
      <c r="G274" s="143"/>
      <c r="H274" s="26"/>
    </row>
    <row r="275" spans="1:8" ht="17.25" customHeight="1" x14ac:dyDescent="0.2">
      <c r="A275" s="26"/>
      <c r="B275" s="139"/>
      <c r="C275" s="141"/>
      <c r="D275" s="141"/>
      <c r="E275" s="141"/>
      <c r="F275" s="141"/>
      <c r="G275" s="143"/>
      <c r="H275" s="26"/>
    </row>
    <row r="276" spans="1:8" ht="17.25" customHeight="1" x14ac:dyDescent="0.2">
      <c r="A276" s="26"/>
      <c r="B276" s="139"/>
      <c r="C276" s="141"/>
      <c r="D276" s="141"/>
      <c r="E276" s="141"/>
      <c r="F276" s="141"/>
      <c r="G276" s="143"/>
      <c r="H276" s="26"/>
    </row>
    <row r="277" spans="1:8" ht="17.25" customHeight="1" x14ac:dyDescent="0.2">
      <c r="A277" s="26"/>
      <c r="B277" s="139"/>
      <c r="C277" s="141"/>
      <c r="D277" s="141"/>
      <c r="E277" s="141"/>
      <c r="F277" s="141"/>
      <c r="G277" s="143"/>
      <c r="H277" s="26"/>
    </row>
    <row r="278" spans="1:8" ht="17.25" customHeight="1" x14ac:dyDescent="0.2">
      <c r="A278" s="26"/>
      <c r="B278" s="139"/>
      <c r="C278" s="141"/>
      <c r="D278" s="141"/>
      <c r="E278" s="141"/>
      <c r="F278" s="141"/>
      <c r="G278" s="143"/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25" priority="5" operator="lessThan">
      <formula>0</formula>
    </cfRule>
    <cfRule type="cellIs" dxfId="124" priority="6" operator="greaterThan">
      <formula>0</formula>
    </cfRule>
  </conditionalFormatting>
  <conditionalFormatting sqref="F28:F1000">
    <cfRule type="expression" dxfId="123" priority="1">
      <formula>AND(F28=MAX(F$28:F$1000),F28&gt;0)</formula>
    </cfRule>
    <cfRule type="expression" dxfId="122" priority="2">
      <formula>AND(F28=MIN(F$28:F$1000),F28&gt;0)</formula>
    </cfRule>
  </conditionalFormatting>
  <conditionalFormatting sqref="F29:F1000">
    <cfRule type="expression" dxfId="121" priority="3">
      <formula>F29&gt;F27</formula>
    </cfRule>
    <cfRule type="expression" dxfId="120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500-000000000000}">
      <formula1>"1 Month,3 Months,6 Months,12 Months,36 Months"</formula1>
    </dataValidation>
  </dataValidations>
  <hyperlinks>
    <hyperlink ref="G2" r:id="rId1" xr:uid="{00000000-0004-0000-05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141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MSCI Japan ETF")</f>
        <v>iShares MSCI Japan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IFERROR(__xludf.DUMMYFUNCTION("GOOGLEFINANCE(B18,""price"")"),89.35)</f>
        <v>89.35</v>
      </c>
      <c r="C10" s="322"/>
      <c r="D10" s="100">
        <f ca="1">IFERROR(__xludf.DUMMYFUNCTION("IFERROR(GOOGLEFINANCE(B18,""change""),""-"")"),-0.48)</f>
        <v>-0.48</v>
      </c>
      <c r="E10" s="103">
        <f ca="1">IFERROR(__xludf.DUMMYFUNCTION("IFERROR(GOOGLEFINANCE(B18,""changepct"")/100,""-"")"),-0.0053)</f>
        <v>-5.3E-3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IFERROR(__xludf.DUMMYFUNCTION("IFERROR(GOOGLEFINANCE(B18,""marketcap""),""-"")"),21604829631)</f>
        <v>21604829631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ewj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IFERROR(__xludf.DUMMYFUNCTION("""COMPUTED_VALUE"""),74.3)</f>
        <v>74.3</v>
      </c>
      <c r="D28" s="141">
        <f ca="1">IFERROR(__xludf.DUMMYFUNCTION("""COMPUTED_VALUE"""),74.46)</f>
        <v>74.459999999999994</v>
      </c>
      <c r="E28" s="141">
        <f ca="1">IFERROR(__xludf.DUMMYFUNCTION("""COMPUTED_VALUE"""),73.72)</f>
        <v>73.72</v>
      </c>
      <c r="F28" s="141">
        <f ca="1">IFERROR(__xludf.DUMMYFUNCTION("""COMPUTED_VALUE"""),73.98)</f>
        <v>73.98</v>
      </c>
      <c r="G28" s="143">
        <f ca="1">IFERROR(__xludf.DUMMYFUNCTION("""COMPUTED_VALUE"""),7624858)</f>
        <v>7624858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IFERROR(__xludf.DUMMYFUNCTION("""COMPUTED_VALUE"""),74.25)</f>
        <v>74.25</v>
      </c>
      <c r="D29" s="141">
        <f ca="1">IFERROR(__xludf.DUMMYFUNCTION("""COMPUTED_VALUE"""),74.26)</f>
        <v>74.260000000000005</v>
      </c>
      <c r="E29" s="141">
        <f ca="1">IFERROR(__xludf.DUMMYFUNCTION("""COMPUTED_VALUE"""),73.34)</f>
        <v>73.34</v>
      </c>
      <c r="F29" s="141">
        <f ca="1">IFERROR(__xludf.DUMMYFUNCTION("""COMPUTED_VALUE"""),73.62)</f>
        <v>73.62</v>
      </c>
      <c r="G29" s="143">
        <f ca="1">IFERROR(__xludf.DUMMYFUNCTION("""COMPUTED_VALUE"""),8368163)</f>
        <v>8368163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IFERROR(__xludf.DUMMYFUNCTION("""COMPUTED_VALUE"""),74.1)</f>
        <v>74.099999999999994</v>
      </c>
      <c r="D30" s="141">
        <f ca="1">IFERROR(__xludf.DUMMYFUNCTION("""COMPUTED_VALUE"""),74.15)</f>
        <v>74.150000000000006</v>
      </c>
      <c r="E30" s="141">
        <f ca="1">IFERROR(__xludf.DUMMYFUNCTION("""COMPUTED_VALUE"""),73.42)</f>
        <v>73.42</v>
      </c>
      <c r="F30" s="141">
        <f ca="1">IFERROR(__xludf.DUMMYFUNCTION("""COMPUTED_VALUE"""),74.07)</f>
        <v>74.069999999999993</v>
      </c>
      <c r="G30" s="143">
        <f ca="1">IFERROR(__xludf.DUMMYFUNCTION("""COMPUTED_VALUE"""),7790785)</f>
        <v>7790785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IFERROR(__xludf.DUMMYFUNCTION("""COMPUTED_VALUE"""),74.8)</f>
        <v>74.8</v>
      </c>
      <c r="D31" s="141">
        <f ca="1">IFERROR(__xludf.DUMMYFUNCTION("""COMPUTED_VALUE"""),75.34)</f>
        <v>75.34</v>
      </c>
      <c r="E31" s="141">
        <f ca="1">IFERROR(__xludf.DUMMYFUNCTION("""COMPUTED_VALUE"""),74.8)</f>
        <v>74.8</v>
      </c>
      <c r="F31" s="141">
        <f ca="1">IFERROR(__xludf.DUMMYFUNCTION("""COMPUTED_VALUE"""),75.29)</f>
        <v>75.290000000000006</v>
      </c>
      <c r="G31" s="143">
        <f ca="1">IFERROR(__xludf.DUMMYFUNCTION("""COMPUTED_VALUE"""),5963559)</f>
        <v>5963559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IFERROR(__xludf.DUMMYFUNCTION("""COMPUTED_VALUE"""),75.15)</f>
        <v>75.150000000000006</v>
      </c>
      <c r="D32" s="141">
        <f ca="1">IFERROR(__xludf.DUMMYFUNCTION("""COMPUTED_VALUE"""),75.22)</f>
        <v>75.22</v>
      </c>
      <c r="E32" s="141">
        <f ca="1">IFERROR(__xludf.DUMMYFUNCTION("""COMPUTED_VALUE"""),74.8)</f>
        <v>74.8</v>
      </c>
      <c r="F32" s="141">
        <f ca="1">IFERROR(__xludf.DUMMYFUNCTION("""COMPUTED_VALUE"""),75.03)</f>
        <v>75.03</v>
      </c>
      <c r="G32" s="143">
        <f ca="1">IFERROR(__xludf.DUMMYFUNCTION("""COMPUTED_VALUE"""),4310036)</f>
        <v>4310036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IFERROR(__xludf.DUMMYFUNCTION("""COMPUTED_VALUE"""),75.77)</f>
        <v>75.77</v>
      </c>
      <c r="D33" s="141">
        <f ca="1">IFERROR(__xludf.DUMMYFUNCTION("""COMPUTED_VALUE"""),76.19)</f>
        <v>76.19</v>
      </c>
      <c r="E33" s="141">
        <f ca="1">IFERROR(__xludf.DUMMYFUNCTION("""COMPUTED_VALUE"""),75.52)</f>
        <v>75.52</v>
      </c>
      <c r="F33" s="141">
        <f ca="1">IFERROR(__xludf.DUMMYFUNCTION("""COMPUTED_VALUE"""),76.03)</f>
        <v>76.03</v>
      </c>
      <c r="G33" s="143">
        <f ca="1">IFERROR(__xludf.DUMMYFUNCTION("""COMPUTED_VALUE"""),5501593)</f>
        <v>5501593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IFERROR(__xludf.DUMMYFUNCTION("""COMPUTED_VALUE"""),76.96)</f>
        <v>76.959999999999994</v>
      </c>
      <c r="D34" s="141">
        <f ca="1">IFERROR(__xludf.DUMMYFUNCTION("""COMPUTED_VALUE"""),77.02)</f>
        <v>77.02</v>
      </c>
      <c r="E34" s="141">
        <f ca="1">IFERROR(__xludf.DUMMYFUNCTION("""COMPUTED_VALUE"""),76.33)</f>
        <v>76.33</v>
      </c>
      <c r="F34" s="141">
        <f ca="1">IFERROR(__xludf.DUMMYFUNCTION("""COMPUTED_VALUE"""),76.62)</f>
        <v>76.62</v>
      </c>
      <c r="G34" s="143">
        <f ca="1">IFERROR(__xludf.DUMMYFUNCTION("""COMPUTED_VALUE"""),5575650)</f>
        <v>5575650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IFERROR(__xludf.DUMMYFUNCTION("""COMPUTED_VALUE"""),77.7)</f>
        <v>77.7</v>
      </c>
      <c r="D35" s="141">
        <f ca="1">IFERROR(__xludf.DUMMYFUNCTION("""COMPUTED_VALUE"""),78.13)</f>
        <v>78.13</v>
      </c>
      <c r="E35" s="141">
        <f ca="1">IFERROR(__xludf.DUMMYFUNCTION("""COMPUTED_VALUE"""),77.63)</f>
        <v>77.63</v>
      </c>
      <c r="F35" s="141">
        <f ca="1">IFERROR(__xludf.DUMMYFUNCTION("""COMPUTED_VALUE"""),77.93)</f>
        <v>77.930000000000007</v>
      </c>
      <c r="G35" s="143">
        <f ca="1">IFERROR(__xludf.DUMMYFUNCTION("""COMPUTED_VALUE"""),7746951)</f>
        <v>7746951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IFERROR(__xludf.DUMMYFUNCTION("""COMPUTED_VALUE"""),77.99)</f>
        <v>77.989999999999995</v>
      </c>
      <c r="D36" s="141">
        <f ca="1">IFERROR(__xludf.DUMMYFUNCTION("""COMPUTED_VALUE"""),78.11)</f>
        <v>78.11</v>
      </c>
      <c r="E36" s="141">
        <f ca="1">IFERROR(__xludf.DUMMYFUNCTION("""COMPUTED_VALUE"""),77.72)</f>
        <v>77.72</v>
      </c>
      <c r="F36" s="141">
        <f ca="1">IFERROR(__xludf.DUMMYFUNCTION("""COMPUTED_VALUE"""),77.79)</f>
        <v>77.790000000000006</v>
      </c>
      <c r="G36" s="143">
        <f ca="1">IFERROR(__xludf.DUMMYFUNCTION("""COMPUTED_VALUE"""),3296457)</f>
        <v>3296457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IFERROR(__xludf.DUMMYFUNCTION("""COMPUTED_VALUE"""),78.69)</f>
        <v>78.69</v>
      </c>
      <c r="D37" s="141">
        <f ca="1">IFERROR(__xludf.DUMMYFUNCTION("""COMPUTED_VALUE"""),79.34)</f>
        <v>79.34</v>
      </c>
      <c r="E37" s="141">
        <f ca="1">IFERROR(__xludf.DUMMYFUNCTION("""COMPUTED_VALUE"""),78.55)</f>
        <v>78.55</v>
      </c>
      <c r="F37" s="141">
        <f ca="1">IFERROR(__xludf.DUMMYFUNCTION("""COMPUTED_VALUE"""),79.23)</f>
        <v>79.23</v>
      </c>
      <c r="G37" s="143">
        <f ca="1">IFERROR(__xludf.DUMMYFUNCTION("""COMPUTED_VALUE"""),8737725)</f>
        <v>8737725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IFERROR(__xludf.DUMMYFUNCTION("""COMPUTED_VALUE"""),79.33)</f>
        <v>79.33</v>
      </c>
      <c r="D38" s="141">
        <f ca="1">IFERROR(__xludf.DUMMYFUNCTION("""COMPUTED_VALUE"""),79.44)</f>
        <v>79.44</v>
      </c>
      <c r="E38" s="141">
        <f ca="1">IFERROR(__xludf.DUMMYFUNCTION("""COMPUTED_VALUE"""),79.17)</f>
        <v>79.17</v>
      </c>
      <c r="F38" s="141">
        <f ca="1">IFERROR(__xludf.DUMMYFUNCTION("""COMPUTED_VALUE"""),79.27)</f>
        <v>79.27</v>
      </c>
      <c r="G38" s="143">
        <f ca="1">IFERROR(__xludf.DUMMYFUNCTION("""COMPUTED_VALUE"""),5795622)</f>
        <v>5795622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IFERROR(__xludf.DUMMYFUNCTION("""COMPUTED_VALUE"""),78.72)</f>
        <v>78.72</v>
      </c>
      <c r="D39" s="141">
        <f ca="1">IFERROR(__xludf.DUMMYFUNCTION("""COMPUTED_VALUE"""),79.02)</f>
        <v>79.02</v>
      </c>
      <c r="E39" s="141">
        <f ca="1">IFERROR(__xludf.DUMMYFUNCTION("""COMPUTED_VALUE"""),78.59)</f>
        <v>78.59</v>
      </c>
      <c r="F39" s="141">
        <f ca="1">IFERROR(__xludf.DUMMYFUNCTION("""COMPUTED_VALUE"""),78.8)</f>
        <v>78.8</v>
      </c>
      <c r="G39" s="143">
        <f ca="1">IFERROR(__xludf.DUMMYFUNCTION("""COMPUTED_VALUE"""),4498868)</f>
        <v>4498868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IFERROR(__xludf.DUMMYFUNCTION("""COMPUTED_VALUE"""),80.38)</f>
        <v>80.38</v>
      </c>
      <c r="D40" s="141">
        <f ca="1">IFERROR(__xludf.DUMMYFUNCTION("""COMPUTED_VALUE"""),80.38)</f>
        <v>80.38</v>
      </c>
      <c r="E40" s="141">
        <f ca="1">IFERROR(__xludf.DUMMYFUNCTION("""COMPUTED_VALUE"""),80.04)</f>
        <v>80.040000000000006</v>
      </c>
      <c r="F40" s="141">
        <f ca="1">IFERROR(__xludf.DUMMYFUNCTION("""COMPUTED_VALUE"""),80.15)</f>
        <v>80.150000000000006</v>
      </c>
      <c r="G40" s="143">
        <f ca="1">IFERROR(__xludf.DUMMYFUNCTION("""COMPUTED_VALUE"""),5581968)</f>
        <v>5581968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IFERROR(__xludf.DUMMYFUNCTION("""COMPUTED_VALUE"""),80.3)</f>
        <v>80.3</v>
      </c>
      <c r="D41" s="141">
        <f ca="1">IFERROR(__xludf.DUMMYFUNCTION("""COMPUTED_VALUE"""),80.45)</f>
        <v>80.45</v>
      </c>
      <c r="E41" s="141">
        <f ca="1">IFERROR(__xludf.DUMMYFUNCTION("""COMPUTED_VALUE"""),80.19)</f>
        <v>80.19</v>
      </c>
      <c r="F41" s="141">
        <f ca="1">IFERROR(__xludf.DUMMYFUNCTION("""COMPUTED_VALUE"""),80.3)</f>
        <v>80.3</v>
      </c>
      <c r="G41" s="143">
        <f ca="1">IFERROR(__xludf.DUMMYFUNCTION("""COMPUTED_VALUE"""),3725727)</f>
        <v>3725727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IFERROR(__xludf.DUMMYFUNCTION("""COMPUTED_VALUE"""),80.24)</f>
        <v>80.239999999999995</v>
      </c>
      <c r="D42" s="141">
        <f ca="1">IFERROR(__xludf.DUMMYFUNCTION("""COMPUTED_VALUE"""),80.33)</f>
        <v>80.33</v>
      </c>
      <c r="E42" s="141">
        <f ca="1">IFERROR(__xludf.DUMMYFUNCTION("""COMPUTED_VALUE"""),79.9)</f>
        <v>79.900000000000006</v>
      </c>
      <c r="F42" s="141">
        <f ca="1">IFERROR(__xludf.DUMMYFUNCTION("""COMPUTED_VALUE"""),80.02)</f>
        <v>80.02</v>
      </c>
      <c r="G42" s="143">
        <f ca="1">IFERROR(__xludf.DUMMYFUNCTION("""COMPUTED_VALUE"""),5465035)</f>
        <v>5465035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IFERROR(__xludf.DUMMYFUNCTION("""COMPUTED_VALUE"""),79.67)</f>
        <v>79.67</v>
      </c>
      <c r="D43" s="141">
        <f ca="1">IFERROR(__xludf.DUMMYFUNCTION("""COMPUTED_VALUE"""),79.73)</f>
        <v>79.73</v>
      </c>
      <c r="E43" s="141">
        <f ca="1">IFERROR(__xludf.DUMMYFUNCTION("""COMPUTED_VALUE"""),79.35)</f>
        <v>79.349999999999994</v>
      </c>
      <c r="F43" s="141">
        <f ca="1">IFERROR(__xludf.DUMMYFUNCTION("""COMPUTED_VALUE"""),79.64)</f>
        <v>79.64</v>
      </c>
      <c r="G43" s="143">
        <f ca="1">IFERROR(__xludf.DUMMYFUNCTION("""COMPUTED_VALUE"""),5201941)</f>
        <v>5201941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IFERROR(__xludf.DUMMYFUNCTION("""COMPUTED_VALUE"""),78.93)</f>
        <v>78.930000000000007</v>
      </c>
      <c r="D44" s="141">
        <f ca="1">IFERROR(__xludf.DUMMYFUNCTION("""COMPUTED_VALUE"""),79.04)</f>
        <v>79.040000000000006</v>
      </c>
      <c r="E44" s="141">
        <f ca="1">IFERROR(__xludf.DUMMYFUNCTION("""COMPUTED_VALUE"""),78.63)</f>
        <v>78.63</v>
      </c>
      <c r="F44" s="141">
        <f ca="1">IFERROR(__xludf.DUMMYFUNCTION("""COMPUTED_VALUE"""),78.7)</f>
        <v>78.7</v>
      </c>
      <c r="G44" s="143">
        <f ca="1">IFERROR(__xludf.DUMMYFUNCTION("""COMPUTED_VALUE"""),6606198)</f>
        <v>6606198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IFERROR(__xludf.DUMMYFUNCTION("""COMPUTED_VALUE"""),78.97)</f>
        <v>78.97</v>
      </c>
      <c r="D45" s="141">
        <f ca="1">IFERROR(__xludf.DUMMYFUNCTION("""COMPUTED_VALUE"""),80.25)</f>
        <v>80.25</v>
      </c>
      <c r="E45" s="141">
        <f ca="1">IFERROR(__xludf.DUMMYFUNCTION("""COMPUTED_VALUE"""),78.97)</f>
        <v>78.97</v>
      </c>
      <c r="F45" s="141">
        <f ca="1">IFERROR(__xludf.DUMMYFUNCTION("""COMPUTED_VALUE"""),80.02)</f>
        <v>80.02</v>
      </c>
      <c r="G45" s="143">
        <f ca="1">IFERROR(__xludf.DUMMYFUNCTION("""COMPUTED_VALUE"""),5437296)</f>
        <v>5437296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IFERROR(__xludf.DUMMYFUNCTION("""COMPUTED_VALUE"""),79.41)</f>
        <v>79.41</v>
      </c>
      <c r="D46" s="141">
        <f ca="1">IFERROR(__xludf.DUMMYFUNCTION("""COMPUTED_VALUE"""),79.57)</f>
        <v>79.569999999999993</v>
      </c>
      <c r="E46" s="141">
        <f ca="1">IFERROR(__xludf.DUMMYFUNCTION("""COMPUTED_VALUE"""),79.04)</f>
        <v>79.040000000000006</v>
      </c>
      <c r="F46" s="141">
        <f ca="1">IFERROR(__xludf.DUMMYFUNCTION("""COMPUTED_VALUE"""),79.05)</f>
        <v>79.05</v>
      </c>
      <c r="G46" s="143">
        <f ca="1">IFERROR(__xludf.DUMMYFUNCTION("""COMPUTED_VALUE"""),5422143)</f>
        <v>5422143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IFERROR(__xludf.DUMMYFUNCTION("""COMPUTED_VALUE"""),78.52)</f>
        <v>78.52</v>
      </c>
      <c r="D47" s="141">
        <f ca="1">IFERROR(__xludf.DUMMYFUNCTION("""COMPUTED_VALUE"""),78.94)</f>
        <v>78.94</v>
      </c>
      <c r="E47" s="141">
        <f ca="1">IFERROR(__xludf.DUMMYFUNCTION("""COMPUTED_VALUE"""),78.51)</f>
        <v>78.510000000000005</v>
      </c>
      <c r="F47" s="141">
        <f ca="1">IFERROR(__xludf.DUMMYFUNCTION("""COMPUTED_VALUE"""),78.92)</f>
        <v>78.92</v>
      </c>
      <c r="G47" s="143">
        <f ca="1">IFERROR(__xludf.DUMMYFUNCTION("""COMPUTED_VALUE"""),2945564)</f>
        <v>2945564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IFERROR(__xludf.DUMMYFUNCTION("""COMPUTED_VALUE"""),78.1)</f>
        <v>78.099999999999994</v>
      </c>
      <c r="D48" s="141">
        <f ca="1">IFERROR(__xludf.DUMMYFUNCTION("""COMPUTED_VALUE"""),78.68)</f>
        <v>78.680000000000007</v>
      </c>
      <c r="E48" s="141">
        <f ca="1">IFERROR(__xludf.DUMMYFUNCTION("""COMPUTED_VALUE"""),78.06)</f>
        <v>78.06</v>
      </c>
      <c r="F48" s="141">
        <f ca="1">IFERROR(__xludf.DUMMYFUNCTION("""COMPUTED_VALUE"""),78.63)</f>
        <v>78.63</v>
      </c>
      <c r="G48" s="143">
        <f ca="1">IFERROR(__xludf.DUMMYFUNCTION("""COMPUTED_VALUE"""),3481756)</f>
        <v>3481756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IFERROR(__xludf.DUMMYFUNCTION("""COMPUTED_VALUE"""),79.31)</f>
        <v>79.31</v>
      </c>
      <c r="D49" s="141">
        <f ca="1">IFERROR(__xludf.DUMMYFUNCTION("""COMPUTED_VALUE"""),79.51)</f>
        <v>79.510000000000005</v>
      </c>
      <c r="E49" s="141">
        <f ca="1">IFERROR(__xludf.DUMMYFUNCTION("""COMPUTED_VALUE"""),79.24)</f>
        <v>79.239999999999995</v>
      </c>
      <c r="F49" s="141">
        <f ca="1">IFERROR(__xludf.DUMMYFUNCTION("""COMPUTED_VALUE"""),79.29)</f>
        <v>79.290000000000006</v>
      </c>
      <c r="G49" s="143">
        <f ca="1">IFERROR(__xludf.DUMMYFUNCTION("""COMPUTED_VALUE"""),5493560)</f>
        <v>5493560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IFERROR(__xludf.DUMMYFUNCTION("""COMPUTED_VALUE"""),78.4)</f>
        <v>78.400000000000006</v>
      </c>
      <c r="D50" s="141">
        <f ca="1">IFERROR(__xludf.DUMMYFUNCTION("""COMPUTED_VALUE"""),78.46)</f>
        <v>78.459999999999994</v>
      </c>
      <c r="E50" s="141">
        <f ca="1">IFERROR(__xludf.DUMMYFUNCTION("""COMPUTED_VALUE"""),78.1)</f>
        <v>78.099999999999994</v>
      </c>
      <c r="F50" s="141">
        <f ca="1">IFERROR(__xludf.DUMMYFUNCTION("""COMPUTED_VALUE"""),78.28)</f>
        <v>78.28</v>
      </c>
      <c r="G50" s="143">
        <f ca="1">IFERROR(__xludf.DUMMYFUNCTION("""COMPUTED_VALUE"""),6054033)</f>
        <v>6054033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IFERROR(__xludf.DUMMYFUNCTION("""COMPUTED_VALUE"""),77.59)</f>
        <v>77.59</v>
      </c>
      <c r="D51" s="141">
        <f ca="1">IFERROR(__xludf.DUMMYFUNCTION("""COMPUTED_VALUE"""),78.18)</f>
        <v>78.180000000000007</v>
      </c>
      <c r="E51" s="141">
        <f ca="1">IFERROR(__xludf.DUMMYFUNCTION("""COMPUTED_VALUE"""),77.38)</f>
        <v>77.38</v>
      </c>
      <c r="F51" s="141">
        <f ca="1">IFERROR(__xludf.DUMMYFUNCTION("""COMPUTED_VALUE"""),78.15)</f>
        <v>78.150000000000006</v>
      </c>
      <c r="G51" s="143">
        <f ca="1">IFERROR(__xludf.DUMMYFUNCTION("""COMPUTED_VALUE"""),5760944)</f>
        <v>5760944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IFERROR(__xludf.DUMMYFUNCTION("""COMPUTED_VALUE"""),77.62)</f>
        <v>77.62</v>
      </c>
      <c r="D52" s="141">
        <f ca="1">IFERROR(__xludf.DUMMYFUNCTION("""COMPUTED_VALUE"""),77.93)</f>
        <v>77.930000000000007</v>
      </c>
      <c r="E52" s="141">
        <f ca="1">IFERROR(__xludf.DUMMYFUNCTION("""COMPUTED_VALUE"""),77.6)</f>
        <v>77.599999999999994</v>
      </c>
      <c r="F52" s="141">
        <f ca="1">IFERROR(__xludf.DUMMYFUNCTION("""COMPUTED_VALUE"""),77.93)</f>
        <v>77.930000000000007</v>
      </c>
      <c r="G52" s="143">
        <f ca="1">IFERROR(__xludf.DUMMYFUNCTION("""COMPUTED_VALUE"""),5068256)</f>
        <v>5068256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IFERROR(__xludf.DUMMYFUNCTION("""COMPUTED_VALUE"""),78.17)</f>
        <v>78.17</v>
      </c>
      <c r="D53" s="141">
        <f ca="1">IFERROR(__xludf.DUMMYFUNCTION("""COMPUTED_VALUE"""),78.74)</f>
        <v>78.739999999999995</v>
      </c>
      <c r="E53" s="141">
        <f ca="1">IFERROR(__xludf.DUMMYFUNCTION("""COMPUTED_VALUE"""),78.14)</f>
        <v>78.14</v>
      </c>
      <c r="F53" s="141">
        <f ca="1">IFERROR(__xludf.DUMMYFUNCTION("""COMPUTED_VALUE"""),78.73)</f>
        <v>78.73</v>
      </c>
      <c r="G53" s="143">
        <f ca="1">IFERROR(__xludf.DUMMYFUNCTION("""COMPUTED_VALUE"""),3655291)</f>
        <v>3655291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IFERROR(__xludf.DUMMYFUNCTION("""COMPUTED_VALUE"""),79.64)</f>
        <v>79.64</v>
      </c>
      <c r="D54" s="141">
        <f ca="1">IFERROR(__xludf.DUMMYFUNCTION("""COMPUTED_VALUE"""),79.88)</f>
        <v>79.88</v>
      </c>
      <c r="E54" s="141">
        <f ca="1">IFERROR(__xludf.DUMMYFUNCTION("""COMPUTED_VALUE"""),78.97)</f>
        <v>78.97</v>
      </c>
      <c r="F54" s="141">
        <f ca="1">IFERROR(__xludf.DUMMYFUNCTION("""COMPUTED_VALUE"""),79.18)</f>
        <v>79.180000000000007</v>
      </c>
      <c r="G54" s="143">
        <f ca="1">IFERROR(__xludf.DUMMYFUNCTION("""COMPUTED_VALUE"""),5648004)</f>
        <v>5648004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IFERROR(__xludf.DUMMYFUNCTION("""COMPUTED_VALUE"""),80.54)</f>
        <v>80.540000000000006</v>
      </c>
      <c r="D55" s="141">
        <f ca="1">IFERROR(__xludf.DUMMYFUNCTION("""COMPUTED_VALUE"""),81.02)</f>
        <v>81.02</v>
      </c>
      <c r="E55" s="141">
        <f ca="1">IFERROR(__xludf.DUMMYFUNCTION("""COMPUTED_VALUE"""),80.39)</f>
        <v>80.39</v>
      </c>
      <c r="F55" s="141">
        <f ca="1">IFERROR(__xludf.DUMMYFUNCTION("""COMPUTED_VALUE"""),80.96)</f>
        <v>80.959999999999994</v>
      </c>
      <c r="G55" s="143">
        <f ca="1">IFERROR(__xludf.DUMMYFUNCTION("""COMPUTED_VALUE"""),6346497)</f>
        <v>6346497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IFERROR(__xludf.DUMMYFUNCTION("""COMPUTED_VALUE"""),79.82)</f>
        <v>79.819999999999993</v>
      </c>
      <c r="D56" s="141">
        <f ca="1">IFERROR(__xludf.DUMMYFUNCTION("""COMPUTED_VALUE"""),80.12)</f>
        <v>80.12</v>
      </c>
      <c r="E56" s="141">
        <f ca="1">IFERROR(__xludf.DUMMYFUNCTION("""COMPUTED_VALUE"""),79.64)</f>
        <v>79.64</v>
      </c>
      <c r="F56" s="141">
        <f ca="1">IFERROR(__xludf.DUMMYFUNCTION("""COMPUTED_VALUE"""),80.06)</f>
        <v>80.06</v>
      </c>
      <c r="G56" s="143">
        <f ca="1">IFERROR(__xludf.DUMMYFUNCTION("""COMPUTED_VALUE"""),6070700)</f>
        <v>6070700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IFERROR(__xludf.DUMMYFUNCTION("""COMPUTED_VALUE"""),80.61)</f>
        <v>80.61</v>
      </c>
      <c r="D57" s="141">
        <f ca="1">IFERROR(__xludf.DUMMYFUNCTION("""COMPUTED_VALUE"""),80.82)</f>
        <v>80.819999999999993</v>
      </c>
      <c r="E57" s="141">
        <f ca="1">IFERROR(__xludf.DUMMYFUNCTION("""COMPUTED_VALUE"""),80.32)</f>
        <v>80.319999999999993</v>
      </c>
      <c r="F57" s="141">
        <f ca="1">IFERROR(__xludf.DUMMYFUNCTION("""COMPUTED_VALUE"""),80.36)</f>
        <v>80.36</v>
      </c>
      <c r="G57" s="143">
        <f ca="1">IFERROR(__xludf.DUMMYFUNCTION("""COMPUTED_VALUE"""),6028108)</f>
        <v>6028108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IFERROR(__xludf.DUMMYFUNCTION("""COMPUTED_VALUE"""),80.98)</f>
        <v>80.98</v>
      </c>
      <c r="D58" s="141">
        <f ca="1">IFERROR(__xludf.DUMMYFUNCTION("""COMPUTED_VALUE"""),81.46)</f>
        <v>81.459999999999994</v>
      </c>
      <c r="E58" s="141">
        <f ca="1">IFERROR(__xludf.DUMMYFUNCTION("""COMPUTED_VALUE"""),80.95)</f>
        <v>80.95</v>
      </c>
      <c r="F58" s="141">
        <f ca="1">IFERROR(__xludf.DUMMYFUNCTION("""COMPUTED_VALUE"""),81.32)</f>
        <v>81.319999999999993</v>
      </c>
      <c r="G58" s="143">
        <f ca="1">IFERROR(__xludf.DUMMYFUNCTION("""COMPUTED_VALUE"""),4782018)</f>
        <v>4782018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IFERROR(__xludf.DUMMYFUNCTION("""COMPUTED_VALUE"""),80.82)</f>
        <v>80.819999999999993</v>
      </c>
      <c r="D59" s="141">
        <f ca="1">IFERROR(__xludf.DUMMYFUNCTION("""COMPUTED_VALUE"""),81.01)</f>
        <v>81.010000000000005</v>
      </c>
      <c r="E59" s="141">
        <f ca="1">IFERROR(__xludf.DUMMYFUNCTION("""COMPUTED_VALUE"""),80.6)</f>
        <v>80.599999999999994</v>
      </c>
      <c r="F59" s="141">
        <f ca="1">IFERROR(__xludf.DUMMYFUNCTION("""COMPUTED_VALUE"""),80.76)</f>
        <v>80.760000000000005</v>
      </c>
      <c r="G59" s="143">
        <f ca="1">IFERROR(__xludf.DUMMYFUNCTION("""COMPUTED_VALUE"""),5509422)</f>
        <v>5509422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IFERROR(__xludf.DUMMYFUNCTION("""COMPUTED_VALUE"""),81.06)</f>
        <v>81.06</v>
      </c>
      <c r="D60" s="141">
        <f ca="1">IFERROR(__xludf.DUMMYFUNCTION("""COMPUTED_VALUE"""),81.42)</f>
        <v>81.42</v>
      </c>
      <c r="E60" s="141">
        <f ca="1">IFERROR(__xludf.DUMMYFUNCTION("""COMPUTED_VALUE"""),81)</f>
        <v>81</v>
      </c>
      <c r="F60" s="141">
        <f ca="1">IFERROR(__xludf.DUMMYFUNCTION("""COMPUTED_VALUE"""),81.35)</f>
        <v>81.349999999999994</v>
      </c>
      <c r="G60" s="143">
        <f ca="1">IFERROR(__xludf.DUMMYFUNCTION("""COMPUTED_VALUE"""),4639452)</f>
        <v>4639452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IFERROR(__xludf.DUMMYFUNCTION("""COMPUTED_VALUE"""),81.36)</f>
        <v>81.36</v>
      </c>
      <c r="D61" s="141">
        <f ca="1">IFERROR(__xludf.DUMMYFUNCTION("""COMPUTED_VALUE"""),81.44)</f>
        <v>81.44</v>
      </c>
      <c r="E61" s="141">
        <f ca="1">IFERROR(__xludf.DUMMYFUNCTION("""COMPUTED_VALUE"""),81.16)</f>
        <v>81.16</v>
      </c>
      <c r="F61" s="141">
        <f ca="1">IFERROR(__xludf.DUMMYFUNCTION("""COMPUTED_VALUE"""),81.35)</f>
        <v>81.349999999999994</v>
      </c>
      <c r="G61" s="143">
        <f ca="1">IFERROR(__xludf.DUMMYFUNCTION("""COMPUTED_VALUE"""),4636816)</f>
        <v>4636816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IFERROR(__xludf.DUMMYFUNCTION("""COMPUTED_VALUE"""),81.37)</f>
        <v>81.37</v>
      </c>
      <c r="D62" s="141">
        <f ca="1">IFERROR(__xludf.DUMMYFUNCTION("""COMPUTED_VALUE"""),81.84)</f>
        <v>81.84</v>
      </c>
      <c r="E62" s="141">
        <f ca="1">IFERROR(__xludf.DUMMYFUNCTION("""COMPUTED_VALUE"""),80.81)</f>
        <v>80.81</v>
      </c>
      <c r="F62" s="141">
        <f ca="1">IFERROR(__xludf.DUMMYFUNCTION("""COMPUTED_VALUE"""),81.17)</f>
        <v>81.17</v>
      </c>
      <c r="G62" s="143">
        <f ca="1">IFERROR(__xludf.DUMMYFUNCTION("""COMPUTED_VALUE"""),5829457)</f>
        <v>5829457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IFERROR(__xludf.DUMMYFUNCTION("""COMPUTED_VALUE"""),81.29)</f>
        <v>81.290000000000006</v>
      </c>
      <c r="D63" s="141">
        <f ca="1">IFERROR(__xludf.DUMMYFUNCTION("""COMPUTED_VALUE"""),81.7)</f>
        <v>81.7</v>
      </c>
      <c r="E63" s="141">
        <f ca="1">IFERROR(__xludf.DUMMYFUNCTION("""COMPUTED_VALUE"""),81.11)</f>
        <v>81.11</v>
      </c>
      <c r="F63" s="141">
        <f ca="1">IFERROR(__xludf.DUMMYFUNCTION("""COMPUTED_VALUE"""),81.49)</f>
        <v>81.489999999999995</v>
      </c>
      <c r="G63" s="143">
        <f ca="1">IFERROR(__xludf.DUMMYFUNCTION("""COMPUTED_VALUE"""),5465435)</f>
        <v>5465435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IFERROR(__xludf.DUMMYFUNCTION("""COMPUTED_VALUE"""),80.87)</f>
        <v>80.87</v>
      </c>
      <c r="D64" s="141">
        <f ca="1">IFERROR(__xludf.DUMMYFUNCTION("""COMPUTED_VALUE"""),80.95)</f>
        <v>80.95</v>
      </c>
      <c r="E64" s="141">
        <f ca="1">IFERROR(__xludf.DUMMYFUNCTION("""COMPUTED_VALUE"""),80.58)</f>
        <v>80.58</v>
      </c>
      <c r="F64" s="141">
        <f ca="1">IFERROR(__xludf.DUMMYFUNCTION("""COMPUTED_VALUE"""),80.79)</f>
        <v>80.790000000000006</v>
      </c>
      <c r="G64" s="143">
        <f ca="1">IFERROR(__xludf.DUMMYFUNCTION("""COMPUTED_VALUE"""),5099558)</f>
        <v>5099558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IFERROR(__xludf.DUMMYFUNCTION("""COMPUTED_VALUE"""),80.96)</f>
        <v>80.959999999999994</v>
      </c>
      <c r="D65" s="141">
        <f ca="1">IFERROR(__xludf.DUMMYFUNCTION("""COMPUTED_VALUE"""),81.29)</f>
        <v>81.290000000000006</v>
      </c>
      <c r="E65" s="141">
        <f ca="1">IFERROR(__xludf.DUMMYFUNCTION("""COMPUTED_VALUE"""),80.84)</f>
        <v>80.84</v>
      </c>
      <c r="F65" s="141">
        <f ca="1">IFERROR(__xludf.DUMMYFUNCTION("""COMPUTED_VALUE"""),81.25)</f>
        <v>81.25</v>
      </c>
      <c r="G65" s="143">
        <f ca="1">IFERROR(__xludf.DUMMYFUNCTION("""COMPUTED_VALUE"""),3429098)</f>
        <v>3429098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IFERROR(__xludf.DUMMYFUNCTION("""COMPUTED_VALUE"""),81.35)</f>
        <v>81.349999999999994</v>
      </c>
      <c r="D66" s="141">
        <f ca="1">IFERROR(__xludf.DUMMYFUNCTION("""COMPUTED_VALUE"""),81.54)</f>
        <v>81.540000000000006</v>
      </c>
      <c r="E66" s="141">
        <f ca="1">IFERROR(__xludf.DUMMYFUNCTION("""COMPUTED_VALUE"""),81.03)</f>
        <v>81.03</v>
      </c>
      <c r="F66" s="141">
        <f ca="1">IFERROR(__xludf.DUMMYFUNCTION("""COMPUTED_VALUE"""),81.09)</f>
        <v>81.09</v>
      </c>
      <c r="G66" s="143">
        <f ca="1">IFERROR(__xludf.DUMMYFUNCTION("""COMPUTED_VALUE"""),4353365)</f>
        <v>4353365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IFERROR(__xludf.DUMMYFUNCTION("""COMPUTED_VALUE"""),81.35)</f>
        <v>81.349999999999994</v>
      </c>
      <c r="D67" s="141">
        <f ca="1">IFERROR(__xludf.DUMMYFUNCTION("""COMPUTED_VALUE"""),81.54)</f>
        <v>81.540000000000006</v>
      </c>
      <c r="E67" s="141">
        <f ca="1">IFERROR(__xludf.DUMMYFUNCTION("""COMPUTED_VALUE"""),81.03)</f>
        <v>81.03</v>
      </c>
      <c r="F67" s="141">
        <f ca="1">IFERROR(__xludf.DUMMYFUNCTION("""COMPUTED_VALUE"""),81.09)</f>
        <v>81.09</v>
      </c>
      <c r="G67" s="143">
        <f ca="1">IFERROR(__xludf.DUMMYFUNCTION("""COMPUTED_VALUE"""),110168)</f>
        <v>110168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IFERROR(__xludf.DUMMYFUNCTION("""COMPUTED_VALUE"""),80.46)</f>
        <v>80.459999999999994</v>
      </c>
      <c r="D68" s="141">
        <f ca="1">IFERROR(__xludf.DUMMYFUNCTION("""COMPUTED_VALUE"""),80.59)</f>
        <v>80.59</v>
      </c>
      <c r="E68" s="141">
        <f ca="1">IFERROR(__xludf.DUMMYFUNCTION("""COMPUTED_VALUE"""),80.17)</f>
        <v>80.17</v>
      </c>
      <c r="F68" s="141">
        <f ca="1">IFERROR(__xludf.DUMMYFUNCTION("""COMPUTED_VALUE"""),80.46)</f>
        <v>80.459999999999994</v>
      </c>
      <c r="G68" s="143">
        <f ca="1">IFERROR(__xludf.DUMMYFUNCTION("""COMPUTED_VALUE"""),4855950)</f>
        <v>4855950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IFERROR(__xludf.DUMMYFUNCTION("""COMPUTED_VALUE"""),80.34)</f>
        <v>80.34</v>
      </c>
      <c r="D69" s="141">
        <f ca="1">IFERROR(__xludf.DUMMYFUNCTION("""COMPUTED_VALUE"""),80.58)</f>
        <v>80.58</v>
      </c>
      <c r="E69" s="141">
        <f ca="1">IFERROR(__xludf.DUMMYFUNCTION("""COMPUTED_VALUE"""),80.22)</f>
        <v>80.22</v>
      </c>
      <c r="F69" s="141">
        <f ca="1">IFERROR(__xludf.DUMMYFUNCTION("""COMPUTED_VALUE"""),80.44)</f>
        <v>80.44</v>
      </c>
      <c r="G69" s="143">
        <f ca="1">IFERROR(__xludf.DUMMYFUNCTION("""COMPUTED_VALUE"""),9649880)</f>
        <v>9649880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IFERROR(__xludf.DUMMYFUNCTION("""COMPUTED_VALUE"""),80.54)</f>
        <v>80.540000000000006</v>
      </c>
      <c r="D70" s="141">
        <f ca="1">IFERROR(__xludf.DUMMYFUNCTION("""COMPUTED_VALUE"""),80.72)</f>
        <v>80.72</v>
      </c>
      <c r="E70" s="141">
        <f ca="1">IFERROR(__xludf.DUMMYFUNCTION("""COMPUTED_VALUE"""),80.38)</f>
        <v>80.38</v>
      </c>
      <c r="F70" s="141">
        <f ca="1">IFERROR(__xludf.DUMMYFUNCTION("""COMPUTED_VALUE"""),80.51)</f>
        <v>80.510000000000005</v>
      </c>
      <c r="G70" s="143">
        <f ca="1">IFERROR(__xludf.DUMMYFUNCTION("""COMPUTED_VALUE"""),5053588)</f>
        <v>5053588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IFERROR(__xludf.DUMMYFUNCTION("""COMPUTED_VALUE"""),80.1)</f>
        <v>80.099999999999994</v>
      </c>
      <c r="D71" s="141">
        <f ca="1">IFERROR(__xludf.DUMMYFUNCTION("""COMPUTED_VALUE"""),80.31)</f>
        <v>80.31</v>
      </c>
      <c r="E71" s="141">
        <f ca="1">IFERROR(__xludf.DUMMYFUNCTION("""COMPUTED_VALUE"""),79.89)</f>
        <v>79.89</v>
      </c>
      <c r="F71" s="141">
        <f ca="1">IFERROR(__xludf.DUMMYFUNCTION("""COMPUTED_VALUE"""),80.21)</f>
        <v>80.209999999999994</v>
      </c>
      <c r="G71" s="143">
        <f ca="1">IFERROR(__xludf.DUMMYFUNCTION("""COMPUTED_VALUE"""),9629289)</f>
        <v>9629289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IFERROR(__xludf.DUMMYFUNCTION("""COMPUTED_VALUE"""),80.52)</f>
        <v>80.52</v>
      </c>
      <c r="D72" s="141">
        <f ca="1">IFERROR(__xludf.DUMMYFUNCTION("""COMPUTED_VALUE"""),80.77)</f>
        <v>80.77</v>
      </c>
      <c r="E72" s="141">
        <f ca="1">IFERROR(__xludf.DUMMYFUNCTION("""COMPUTED_VALUE"""),80.07)</f>
        <v>80.069999999999993</v>
      </c>
      <c r="F72" s="141">
        <f ca="1">IFERROR(__xludf.DUMMYFUNCTION("""COMPUTED_VALUE"""),80.21)</f>
        <v>80.209999999999994</v>
      </c>
      <c r="G72" s="143">
        <f ca="1">IFERROR(__xludf.DUMMYFUNCTION("""COMPUTED_VALUE"""),6794769)</f>
        <v>6794769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IFERROR(__xludf.DUMMYFUNCTION("""COMPUTED_VALUE"""),80.33)</f>
        <v>80.33</v>
      </c>
      <c r="D73" s="141">
        <f ca="1">IFERROR(__xludf.DUMMYFUNCTION("""COMPUTED_VALUE"""),80.42)</f>
        <v>80.42</v>
      </c>
      <c r="E73" s="141">
        <f ca="1">IFERROR(__xludf.DUMMYFUNCTION("""COMPUTED_VALUE"""),79.81)</f>
        <v>79.81</v>
      </c>
      <c r="F73" s="141">
        <f ca="1">IFERROR(__xludf.DUMMYFUNCTION("""COMPUTED_VALUE"""),80.15)</f>
        <v>80.150000000000006</v>
      </c>
      <c r="G73" s="143">
        <f ca="1">IFERROR(__xludf.DUMMYFUNCTION("""COMPUTED_VALUE"""),6800982)</f>
        <v>6800982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IFERROR(__xludf.DUMMYFUNCTION("""COMPUTED_VALUE"""),81.68)</f>
        <v>81.680000000000007</v>
      </c>
      <c r="D74" s="141">
        <f ca="1">IFERROR(__xludf.DUMMYFUNCTION("""COMPUTED_VALUE"""),82.04)</f>
        <v>82.04</v>
      </c>
      <c r="E74" s="141">
        <f ca="1">IFERROR(__xludf.DUMMYFUNCTION("""COMPUTED_VALUE"""),81.54)</f>
        <v>81.540000000000006</v>
      </c>
      <c r="F74" s="141">
        <f ca="1">IFERROR(__xludf.DUMMYFUNCTION("""COMPUTED_VALUE"""),81.78)</f>
        <v>81.78</v>
      </c>
      <c r="G74" s="143">
        <f ca="1">IFERROR(__xludf.DUMMYFUNCTION("""COMPUTED_VALUE"""),8651754)</f>
        <v>8651754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IFERROR(__xludf.DUMMYFUNCTION("""COMPUTED_VALUE"""),83.12)</f>
        <v>83.12</v>
      </c>
      <c r="D75" s="141">
        <f ca="1">IFERROR(__xludf.DUMMYFUNCTION("""COMPUTED_VALUE"""),83.6)</f>
        <v>83.6</v>
      </c>
      <c r="E75" s="141">
        <f ca="1">IFERROR(__xludf.DUMMYFUNCTION("""COMPUTED_VALUE"""),83)</f>
        <v>83</v>
      </c>
      <c r="F75" s="141">
        <f ca="1">IFERROR(__xludf.DUMMYFUNCTION("""COMPUTED_VALUE"""),83.27)</f>
        <v>83.27</v>
      </c>
      <c r="G75" s="143">
        <f ca="1">IFERROR(__xludf.DUMMYFUNCTION("""COMPUTED_VALUE"""),8346517)</f>
        <v>8346517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IFERROR(__xludf.DUMMYFUNCTION("""COMPUTED_VALUE"""),82.5)</f>
        <v>82.5</v>
      </c>
      <c r="D76" s="141">
        <f ca="1">IFERROR(__xludf.DUMMYFUNCTION("""COMPUTED_VALUE"""),82.55)</f>
        <v>82.55</v>
      </c>
      <c r="E76" s="141">
        <f ca="1">IFERROR(__xludf.DUMMYFUNCTION("""COMPUTED_VALUE"""),81.95)</f>
        <v>81.95</v>
      </c>
      <c r="F76" s="141">
        <f ca="1">IFERROR(__xludf.DUMMYFUNCTION("""COMPUTED_VALUE"""),81.96)</f>
        <v>81.96</v>
      </c>
      <c r="G76" s="143">
        <f ca="1">IFERROR(__xludf.DUMMYFUNCTION("""COMPUTED_VALUE"""),6994422)</f>
        <v>6994422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IFERROR(__xludf.DUMMYFUNCTION("""COMPUTED_VALUE"""),81.71)</f>
        <v>81.709999999999994</v>
      </c>
      <c r="D77" s="141">
        <f ca="1">IFERROR(__xludf.DUMMYFUNCTION("""COMPUTED_VALUE"""),81.91)</f>
        <v>81.91</v>
      </c>
      <c r="E77" s="141">
        <f ca="1">IFERROR(__xludf.DUMMYFUNCTION("""COMPUTED_VALUE"""),81.61)</f>
        <v>81.61</v>
      </c>
      <c r="F77" s="141">
        <f ca="1">IFERROR(__xludf.DUMMYFUNCTION("""COMPUTED_VALUE"""),81.75)</f>
        <v>81.75</v>
      </c>
      <c r="G77" s="143">
        <f ca="1">IFERROR(__xludf.DUMMYFUNCTION("""COMPUTED_VALUE"""),11043435)</f>
        <v>11043435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IFERROR(__xludf.DUMMYFUNCTION("""COMPUTED_VALUE"""),82.16)</f>
        <v>82.16</v>
      </c>
      <c r="D78" s="141">
        <f ca="1">IFERROR(__xludf.DUMMYFUNCTION("""COMPUTED_VALUE"""),82.19)</f>
        <v>82.19</v>
      </c>
      <c r="E78" s="141">
        <f ca="1">IFERROR(__xludf.DUMMYFUNCTION("""COMPUTED_VALUE"""),81.42)</f>
        <v>81.42</v>
      </c>
      <c r="F78" s="141">
        <f ca="1">IFERROR(__xludf.DUMMYFUNCTION("""COMPUTED_VALUE"""),81.55)</f>
        <v>81.55</v>
      </c>
      <c r="G78" s="143">
        <f ca="1">IFERROR(__xludf.DUMMYFUNCTION("""COMPUTED_VALUE"""),4539821)</f>
        <v>4539821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IFERROR(__xludf.DUMMYFUNCTION("""COMPUTED_VALUE"""),79.83)</f>
        <v>79.83</v>
      </c>
      <c r="D79" s="141">
        <f ca="1">IFERROR(__xludf.DUMMYFUNCTION("""COMPUTED_VALUE"""),80.07)</f>
        <v>80.069999999999993</v>
      </c>
      <c r="E79" s="141">
        <f ca="1">IFERROR(__xludf.DUMMYFUNCTION("""COMPUTED_VALUE"""),78.21)</f>
        <v>78.209999999999994</v>
      </c>
      <c r="F79" s="141">
        <f ca="1">IFERROR(__xludf.DUMMYFUNCTION("""COMPUTED_VALUE"""),78.36)</f>
        <v>78.36</v>
      </c>
      <c r="G79" s="143">
        <f ca="1">IFERROR(__xludf.DUMMYFUNCTION("""COMPUTED_VALUE"""),11311861)</f>
        <v>11311861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IFERROR(__xludf.DUMMYFUNCTION("""COMPUTED_VALUE"""),79.02)</f>
        <v>79.02</v>
      </c>
      <c r="D80" s="141">
        <f ca="1">IFERROR(__xludf.DUMMYFUNCTION("""COMPUTED_VALUE"""),79.47)</f>
        <v>79.47</v>
      </c>
      <c r="E80" s="141">
        <f ca="1">IFERROR(__xludf.DUMMYFUNCTION("""COMPUTED_VALUE"""),78.84)</f>
        <v>78.84</v>
      </c>
      <c r="F80" s="141">
        <f ca="1">IFERROR(__xludf.DUMMYFUNCTION("""COMPUTED_VALUE"""),79.29)</f>
        <v>79.290000000000006</v>
      </c>
      <c r="G80" s="143">
        <f ca="1">IFERROR(__xludf.DUMMYFUNCTION("""COMPUTED_VALUE"""),7861596)</f>
        <v>7861596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IFERROR(__xludf.DUMMYFUNCTION("""COMPUTED_VALUE"""),79.34)</f>
        <v>79.34</v>
      </c>
      <c r="D81" s="141">
        <f ca="1">IFERROR(__xludf.DUMMYFUNCTION("""COMPUTED_VALUE"""),80.45)</f>
        <v>80.45</v>
      </c>
      <c r="E81" s="141">
        <f ca="1">IFERROR(__xludf.DUMMYFUNCTION("""COMPUTED_VALUE"""),79.18)</f>
        <v>79.180000000000007</v>
      </c>
      <c r="F81" s="141">
        <f ca="1">IFERROR(__xludf.DUMMYFUNCTION("""COMPUTED_VALUE"""),80.04)</f>
        <v>80.040000000000006</v>
      </c>
      <c r="G81" s="143">
        <f ca="1">IFERROR(__xludf.DUMMYFUNCTION("""COMPUTED_VALUE"""),6700866)</f>
        <v>6700866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IFERROR(__xludf.DUMMYFUNCTION("""COMPUTED_VALUE"""),81.31)</f>
        <v>81.31</v>
      </c>
      <c r="D82" s="141">
        <f ca="1">IFERROR(__xludf.DUMMYFUNCTION("""COMPUTED_VALUE"""),81.55)</f>
        <v>81.55</v>
      </c>
      <c r="E82" s="141">
        <f ca="1">IFERROR(__xludf.DUMMYFUNCTION("""COMPUTED_VALUE"""),80.87)</f>
        <v>80.87</v>
      </c>
      <c r="F82" s="141">
        <f ca="1">IFERROR(__xludf.DUMMYFUNCTION("""COMPUTED_VALUE"""),81.29)</f>
        <v>81.290000000000006</v>
      </c>
      <c r="G82" s="143">
        <f ca="1">IFERROR(__xludf.DUMMYFUNCTION("""COMPUTED_VALUE"""),7589028)</f>
        <v>7589028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IFERROR(__xludf.DUMMYFUNCTION("""COMPUTED_VALUE"""),81.81)</f>
        <v>81.81</v>
      </c>
      <c r="D83" s="141">
        <f ca="1">IFERROR(__xludf.DUMMYFUNCTION("""COMPUTED_VALUE"""),81.91)</f>
        <v>81.91</v>
      </c>
      <c r="E83" s="141">
        <f ca="1">IFERROR(__xludf.DUMMYFUNCTION("""COMPUTED_VALUE"""),81.24)</f>
        <v>81.239999999999995</v>
      </c>
      <c r="F83" s="141">
        <f ca="1">IFERROR(__xludf.DUMMYFUNCTION("""COMPUTED_VALUE"""),81.55)</f>
        <v>81.55</v>
      </c>
      <c r="G83" s="143">
        <f ca="1">IFERROR(__xludf.DUMMYFUNCTION("""COMPUTED_VALUE"""),5636303)</f>
        <v>5636303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IFERROR(__xludf.DUMMYFUNCTION("""COMPUTED_VALUE"""),81.78)</f>
        <v>81.78</v>
      </c>
      <c r="D84" s="141">
        <f ca="1">IFERROR(__xludf.DUMMYFUNCTION("""COMPUTED_VALUE"""),82.08)</f>
        <v>82.08</v>
      </c>
      <c r="E84" s="141">
        <f ca="1">IFERROR(__xludf.DUMMYFUNCTION("""COMPUTED_VALUE"""),81.65)</f>
        <v>81.650000000000006</v>
      </c>
      <c r="F84" s="141">
        <f ca="1">IFERROR(__xludf.DUMMYFUNCTION("""COMPUTED_VALUE"""),82)</f>
        <v>82</v>
      </c>
      <c r="G84" s="143">
        <f ca="1">IFERROR(__xludf.DUMMYFUNCTION("""COMPUTED_VALUE"""),6222293)</f>
        <v>6222293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IFERROR(__xludf.DUMMYFUNCTION("""COMPUTED_VALUE"""),83.29)</f>
        <v>83.29</v>
      </c>
      <c r="D85" s="141">
        <f ca="1">IFERROR(__xludf.DUMMYFUNCTION("""COMPUTED_VALUE"""),83.79)</f>
        <v>83.79</v>
      </c>
      <c r="E85" s="141">
        <f ca="1">IFERROR(__xludf.DUMMYFUNCTION("""COMPUTED_VALUE"""),83.29)</f>
        <v>83.29</v>
      </c>
      <c r="F85" s="141">
        <f ca="1">IFERROR(__xludf.DUMMYFUNCTION("""COMPUTED_VALUE"""),83.54)</f>
        <v>83.54</v>
      </c>
      <c r="G85" s="143">
        <f ca="1">IFERROR(__xludf.DUMMYFUNCTION("""COMPUTED_VALUE"""),5450864)</f>
        <v>5450864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IFERROR(__xludf.DUMMYFUNCTION("""COMPUTED_VALUE"""),82.72)</f>
        <v>82.72</v>
      </c>
      <c r="D86" s="141">
        <f ca="1">IFERROR(__xludf.DUMMYFUNCTION("""COMPUTED_VALUE"""),82.86)</f>
        <v>82.86</v>
      </c>
      <c r="E86" s="141">
        <f ca="1">IFERROR(__xludf.DUMMYFUNCTION("""COMPUTED_VALUE"""),82.43)</f>
        <v>82.43</v>
      </c>
      <c r="F86" s="141">
        <f ca="1">IFERROR(__xludf.DUMMYFUNCTION("""COMPUTED_VALUE"""),82.57)</f>
        <v>82.57</v>
      </c>
      <c r="G86" s="143">
        <f ca="1">IFERROR(__xludf.DUMMYFUNCTION("""COMPUTED_VALUE"""),5126791)</f>
        <v>5126791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IFERROR(__xludf.DUMMYFUNCTION("""COMPUTED_VALUE"""),82.4)</f>
        <v>82.4</v>
      </c>
      <c r="D87" s="141">
        <f ca="1">IFERROR(__xludf.DUMMYFUNCTION("""COMPUTED_VALUE"""),82.52)</f>
        <v>82.52</v>
      </c>
      <c r="E87" s="141">
        <f ca="1">IFERROR(__xludf.DUMMYFUNCTION("""COMPUTED_VALUE"""),81.84)</f>
        <v>81.84</v>
      </c>
      <c r="F87" s="141">
        <f ca="1">IFERROR(__xludf.DUMMYFUNCTION("""COMPUTED_VALUE"""),82.18)</f>
        <v>82.18</v>
      </c>
      <c r="G87" s="143">
        <f ca="1">IFERROR(__xludf.DUMMYFUNCTION("""COMPUTED_VALUE"""),7076378)</f>
        <v>7076378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IFERROR(__xludf.DUMMYFUNCTION("""COMPUTED_VALUE"""),82.02)</f>
        <v>82.02</v>
      </c>
      <c r="D88" s="141">
        <f ca="1">IFERROR(__xludf.DUMMYFUNCTION("""COMPUTED_VALUE"""),82.34)</f>
        <v>82.34</v>
      </c>
      <c r="E88" s="141">
        <f ca="1">IFERROR(__xludf.DUMMYFUNCTION("""COMPUTED_VALUE"""),81.98)</f>
        <v>81.98</v>
      </c>
      <c r="F88" s="141">
        <f ca="1">IFERROR(__xludf.DUMMYFUNCTION("""COMPUTED_VALUE"""),82.22)</f>
        <v>82.22</v>
      </c>
      <c r="G88" s="143">
        <f ca="1">IFERROR(__xludf.DUMMYFUNCTION("""COMPUTED_VALUE"""),3620433)</f>
        <v>3620433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IFERROR(__xludf.DUMMYFUNCTION("""COMPUTED_VALUE"""),82.42)</f>
        <v>82.42</v>
      </c>
      <c r="D89" s="141">
        <f ca="1">IFERROR(__xludf.DUMMYFUNCTION("""COMPUTED_VALUE"""),82.68)</f>
        <v>82.68</v>
      </c>
      <c r="E89" s="141">
        <f ca="1">IFERROR(__xludf.DUMMYFUNCTION("""COMPUTED_VALUE"""),82.42)</f>
        <v>82.42</v>
      </c>
      <c r="F89" s="141">
        <f ca="1">IFERROR(__xludf.DUMMYFUNCTION("""COMPUTED_VALUE"""),82.5)</f>
        <v>82.5</v>
      </c>
      <c r="G89" s="143">
        <f ca="1">IFERROR(__xludf.DUMMYFUNCTION("""COMPUTED_VALUE"""),3653247)</f>
        <v>3653247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IFERROR(__xludf.DUMMYFUNCTION("""COMPUTED_VALUE"""),83.61)</f>
        <v>83.61</v>
      </c>
      <c r="D90" s="141">
        <f ca="1">IFERROR(__xludf.DUMMYFUNCTION("""COMPUTED_VALUE"""),83.61)</f>
        <v>83.61</v>
      </c>
      <c r="E90" s="141">
        <f ca="1">IFERROR(__xludf.DUMMYFUNCTION("""COMPUTED_VALUE"""),83.37)</f>
        <v>83.37</v>
      </c>
      <c r="F90" s="141">
        <f ca="1">IFERROR(__xludf.DUMMYFUNCTION("""COMPUTED_VALUE"""),83.53)</f>
        <v>83.53</v>
      </c>
      <c r="G90" s="143">
        <f ca="1">IFERROR(__xludf.DUMMYFUNCTION("""COMPUTED_VALUE"""),2985745)</f>
        <v>2985745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IFERROR(__xludf.DUMMYFUNCTION("""COMPUTED_VALUE"""),83.56)</f>
        <v>83.56</v>
      </c>
      <c r="D91" s="141">
        <f ca="1">IFERROR(__xludf.DUMMYFUNCTION("""COMPUTED_VALUE"""),84.07)</f>
        <v>84.07</v>
      </c>
      <c r="E91" s="141">
        <f ca="1">IFERROR(__xludf.DUMMYFUNCTION("""COMPUTED_VALUE"""),83.55)</f>
        <v>83.55</v>
      </c>
      <c r="F91" s="141">
        <f ca="1">IFERROR(__xludf.DUMMYFUNCTION("""COMPUTED_VALUE"""),83.93)</f>
        <v>83.93</v>
      </c>
      <c r="G91" s="143">
        <f ca="1">IFERROR(__xludf.DUMMYFUNCTION("""COMPUTED_VALUE"""),4523249)</f>
        <v>4523249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IFERROR(__xludf.DUMMYFUNCTION("""COMPUTED_VALUE"""),83.52)</f>
        <v>83.52</v>
      </c>
      <c r="D92" s="141">
        <f ca="1">IFERROR(__xludf.DUMMYFUNCTION("""COMPUTED_VALUE"""),83.69)</f>
        <v>83.69</v>
      </c>
      <c r="E92" s="141">
        <f ca="1">IFERROR(__xludf.DUMMYFUNCTION("""COMPUTED_VALUE"""),82.7)</f>
        <v>82.7</v>
      </c>
      <c r="F92" s="141">
        <f ca="1">IFERROR(__xludf.DUMMYFUNCTION("""COMPUTED_VALUE"""),83.23)</f>
        <v>83.23</v>
      </c>
      <c r="G92" s="143">
        <f ca="1">IFERROR(__xludf.DUMMYFUNCTION("""COMPUTED_VALUE"""),8550189)</f>
        <v>8550189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IFERROR(__xludf.DUMMYFUNCTION("""COMPUTED_VALUE"""),83.14)</f>
        <v>83.14</v>
      </c>
      <c r="D93" s="141">
        <f ca="1">IFERROR(__xludf.DUMMYFUNCTION("""COMPUTED_VALUE"""),83.56)</f>
        <v>83.56</v>
      </c>
      <c r="E93" s="141">
        <f ca="1">IFERROR(__xludf.DUMMYFUNCTION("""COMPUTED_VALUE"""),83.03)</f>
        <v>83.03</v>
      </c>
      <c r="F93" s="141">
        <f ca="1">IFERROR(__xludf.DUMMYFUNCTION("""COMPUTED_VALUE"""),83.21)</f>
        <v>83.21</v>
      </c>
      <c r="G93" s="143">
        <f ca="1">IFERROR(__xludf.DUMMYFUNCTION("""COMPUTED_VALUE"""),6073718)</f>
        <v>6073718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IFERROR(__xludf.DUMMYFUNCTION("""COMPUTED_VALUE"""),83.71)</f>
        <v>83.71</v>
      </c>
      <c r="D94" s="141">
        <f ca="1">IFERROR(__xludf.DUMMYFUNCTION("""COMPUTED_VALUE"""),83.84)</f>
        <v>83.84</v>
      </c>
      <c r="E94" s="141">
        <f ca="1">IFERROR(__xludf.DUMMYFUNCTION("""COMPUTED_VALUE"""),83.19)</f>
        <v>83.19</v>
      </c>
      <c r="F94" s="141">
        <f ca="1">IFERROR(__xludf.DUMMYFUNCTION("""COMPUTED_VALUE"""),83.45)</f>
        <v>83.45</v>
      </c>
      <c r="G94" s="143">
        <f ca="1">IFERROR(__xludf.DUMMYFUNCTION("""COMPUTED_VALUE"""),9755498)</f>
        <v>9755498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IFERROR(__xludf.DUMMYFUNCTION("""COMPUTED_VALUE"""),83.58)</f>
        <v>83.58</v>
      </c>
      <c r="D95" s="141">
        <f ca="1">IFERROR(__xludf.DUMMYFUNCTION("""COMPUTED_VALUE"""),83.71)</f>
        <v>83.71</v>
      </c>
      <c r="E95" s="141">
        <f ca="1">IFERROR(__xludf.DUMMYFUNCTION("""COMPUTED_VALUE"""),83.25)</f>
        <v>83.25</v>
      </c>
      <c r="F95" s="141">
        <f ca="1">IFERROR(__xludf.DUMMYFUNCTION("""COMPUTED_VALUE"""),83.64)</f>
        <v>83.64</v>
      </c>
      <c r="G95" s="143">
        <f ca="1">IFERROR(__xludf.DUMMYFUNCTION("""COMPUTED_VALUE"""),5288161)</f>
        <v>5288161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IFERROR(__xludf.DUMMYFUNCTION("""COMPUTED_VALUE"""),83)</f>
        <v>83</v>
      </c>
      <c r="D96" s="141">
        <f ca="1">IFERROR(__xludf.DUMMYFUNCTION("""COMPUTED_VALUE"""),83.35)</f>
        <v>83.35</v>
      </c>
      <c r="E96" s="141">
        <f ca="1">IFERROR(__xludf.DUMMYFUNCTION("""COMPUTED_VALUE"""),82.78)</f>
        <v>82.78</v>
      </c>
      <c r="F96" s="141">
        <f ca="1">IFERROR(__xludf.DUMMYFUNCTION("""COMPUTED_VALUE"""),82.83)</f>
        <v>82.83</v>
      </c>
      <c r="G96" s="143">
        <f ca="1">IFERROR(__xludf.DUMMYFUNCTION("""COMPUTED_VALUE"""),6613755)</f>
        <v>6613755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IFERROR(__xludf.DUMMYFUNCTION("""COMPUTED_VALUE"""),82.49)</f>
        <v>82.49</v>
      </c>
      <c r="D97" s="141">
        <f ca="1">IFERROR(__xludf.DUMMYFUNCTION("""COMPUTED_VALUE"""),82.99)</f>
        <v>82.99</v>
      </c>
      <c r="E97" s="141">
        <f ca="1">IFERROR(__xludf.DUMMYFUNCTION("""COMPUTED_VALUE"""),82.35)</f>
        <v>82.35</v>
      </c>
      <c r="F97" s="141">
        <f ca="1">IFERROR(__xludf.DUMMYFUNCTION("""COMPUTED_VALUE"""),82.8)</f>
        <v>82.8</v>
      </c>
      <c r="G97" s="143">
        <f ca="1">IFERROR(__xludf.DUMMYFUNCTION("""COMPUTED_VALUE"""),5594783)</f>
        <v>5594783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IFERROR(__xludf.DUMMYFUNCTION("""COMPUTED_VALUE"""),83.31)</f>
        <v>83.31</v>
      </c>
      <c r="D98" s="141">
        <f ca="1">IFERROR(__xludf.DUMMYFUNCTION("""COMPUTED_VALUE"""),83.38)</f>
        <v>83.38</v>
      </c>
      <c r="E98" s="141">
        <f ca="1">IFERROR(__xludf.DUMMYFUNCTION("""COMPUTED_VALUE"""),82.66)</f>
        <v>82.66</v>
      </c>
      <c r="F98" s="141">
        <f ca="1">IFERROR(__xludf.DUMMYFUNCTION("""COMPUTED_VALUE"""),82.96)</f>
        <v>82.96</v>
      </c>
      <c r="G98" s="143">
        <f ca="1">IFERROR(__xludf.DUMMYFUNCTION("""COMPUTED_VALUE"""),5396031)</f>
        <v>5396031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IFERROR(__xludf.DUMMYFUNCTION("""COMPUTED_VALUE"""),82.84)</f>
        <v>82.84</v>
      </c>
      <c r="D99" s="141">
        <f ca="1">IFERROR(__xludf.DUMMYFUNCTION("""COMPUTED_VALUE"""),83.31)</f>
        <v>83.31</v>
      </c>
      <c r="E99" s="141">
        <f ca="1">IFERROR(__xludf.DUMMYFUNCTION("""COMPUTED_VALUE"""),82.3)</f>
        <v>82.3</v>
      </c>
      <c r="F99" s="141">
        <f ca="1">IFERROR(__xludf.DUMMYFUNCTION("""COMPUTED_VALUE"""),83.29)</f>
        <v>83.29</v>
      </c>
      <c r="G99" s="143">
        <f ca="1">IFERROR(__xludf.DUMMYFUNCTION("""COMPUTED_VALUE"""),5604501)</f>
        <v>5604501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IFERROR(__xludf.DUMMYFUNCTION("""COMPUTED_VALUE"""),83.32)</f>
        <v>83.32</v>
      </c>
      <c r="D100" s="141">
        <f ca="1">IFERROR(__xludf.DUMMYFUNCTION("""COMPUTED_VALUE"""),83.75)</f>
        <v>83.75</v>
      </c>
      <c r="E100" s="141">
        <f ca="1">IFERROR(__xludf.DUMMYFUNCTION("""COMPUTED_VALUE"""),83.07)</f>
        <v>83.07</v>
      </c>
      <c r="F100" s="141">
        <f ca="1">IFERROR(__xludf.DUMMYFUNCTION("""COMPUTED_VALUE"""),83.68)</f>
        <v>83.68</v>
      </c>
      <c r="G100" s="143">
        <f ca="1">IFERROR(__xludf.DUMMYFUNCTION("""COMPUTED_VALUE"""),5038368)</f>
        <v>5038368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IFERROR(__xludf.DUMMYFUNCTION("""COMPUTED_VALUE"""),83.5)</f>
        <v>83.5</v>
      </c>
      <c r="D101" s="141">
        <f ca="1">IFERROR(__xludf.DUMMYFUNCTION("""COMPUTED_VALUE"""),83.91)</f>
        <v>83.91</v>
      </c>
      <c r="E101" s="141">
        <f ca="1">IFERROR(__xludf.DUMMYFUNCTION("""COMPUTED_VALUE"""),83.37)</f>
        <v>83.37</v>
      </c>
      <c r="F101" s="141">
        <f ca="1">IFERROR(__xludf.DUMMYFUNCTION("""COMPUTED_VALUE"""),83.75)</f>
        <v>83.75</v>
      </c>
      <c r="G101" s="143">
        <f ca="1">IFERROR(__xludf.DUMMYFUNCTION("""COMPUTED_VALUE"""),6582671)</f>
        <v>6582671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IFERROR(__xludf.DUMMYFUNCTION("""COMPUTED_VALUE"""),84.23)</f>
        <v>84.23</v>
      </c>
      <c r="D102" s="141">
        <f ca="1">IFERROR(__xludf.DUMMYFUNCTION("""COMPUTED_VALUE"""),84.54)</f>
        <v>84.54</v>
      </c>
      <c r="E102" s="141">
        <f ca="1">IFERROR(__xludf.DUMMYFUNCTION("""COMPUTED_VALUE"""),84.13)</f>
        <v>84.13</v>
      </c>
      <c r="F102" s="141">
        <f ca="1">IFERROR(__xludf.DUMMYFUNCTION("""COMPUTED_VALUE"""),84.34)</f>
        <v>84.34</v>
      </c>
      <c r="G102" s="143">
        <f ca="1">IFERROR(__xludf.DUMMYFUNCTION("""COMPUTED_VALUE"""),6539016)</f>
        <v>6539016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IFERROR(__xludf.DUMMYFUNCTION("""COMPUTED_VALUE"""),83.98)</f>
        <v>83.98</v>
      </c>
      <c r="D103" s="141">
        <f ca="1">IFERROR(__xludf.DUMMYFUNCTION("""COMPUTED_VALUE"""),84.03)</f>
        <v>84.03</v>
      </c>
      <c r="E103" s="141">
        <f ca="1">IFERROR(__xludf.DUMMYFUNCTION("""COMPUTED_VALUE"""),82.96)</f>
        <v>82.96</v>
      </c>
      <c r="F103" s="141">
        <f ca="1">IFERROR(__xludf.DUMMYFUNCTION("""COMPUTED_VALUE"""),83.01)</f>
        <v>83.01</v>
      </c>
      <c r="G103" s="143">
        <f ca="1">IFERROR(__xludf.DUMMYFUNCTION("""COMPUTED_VALUE"""),7215645)</f>
        <v>7215645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IFERROR(__xludf.DUMMYFUNCTION("""COMPUTED_VALUE"""),83.64)</f>
        <v>83.64</v>
      </c>
      <c r="D104" s="141">
        <f ca="1">IFERROR(__xludf.DUMMYFUNCTION("""COMPUTED_VALUE"""),84.21)</f>
        <v>84.21</v>
      </c>
      <c r="E104" s="141">
        <f ca="1">IFERROR(__xludf.DUMMYFUNCTION("""COMPUTED_VALUE"""),83.4)</f>
        <v>83.4</v>
      </c>
      <c r="F104" s="141">
        <f ca="1">IFERROR(__xludf.DUMMYFUNCTION("""COMPUTED_VALUE"""),83.98)</f>
        <v>83.98</v>
      </c>
      <c r="G104" s="143">
        <f ca="1">IFERROR(__xludf.DUMMYFUNCTION("""COMPUTED_VALUE"""),6153942)</f>
        <v>6153942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IFERROR(__xludf.DUMMYFUNCTION("""COMPUTED_VALUE"""),83.02)</f>
        <v>83.02</v>
      </c>
      <c r="D105" s="141">
        <f ca="1">IFERROR(__xludf.DUMMYFUNCTION("""COMPUTED_VALUE"""),83.35)</f>
        <v>83.35</v>
      </c>
      <c r="E105" s="141">
        <f ca="1">IFERROR(__xludf.DUMMYFUNCTION("""COMPUTED_VALUE"""),82.14)</f>
        <v>82.14</v>
      </c>
      <c r="F105" s="141">
        <f ca="1">IFERROR(__xludf.DUMMYFUNCTION("""COMPUTED_VALUE"""),82.47)</f>
        <v>82.47</v>
      </c>
      <c r="G105" s="143">
        <f ca="1">IFERROR(__xludf.DUMMYFUNCTION("""COMPUTED_VALUE"""),6967744)</f>
        <v>6967744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IFERROR(__xludf.DUMMYFUNCTION("""COMPUTED_VALUE"""),80.7)</f>
        <v>80.7</v>
      </c>
      <c r="D106" s="141">
        <f ca="1">IFERROR(__xludf.DUMMYFUNCTION("""COMPUTED_VALUE"""),81.1)</f>
        <v>81.099999999999994</v>
      </c>
      <c r="E106" s="141">
        <f ca="1">IFERROR(__xludf.DUMMYFUNCTION("""COMPUTED_VALUE"""),80.29)</f>
        <v>80.290000000000006</v>
      </c>
      <c r="F106" s="141">
        <f ca="1">IFERROR(__xludf.DUMMYFUNCTION("""COMPUTED_VALUE"""),80.78)</f>
        <v>80.78</v>
      </c>
      <c r="G106" s="143">
        <f ca="1">IFERROR(__xludf.DUMMYFUNCTION("""COMPUTED_VALUE"""),6922399)</f>
        <v>6922399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IFERROR(__xludf.DUMMYFUNCTION("""COMPUTED_VALUE"""),80.68)</f>
        <v>80.680000000000007</v>
      </c>
      <c r="D107" s="141">
        <f ca="1">IFERROR(__xludf.DUMMYFUNCTION("""COMPUTED_VALUE"""),81.15)</f>
        <v>81.150000000000006</v>
      </c>
      <c r="E107" s="141">
        <f ca="1">IFERROR(__xludf.DUMMYFUNCTION("""COMPUTED_VALUE"""),80.39)</f>
        <v>80.39</v>
      </c>
      <c r="F107" s="141">
        <f ca="1">IFERROR(__xludf.DUMMYFUNCTION("""COMPUTED_VALUE"""),80.68)</f>
        <v>80.680000000000007</v>
      </c>
      <c r="G107" s="143">
        <f ca="1">IFERROR(__xludf.DUMMYFUNCTION("""COMPUTED_VALUE"""),6066068)</f>
        <v>6066068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IFERROR(__xludf.DUMMYFUNCTION("""COMPUTED_VALUE"""),81.14)</f>
        <v>81.14</v>
      </c>
      <c r="D108" s="141">
        <f ca="1">IFERROR(__xludf.DUMMYFUNCTION("""COMPUTED_VALUE"""),81.36)</f>
        <v>81.36</v>
      </c>
      <c r="E108" s="141">
        <f ca="1">IFERROR(__xludf.DUMMYFUNCTION("""COMPUTED_VALUE"""),79.47)</f>
        <v>79.47</v>
      </c>
      <c r="F108" s="141">
        <f ca="1">IFERROR(__xludf.DUMMYFUNCTION("""COMPUTED_VALUE"""),79.49)</f>
        <v>79.489999999999995</v>
      </c>
      <c r="G108" s="143">
        <f ca="1">IFERROR(__xludf.DUMMYFUNCTION("""COMPUTED_VALUE"""),11263141)</f>
        <v>11263141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IFERROR(__xludf.DUMMYFUNCTION("""COMPUTED_VALUE"""),80.81)</f>
        <v>80.81</v>
      </c>
      <c r="D109" s="141">
        <f ca="1">IFERROR(__xludf.DUMMYFUNCTION("""COMPUTED_VALUE"""),81.44)</f>
        <v>81.44</v>
      </c>
      <c r="E109" s="141">
        <f ca="1">IFERROR(__xludf.DUMMYFUNCTION("""COMPUTED_VALUE"""),80.3)</f>
        <v>80.3</v>
      </c>
      <c r="F109" s="141">
        <f ca="1">IFERROR(__xludf.DUMMYFUNCTION("""COMPUTED_VALUE"""),81.19)</f>
        <v>81.19</v>
      </c>
      <c r="G109" s="143">
        <f ca="1">IFERROR(__xludf.DUMMYFUNCTION("""COMPUTED_VALUE"""),8907886)</f>
        <v>8907886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IFERROR(__xludf.DUMMYFUNCTION("""COMPUTED_VALUE"""),81.08)</f>
        <v>81.08</v>
      </c>
      <c r="D110" s="141">
        <f ca="1">IFERROR(__xludf.DUMMYFUNCTION("""COMPUTED_VALUE"""),81.87)</f>
        <v>81.87</v>
      </c>
      <c r="E110" s="141">
        <f ca="1">IFERROR(__xludf.DUMMYFUNCTION("""COMPUTED_VALUE"""),80.96)</f>
        <v>80.959999999999994</v>
      </c>
      <c r="F110" s="141">
        <f ca="1">IFERROR(__xludf.DUMMYFUNCTION("""COMPUTED_VALUE"""),81.74)</f>
        <v>81.739999999999995</v>
      </c>
      <c r="G110" s="143">
        <f ca="1">IFERROR(__xludf.DUMMYFUNCTION("""COMPUTED_VALUE"""),3799808)</f>
        <v>3799808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IFERROR(__xludf.DUMMYFUNCTION("""COMPUTED_VALUE"""),81.32)</f>
        <v>81.319999999999993</v>
      </c>
      <c r="D111" s="141">
        <f ca="1">IFERROR(__xludf.DUMMYFUNCTION("""COMPUTED_VALUE"""),81.97)</f>
        <v>81.97</v>
      </c>
      <c r="E111" s="141">
        <f ca="1">IFERROR(__xludf.DUMMYFUNCTION("""COMPUTED_VALUE"""),81.01)</f>
        <v>81.010000000000005</v>
      </c>
      <c r="F111" s="141">
        <f ca="1">IFERROR(__xludf.DUMMYFUNCTION("""COMPUTED_VALUE"""),81.92)</f>
        <v>81.92</v>
      </c>
      <c r="G111" s="143">
        <f ca="1">IFERROR(__xludf.DUMMYFUNCTION("""COMPUTED_VALUE"""),5197012)</f>
        <v>5197012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IFERROR(__xludf.DUMMYFUNCTION("""COMPUTED_VALUE"""),82.73)</f>
        <v>82.73</v>
      </c>
      <c r="D112" s="141">
        <f ca="1">IFERROR(__xludf.DUMMYFUNCTION("""COMPUTED_VALUE"""),83.37)</f>
        <v>83.37</v>
      </c>
      <c r="E112" s="141">
        <f ca="1">IFERROR(__xludf.DUMMYFUNCTION("""COMPUTED_VALUE"""),82.55)</f>
        <v>82.55</v>
      </c>
      <c r="F112" s="141">
        <f ca="1">IFERROR(__xludf.DUMMYFUNCTION("""COMPUTED_VALUE"""),83.26)</f>
        <v>83.26</v>
      </c>
      <c r="G112" s="143">
        <f ca="1">IFERROR(__xludf.DUMMYFUNCTION("""COMPUTED_VALUE"""),3711406)</f>
        <v>3711406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IFERROR(__xludf.DUMMYFUNCTION("""COMPUTED_VALUE"""),82.84)</f>
        <v>82.84</v>
      </c>
      <c r="D113" s="141">
        <f ca="1">IFERROR(__xludf.DUMMYFUNCTION("""COMPUTED_VALUE"""),83.04)</f>
        <v>83.04</v>
      </c>
      <c r="E113" s="141">
        <f ca="1">IFERROR(__xludf.DUMMYFUNCTION("""COMPUTED_VALUE"""),82.75)</f>
        <v>82.75</v>
      </c>
      <c r="F113" s="141">
        <f ca="1">IFERROR(__xludf.DUMMYFUNCTION("""COMPUTED_VALUE"""),83.01)</f>
        <v>83.01</v>
      </c>
      <c r="G113" s="143">
        <f ca="1">IFERROR(__xludf.DUMMYFUNCTION("""COMPUTED_VALUE"""),2711789)</f>
        <v>2711789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IFERROR(__xludf.DUMMYFUNCTION("""COMPUTED_VALUE"""),82.49)</f>
        <v>82.49</v>
      </c>
      <c r="D114" s="141">
        <f ca="1">IFERROR(__xludf.DUMMYFUNCTION("""COMPUTED_VALUE"""),82.87)</f>
        <v>82.87</v>
      </c>
      <c r="E114" s="141">
        <f ca="1">IFERROR(__xludf.DUMMYFUNCTION("""COMPUTED_VALUE"""),82.45)</f>
        <v>82.45</v>
      </c>
      <c r="F114" s="141">
        <f ca="1">IFERROR(__xludf.DUMMYFUNCTION("""COMPUTED_VALUE"""),82.53)</f>
        <v>82.53</v>
      </c>
      <c r="G114" s="143">
        <f ca="1">IFERROR(__xludf.DUMMYFUNCTION("""COMPUTED_VALUE"""),5020911)</f>
        <v>5020911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IFERROR(__xludf.DUMMYFUNCTION("""COMPUTED_VALUE"""),82.73)</f>
        <v>82.73</v>
      </c>
      <c r="D115" s="141">
        <f ca="1">IFERROR(__xludf.DUMMYFUNCTION("""COMPUTED_VALUE"""),82.73)</f>
        <v>82.73</v>
      </c>
      <c r="E115" s="141">
        <f ca="1">IFERROR(__xludf.DUMMYFUNCTION("""COMPUTED_VALUE"""),82.26)</f>
        <v>82.26</v>
      </c>
      <c r="F115" s="141">
        <f ca="1">IFERROR(__xludf.DUMMYFUNCTION("""COMPUTED_VALUE"""),82.47)</f>
        <v>82.47</v>
      </c>
      <c r="G115" s="143">
        <f ca="1">IFERROR(__xludf.DUMMYFUNCTION("""COMPUTED_VALUE"""),3848351)</f>
        <v>3848351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IFERROR(__xludf.DUMMYFUNCTION("""COMPUTED_VALUE"""),82.1)</f>
        <v>82.1</v>
      </c>
      <c r="D116" s="141">
        <f ca="1">IFERROR(__xludf.DUMMYFUNCTION("""COMPUTED_VALUE"""),82.65)</f>
        <v>82.65</v>
      </c>
      <c r="E116" s="141">
        <f ca="1">IFERROR(__xludf.DUMMYFUNCTION("""COMPUTED_VALUE"""),82.03)</f>
        <v>82.03</v>
      </c>
      <c r="F116" s="141">
        <f ca="1">IFERROR(__xludf.DUMMYFUNCTION("""COMPUTED_VALUE"""),82.61)</f>
        <v>82.61</v>
      </c>
      <c r="G116" s="143">
        <f ca="1">IFERROR(__xludf.DUMMYFUNCTION("""COMPUTED_VALUE"""),5501541)</f>
        <v>5501541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IFERROR(__xludf.DUMMYFUNCTION("""COMPUTED_VALUE"""),84.21)</f>
        <v>84.21</v>
      </c>
      <c r="D117" s="141">
        <f ca="1">IFERROR(__xludf.DUMMYFUNCTION("""COMPUTED_VALUE"""),84.28)</f>
        <v>84.28</v>
      </c>
      <c r="E117" s="141">
        <f ca="1">IFERROR(__xludf.DUMMYFUNCTION("""COMPUTED_VALUE"""),83.48)</f>
        <v>83.48</v>
      </c>
      <c r="F117" s="141">
        <f ca="1">IFERROR(__xludf.DUMMYFUNCTION("""COMPUTED_VALUE"""),83.62)</f>
        <v>83.62</v>
      </c>
      <c r="G117" s="143">
        <f ca="1">IFERROR(__xludf.DUMMYFUNCTION("""COMPUTED_VALUE"""),4692430)</f>
        <v>4692430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IFERROR(__xludf.DUMMYFUNCTION("""COMPUTED_VALUE"""),83.68)</f>
        <v>83.68</v>
      </c>
      <c r="D118" s="141">
        <f ca="1">IFERROR(__xludf.DUMMYFUNCTION("""COMPUTED_VALUE"""),83.8)</f>
        <v>83.8</v>
      </c>
      <c r="E118" s="141">
        <f ca="1">IFERROR(__xludf.DUMMYFUNCTION("""COMPUTED_VALUE"""),83.44)</f>
        <v>83.44</v>
      </c>
      <c r="F118" s="141">
        <f ca="1">IFERROR(__xludf.DUMMYFUNCTION("""COMPUTED_VALUE"""),83.7)</f>
        <v>83.7</v>
      </c>
      <c r="G118" s="143">
        <f ca="1">IFERROR(__xludf.DUMMYFUNCTION("""COMPUTED_VALUE"""),4187221)</f>
        <v>4187221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IFERROR(__xludf.DUMMYFUNCTION("""COMPUTED_VALUE"""),83.49)</f>
        <v>83.49</v>
      </c>
      <c r="D119" s="141">
        <f ca="1">IFERROR(__xludf.DUMMYFUNCTION("""COMPUTED_VALUE"""),83.55)</f>
        <v>83.55</v>
      </c>
      <c r="E119" s="141">
        <f ca="1">IFERROR(__xludf.DUMMYFUNCTION("""COMPUTED_VALUE"""),83.06)</f>
        <v>83.06</v>
      </c>
      <c r="F119" s="141">
        <f ca="1">IFERROR(__xludf.DUMMYFUNCTION("""COMPUTED_VALUE"""),83.19)</f>
        <v>83.19</v>
      </c>
      <c r="G119" s="143">
        <f ca="1">IFERROR(__xludf.DUMMYFUNCTION("""COMPUTED_VALUE"""),3589592)</f>
        <v>3589592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IFERROR(__xludf.DUMMYFUNCTION("""COMPUTED_VALUE"""),83.58)</f>
        <v>83.58</v>
      </c>
      <c r="D120" s="141">
        <f ca="1">IFERROR(__xludf.DUMMYFUNCTION("""COMPUTED_VALUE"""),83.72)</f>
        <v>83.72</v>
      </c>
      <c r="E120" s="141">
        <f ca="1">IFERROR(__xludf.DUMMYFUNCTION("""COMPUTED_VALUE"""),83.3)</f>
        <v>83.3</v>
      </c>
      <c r="F120" s="141">
        <f ca="1">IFERROR(__xludf.DUMMYFUNCTION("""COMPUTED_VALUE"""),83.31)</f>
        <v>83.31</v>
      </c>
      <c r="G120" s="143">
        <f ca="1">IFERROR(__xludf.DUMMYFUNCTION("""COMPUTED_VALUE"""),3387150)</f>
        <v>3387150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IFERROR(__xludf.DUMMYFUNCTION("""COMPUTED_VALUE"""),83.24)</f>
        <v>83.24</v>
      </c>
      <c r="D121" s="141">
        <f ca="1">IFERROR(__xludf.DUMMYFUNCTION("""COMPUTED_VALUE"""),84.06)</f>
        <v>84.06</v>
      </c>
      <c r="E121" s="141">
        <f ca="1">IFERROR(__xludf.DUMMYFUNCTION("""COMPUTED_VALUE"""),83.11)</f>
        <v>83.11</v>
      </c>
      <c r="F121" s="141">
        <f ca="1">IFERROR(__xludf.DUMMYFUNCTION("""COMPUTED_VALUE"""),83.91)</f>
        <v>83.91</v>
      </c>
      <c r="G121" s="143">
        <f ca="1">IFERROR(__xludf.DUMMYFUNCTION("""COMPUTED_VALUE"""),5887635)</f>
        <v>5887635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IFERROR(__xludf.DUMMYFUNCTION("""COMPUTED_VALUE"""),83.94)</f>
        <v>83.94</v>
      </c>
      <c r="D122" s="141">
        <f ca="1">IFERROR(__xludf.DUMMYFUNCTION("""COMPUTED_VALUE"""),84.38)</f>
        <v>84.38</v>
      </c>
      <c r="E122" s="141">
        <f ca="1">IFERROR(__xludf.DUMMYFUNCTION("""COMPUTED_VALUE"""),83.88)</f>
        <v>83.88</v>
      </c>
      <c r="F122" s="141">
        <f ca="1">IFERROR(__xludf.DUMMYFUNCTION("""COMPUTED_VALUE"""),84.22)</f>
        <v>84.22</v>
      </c>
      <c r="G122" s="143">
        <f ca="1">IFERROR(__xludf.DUMMYFUNCTION("""COMPUTED_VALUE"""),4377906)</f>
        <v>4377906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IFERROR(__xludf.DUMMYFUNCTION("""COMPUTED_VALUE"""),84.4)</f>
        <v>84.4</v>
      </c>
      <c r="D123" s="141">
        <f ca="1">IFERROR(__xludf.DUMMYFUNCTION("""COMPUTED_VALUE"""),84.45)</f>
        <v>84.45</v>
      </c>
      <c r="E123" s="141">
        <f ca="1">IFERROR(__xludf.DUMMYFUNCTION("""COMPUTED_VALUE"""),83.69)</f>
        <v>83.69</v>
      </c>
      <c r="F123" s="141">
        <f ca="1">IFERROR(__xludf.DUMMYFUNCTION("""COMPUTED_VALUE"""),84)</f>
        <v>84</v>
      </c>
      <c r="G123" s="143">
        <f ca="1">IFERROR(__xludf.DUMMYFUNCTION("""COMPUTED_VALUE"""),6361733)</f>
        <v>6361733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IFERROR(__xludf.DUMMYFUNCTION("""COMPUTED_VALUE"""),85.28)</f>
        <v>85.28</v>
      </c>
      <c r="D124" s="141">
        <f ca="1">IFERROR(__xludf.DUMMYFUNCTION("""COMPUTED_VALUE"""),85.31)</f>
        <v>85.31</v>
      </c>
      <c r="E124" s="141">
        <f ca="1">IFERROR(__xludf.DUMMYFUNCTION("""COMPUTED_VALUE"""),84.7)</f>
        <v>84.7</v>
      </c>
      <c r="F124" s="141">
        <f ca="1">IFERROR(__xludf.DUMMYFUNCTION("""COMPUTED_VALUE"""),84.87)</f>
        <v>84.87</v>
      </c>
      <c r="G124" s="143">
        <f ca="1">IFERROR(__xludf.DUMMYFUNCTION("""COMPUTED_VALUE"""),4439301)</f>
        <v>4439301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IFERROR(__xludf.DUMMYFUNCTION("""COMPUTED_VALUE"""),81.11)</f>
        <v>81.11</v>
      </c>
      <c r="D125" s="141">
        <f ca="1">IFERROR(__xludf.DUMMYFUNCTION("""COMPUTED_VALUE"""),81.27)</f>
        <v>81.27</v>
      </c>
      <c r="E125" s="141">
        <f ca="1">IFERROR(__xludf.DUMMYFUNCTION("""COMPUTED_VALUE"""),80.65)</f>
        <v>80.650000000000006</v>
      </c>
      <c r="F125" s="141">
        <f ca="1">IFERROR(__xludf.DUMMYFUNCTION("""COMPUTED_VALUE"""),80.85)</f>
        <v>80.849999999999994</v>
      </c>
      <c r="G125" s="143">
        <f ca="1">IFERROR(__xludf.DUMMYFUNCTION("""COMPUTED_VALUE"""),6206017)</f>
        <v>6206017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IFERROR(__xludf.DUMMYFUNCTION("""COMPUTED_VALUE"""),80.43)</f>
        <v>80.430000000000007</v>
      </c>
      <c r="D126" s="141">
        <f ca="1">IFERROR(__xludf.DUMMYFUNCTION("""COMPUTED_VALUE"""),80.57)</f>
        <v>80.569999999999993</v>
      </c>
      <c r="E126" s="141">
        <f ca="1">IFERROR(__xludf.DUMMYFUNCTION("""COMPUTED_VALUE"""),79.71)</f>
        <v>79.709999999999994</v>
      </c>
      <c r="F126" s="141">
        <f ca="1">IFERROR(__xludf.DUMMYFUNCTION("""COMPUTED_VALUE"""),79.74)</f>
        <v>79.739999999999995</v>
      </c>
      <c r="G126" s="143">
        <f ca="1">IFERROR(__xludf.DUMMYFUNCTION("""COMPUTED_VALUE"""),6592781)</f>
        <v>6592781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IFERROR(__xludf.DUMMYFUNCTION("""COMPUTED_VALUE"""),80.29)</f>
        <v>80.290000000000006</v>
      </c>
      <c r="D127" s="141">
        <f ca="1">IFERROR(__xludf.DUMMYFUNCTION("""COMPUTED_VALUE"""),80.45)</f>
        <v>80.45</v>
      </c>
      <c r="E127" s="141">
        <f ca="1">IFERROR(__xludf.DUMMYFUNCTION("""COMPUTED_VALUE"""),79.82)</f>
        <v>79.819999999999993</v>
      </c>
      <c r="F127" s="141">
        <f ca="1">IFERROR(__xludf.DUMMYFUNCTION("""COMPUTED_VALUE"""),79.97)</f>
        <v>79.97</v>
      </c>
      <c r="G127" s="143">
        <f ca="1">IFERROR(__xludf.DUMMYFUNCTION("""COMPUTED_VALUE"""),6214791)</f>
        <v>6214791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IFERROR(__xludf.DUMMYFUNCTION("""COMPUTED_VALUE"""),80.46)</f>
        <v>80.459999999999994</v>
      </c>
      <c r="D128" s="141">
        <f ca="1">IFERROR(__xludf.DUMMYFUNCTION("""COMPUTED_VALUE"""),80.8)</f>
        <v>80.8</v>
      </c>
      <c r="E128" s="141">
        <f ca="1">IFERROR(__xludf.DUMMYFUNCTION("""COMPUTED_VALUE"""),80.4)</f>
        <v>80.400000000000006</v>
      </c>
      <c r="F128" s="141">
        <f ca="1">IFERROR(__xludf.DUMMYFUNCTION("""COMPUTED_VALUE"""),80.58)</f>
        <v>80.58</v>
      </c>
      <c r="G128" s="143">
        <f ca="1">IFERROR(__xludf.DUMMYFUNCTION("""COMPUTED_VALUE"""),5596108)</f>
        <v>5596108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IFERROR(__xludf.DUMMYFUNCTION("""COMPUTED_VALUE"""),80.25)</f>
        <v>80.25</v>
      </c>
      <c r="D129" s="141">
        <f ca="1">IFERROR(__xludf.DUMMYFUNCTION("""COMPUTED_VALUE"""),80.56)</f>
        <v>80.56</v>
      </c>
      <c r="E129" s="141">
        <f ca="1">IFERROR(__xludf.DUMMYFUNCTION("""COMPUTED_VALUE"""),80.16)</f>
        <v>80.16</v>
      </c>
      <c r="F129" s="141">
        <f ca="1">IFERROR(__xludf.DUMMYFUNCTION("""COMPUTED_VALUE"""),80.46)</f>
        <v>80.459999999999994</v>
      </c>
      <c r="G129" s="143">
        <f ca="1">IFERROR(__xludf.DUMMYFUNCTION("""COMPUTED_VALUE"""),5963107)</f>
        <v>5963107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IFERROR(__xludf.DUMMYFUNCTION("""COMPUTED_VALUE"""),81.35)</f>
        <v>81.349999999999994</v>
      </c>
      <c r="D130" s="141">
        <f ca="1">IFERROR(__xludf.DUMMYFUNCTION("""COMPUTED_VALUE"""),81.45)</f>
        <v>81.45</v>
      </c>
      <c r="E130" s="141">
        <f ca="1">IFERROR(__xludf.DUMMYFUNCTION("""COMPUTED_VALUE"""),81.06)</f>
        <v>81.06</v>
      </c>
      <c r="F130" s="141">
        <f ca="1">IFERROR(__xludf.DUMMYFUNCTION("""COMPUTED_VALUE"""),81.14)</f>
        <v>81.14</v>
      </c>
      <c r="G130" s="143">
        <f ca="1">IFERROR(__xludf.DUMMYFUNCTION("""COMPUTED_VALUE"""),6126645)</f>
        <v>6126645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IFERROR(__xludf.DUMMYFUNCTION("""COMPUTED_VALUE"""),80.86)</f>
        <v>80.86</v>
      </c>
      <c r="D131" s="141">
        <f ca="1">IFERROR(__xludf.DUMMYFUNCTION("""COMPUTED_VALUE"""),81.13)</f>
        <v>81.13</v>
      </c>
      <c r="E131" s="141">
        <f ca="1">IFERROR(__xludf.DUMMYFUNCTION("""COMPUTED_VALUE"""),80.76)</f>
        <v>80.760000000000005</v>
      </c>
      <c r="F131" s="141">
        <f ca="1">IFERROR(__xludf.DUMMYFUNCTION("""COMPUTED_VALUE"""),81)</f>
        <v>81</v>
      </c>
      <c r="G131" s="143">
        <f ca="1">IFERROR(__xludf.DUMMYFUNCTION("""COMPUTED_VALUE"""),1767593)</f>
        <v>1767593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IFERROR(__xludf.DUMMYFUNCTION("""COMPUTED_VALUE"""),80.95)</f>
        <v>80.95</v>
      </c>
      <c r="D132" s="141">
        <f ca="1">IFERROR(__xludf.DUMMYFUNCTION("""COMPUTED_VALUE"""),80.99)</f>
        <v>80.989999999999995</v>
      </c>
      <c r="E132" s="141">
        <f ca="1">IFERROR(__xludf.DUMMYFUNCTION("""COMPUTED_VALUE"""),80.72)</f>
        <v>80.72</v>
      </c>
      <c r="F132" s="141">
        <f ca="1">IFERROR(__xludf.DUMMYFUNCTION("""COMPUTED_VALUE"""),80.97)</f>
        <v>80.97</v>
      </c>
      <c r="G132" s="143">
        <f ca="1">IFERROR(__xludf.DUMMYFUNCTION("""COMPUTED_VALUE"""),2340271)</f>
        <v>2340271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IFERROR(__xludf.DUMMYFUNCTION("""COMPUTED_VALUE"""),80.97)</f>
        <v>80.97</v>
      </c>
      <c r="D133" s="141">
        <f ca="1">IFERROR(__xludf.DUMMYFUNCTION("""COMPUTED_VALUE"""),81.13)</f>
        <v>81.13</v>
      </c>
      <c r="E133" s="141">
        <f ca="1">IFERROR(__xludf.DUMMYFUNCTION("""COMPUTED_VALUE"""),80.78)</f>
        <v>80.78</v>
      </c>
      <c r="F133" s="141">
        <f ca="1">IFERROR(__xludf.DUMMYFUNCTION("""COMPUTED_VALUE"""),81.09)</f>
        <v>81.09</v>
      </c>
      <c r="G133" s="143">
        <f ca="1">IFERROR(__xludf.DUMMYFUNCTION("""COMPUTED_VALUE"""),4629350)</f>
        <v>4629350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IFERROR(__xludf.DUMMYFUNCTION("""COMPUTED_VALUE"""),81.24)</f>
        <v>81.239999999999995</v>
      </c>
      <c r="D134" s="141">
        <f ca="1">IFERROR(__xludf.DUMMYFUNCTION("""COMPUTED_VALUE"""),81.27)</f>
        <v>81.27</v>
      </c>
      <c r="E134" s="141">
        <f ca="1">IFERROR(__xludf.DUMMYFUNCTION("""COMPUTED_VALUE"""),80.97)</f>
        <v>80.97</v>
      </c>
      <c r="F134" s="141">
        <f ca="1">IFERROR(__xludf.DUMMYFUNCTION("""COMPUTED_VALUE"""),80.98)</f>
        <v>80.98</v>
      </c>
      <c r="G134" s="143">
        <f ca="1">IFERROR(__xludf.DUMMYFUNCTION("""COMPUTED_VALUE"""),3748915)</f>
        <v>3748915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IFERROR(__xludf.DUMMYFUNCTION("""COMPUTED_VALUE"""),80.73)</f>
        <v>80.73</v>
      </c>
      <c r="D135" s="141">
        <f ca="1">IFERROR(__xludf.DUMMYFUNCTION("""COMPUTED_VALUE"""),81)</f>
        <v>81</v>
      </c>
      <c r="E135" s="141">
        <f ca="1">IFERROR(__xludf.DUMMYFUNCTION("""COMPUTED_VALUE"""),80.54)</f>
        <v>80.540000000000006</v>
      </c>
      <c r="F135" s="141">
        <f ca="1">IFERROR(__xludf.DUMMYFUNCTION("""COMPUTED_VALUE"""),80.74)</f>
        <v>80.739999999999995</v>
      </c>
      <c r="G135" s="143">
        <f ca="1">IFERROR(__xludf.DUMMYFUNCTION("""COMPUTED_VALUE"""),4444987)</f>
        <v>4444987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IFERROR(__xludf.DUMMYFUNCTION("""COMPUTED_VALUE"""),81.51)</f>
        <v>81.510000000000005</v>
      </c>
      <c r="D136" s="141">
        <f ca="1">IFERROR(__xludf.DUMMYFUNCTION("""COMPUTED_VALUE"""),81.57)</f>
        <v>81.569999999999993</v>
      </c>
      <c r="E136" s="141">
        <f ca="1">IFERROR(__xludf.DUMMYFUNCTION("""COMPUTED_VALUE"""),80.82)</f>
        <v>80.819999999999993</v>
      </c>
      <c r="F136" s="141">
        <f ca="1">IFERROR(__xludf.DUMMYFUNCTION("""COMPUTED_VALUE"""),81.33)</f>
        <v>81.33</v>
      </c>
      <c r="G136" s="143">
        <f ca="1">IFERROR(__xludf.DUMMYFUNCTION("""COMPUTED_VALUE"""),7874021)</f>
        <v>7874021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IFERROR(__xludf.DUMMYFUNCTION("""COMPUTED_VALUE"""),82.36)</f>
        <v>82.36</v>
      </c>
      <c r="D137" s="141">
        <f ca="1">IFERROR(__xludf.DUMMYFUNCTION("""COMPUTED_VALUE"""),83.18)</f>
        <v>83.18</v>
      </c>
      <c r="E137" s="141">
        <f ca="1">IFERROR(__xludf.DUMMYFUNCTION("""COMPUTED_VALUE"""),82.36)</f>
        <v>82.36</v>
      </c>
      <c r="F137" s="141">
        <f ca="1">IFERROR(__xludf.DUMMYFUNCTION("""COMPUTED_VALUE"""),83.13)</f>
        <v>83.13</v>
      </c>
      <c r="G137" s="143">
        <f ca="1">IFERROR(__xludf.DUMMYFUNCTION("""COMPUTED_VALUE"""),6465725)</f>
        <v>6465725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IFERROR(__xludf.DUMMYFUNCTION("""COMPUTED_VALUE"""),83.14)</f>
        <v>83.14</v>
      </c>
      <c r="D138" s="141">
        <f ca="1">IFERROR(__xludf.DUMMYFUNCTION("""COMPUTED_VALUE"""),83.27)</f>
        <v>83.27</v>
      </c>
      <c r="E138" s="141">
        <f ca="1">IFERROR(__xludf.DUMMYFUNCTION("""COMPUTED_VALUE"""),82.9)</f>
        <v>82.9</v>
      </c>
      <c r="F138" s="141">
        <f ca="1">IFERROR(__xludf.DUMMYFUNCTION("""COMPUTED_VALUE"""),83.07)</f>
        <v>83.07</v>
      </c>
      <c r="G138" s="143">
        <f ca="1">IFERROR(__xludf.DUMMYFUNCTION("""COMPUTED_VALUE"""),9209118)</f>
        <v>9209118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IFERROR(__xludf.DUMMYFUNCTION("""COMPUTED_VALUE"""),83.12)</f>
        <v>83.12</v>
      </c>
      <c r="D139" s="141">
        <f ca="1">IFERROR(__xludf.DUMMYFUNCTION("""COMPUTED_VALUE"""),83.14)</f>
        <v>83.14</v>
      </c>
      <c r="E139" s="141">
        <f ca="1">IFERROR(__xludf.DUMMYFUNCTION("""COMPUTED_VALUE"""),82.78)</f>
        <v>82.78</v>
      </c>
      <c r="F139" s="141">
        <f ca="1">IFERROR(__xludf.DUMMYFUNCTION("""COMPUTED_VALUE"""),82.92)</f>
        <v>82.92</v>
      </c>
      <c r="G139" s="143">
        <f ca="1">IFERROR(__xludf.DUMMYFUNCTION("""COMPUTED_VALUE"""),6011471)</f>
        <v>6011471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IFERROR(__xludf.DUMMYFUNCTION("""COMPUTED_VALUE"""),82.57)</f>
        <v>82.57</v>
      </c>
      <c r="D140" s="141">
        <f ca="1">IFERROR(__xludf.DUMMYFUNCTION("""COMPUTED_VALUE"""),82.91)</f>
        <v>82.91</v>
      </c>
      <c r="E140" s="141">
        <f ca="1">IFERROR(__xludf.DUMMYFUNCTION("""COMPUTED_VALUE"""),82.52)</f>
        <v>82.52</v>
      </c>
      <c r="F140" s="141">
        <f ca="1">IFERROR(__xludf.DUMMYFUNCTION("""COMPUTED_VALUE"""),82.86)</f>
        <v>82.86</v>
      </c>
      <c r="G140" s="143">
        <f ca="1">IFERROR(__xludf.DUMMYFUNCTION("""COMPUTED_VALUE"""),5791159)</f>
        <v>5791159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IFERROR(__xludf.DUMMYFUNCTION("""COMPUTED_VALUE"""),84.14)</f>
        <v>84.14</v>
      </c>
      <c r="D141" s="141">
        <f ca="1">IFERROR(__xludf.DUMMYFUNCTION("""COMPUTED_VALUE"""),84.92)</f>
        <v>84.92</v>
      </c>
      <c r="E141" s="141">
        <f ca="1">IFERROR(__xludf.DUMMYFUNCTION("""COMPUTED_VALUE"""),84.07)</f>
        <v>84.07</v>
      </c>
      <c r="F141" s="141">
        <f ca="1">IFERROR(__xludf.DUMMYFUNCTION("""COMPUTED_VALUE"""),84.61)</f>
        <v>84.61</v>
      </c>
      <c r="G141" s="143">
        <f ca="1">IFERROR(__xludf.DUMMYFUNCTION("""COMPUTED_VALUE"""),7885495)</f>
        <v>7885495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IFERROR(__xludf.DUMMYFUNCTION("""COMPUTED_VALUE"""),84.95)</f>
        <v>84.95</v>
      </c>
      <c r="D142" s="141">
        <f ca="1">IFERROR(__xludf.DUMMYFUNCTION("""COMPUTED_VALUE"""),85.3)</f>
        <v>85.3</v>
      </c>
      <c r="E142" s="141">
        <f ca="1">IFERROR(__xludf.DUMMYFUNCTION("""COMPUTED_VALUE"""),84.93)</f>
        <v>84.93</v>
      </c>
      <c r="F142" s="141">
        <f ca="1">IFERROR(__xludf.DUMMYFUNCTION("""COMPUTED_VALUE"""),85.29)</f>
        <v>85.29</v>
      </c>
      <c r="G142" s="143">
        <f ca="1">IFERROR(__xludf.DUMMYFUNCTION("""COMPUTED_VALUE"""),6171009)</f>
        <v>6171009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IFERROR(__xludf.DUMMYFUNCTION("""COMPUTED_VALUE"""),84.7)</f>
        <v>84.7</v>
      </c>
      <c r="D143" s="141">
        <f ca="1">IFERROR(__xludf.DUMMYFUNCTION("""COMPUTED_VALUE"""),84.79)</f>
        <v>84.79</v>
      </c>
      <c r="E143" s="141">
        <f ca="1">IFERROR(__xludf.DUMMYFUNCTION("""COMPUTED_VALUE"""),84.29)</f>
        <v>84.29</v>
      </c>
      <c r="F143" s="141">
        <f ca="1">IFERROR(__xludf.DUMMYFUNCTION("""COMPUTED_VALUE"""),84.45)</f>
        <v>84.45</v>
      </c>
      <c r="G143" s="143">
        <f ca="1">IFERROR(__xludf.DUMMYFUNCTION("""COMPUTED_VALUE"""),5177347)</f>
        <v>5177347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IFERROR(__xludf.DUMMYFUNCTION("""COMPUTED_VALUE"""),85.08)</f>
        <v>85.08</v>
      </c>
      <c r="D144" s="141">
        <f ca="1">IFERROR(__xludf.DUMMYFUNCTION("""COMPUTED_VALUE"""),85.34)</f>
        <v>85.34</v>
      </c>
      <c r="E144" s="141">
        <f ca="1">IFERROR(__xludf.DUMMYFUNCTION("""COMPUTED_VALUE"""),84.91)</f>
        <v>84.91</v>
      </c>
      <c r="F144" s="141">
        <f ca="1">IFERROR(__xludf.DUMMYFUNCTION("""COMPUTED_VALUE"""),85.04)</f>
        <v>85.04</v>
      </c>
      <c r="G144" s="143">
        <f ca="1">IFERROR(__xludf.DUMMYFUNCTION("""COMPUTED_VALUE"""),7045965)</f>
        <v>7045965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IFERROR(__xludf.DUMMYFUNCTION("""COMPUTED_VALUE"""),85.9)</f>
        <v>85.9</v>
      </c>
      <c r="D145" s="141">
        <f ca="1">IFERROR(__xludf.DUMMYFUNCTION("""COMPUTED_VALUE"""),86)</f>
        <v>86</v>
      </c>
      <c r="E145" s="141">
        <f ca="1">IFERROR(__xludf.DUMMYFUNCTION("""COMPUTED_VALUE"""),85.39)</f>
        <v>85.39</v>
      </c>
      <c r="F145" s="141">
        <f ca="1">IFERROR(__xludf.DUMMYFUNCTION("""COMPUTED_VALUE"""),85.42)</f>
        <v>85.42</v>
      </c>
      <c r="G145" s="143">
        <f ca="1">IFERROR(__xludf.DUMMYFUNCTION("""COMPUTED_VALUE"""),5601606)</f>
        <v>5601606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IFERROR(__xludf.DUMMYFUNCTION("""COMPUTED_VALUE"""),85.54)</f>
        <v>85.54</v>
      </c>
      <c r="D146" s="141">
        <f ca="1">IFERROR(__xludf.DUMMYFUNCTION("""COMPUTED_VALUE"""),85.61)</f>
        <v>85.61</v>
      </c>
      <c r="E146" s="141">
        <f ca="1">IFERROR(__xludf.DUMMYFUNCTION("""COMPUTED_VALUE"""),85.26)</f>
        <v>85.26</v>
      </c>
      <c r="F146" s="141">
        <f ca="1">IFERROR(__xludf.DUMMYFUNCTION("""COMPUTED_VALUE"""),85.48)</f>
        <v>85.48</v>
      </c>
      <c r="G146" s="143">
        <f ca="1">IFERROR(__xludf.DUMMYFUNCTION("""COMPUTED_VALUE"""),4181218)</f>
        <v>4181218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IFERROR(__xludf.DUMMYFUNCTION("""COMPUTED_VALUE"""),83.83)</f>
        <v>83.83</v>
      </c>
      <c r="D147" s="141">
        <f ca="1">IFERROR(__xludf.DUMMYFUNCTION("""COMPUTED_VALUE"""),84.32)</f>
        <v>84.32</v>
      </c>
      <c r="E147" s="141">
        <f ca="1">IFERROR(__xludf.DUMMYFUNCTION("""COMPUTED_VALUE"""),83.6)</f>
        <v>83.6</v>
      </c>
      <c r="F147" s="141">
        <f ca="1">IFERROR(__xludf.DUMMYFUNCTION("""COMPUTED_VALUE"""),83.72)</f>
        <v>83.72</v>
      </c>
      <c r="G147" s="143">
        <f ca="1">IFERROR(__xludf.DUMMYFUNCTION("""COMPUTED_VALUE"""),9402486)</f>
        <v>9402486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IFERROR(__xludf.DUMMYFUNCTION("""COMPUTED_VALUE"""),84.21)</f>
        <v>84.21</v>
      </c>
      <c r="D148" s="141">
        <f ca="1">IFERROR(__xludf.DUMMYFUNCTION("""COMPUTED_VALUE"""),85)</f>
        <v>85</v>
      </c>
      <c r="E148" s="141">
        <f ca="1">IFERROR(__xludf.DUMMYFUNCTION("""COMPUTED_VALUE"""),84.05)</f>
        <v>84.05</v>
      </c>
      <c r="F148" s="141">
        <f ca="1">IFERROR(__xludf.DUMMYFUNCTION("""COMPUTED_VALUE"""),84.78)</f>
        <v>84.78</v>
      </c>
      <c r="G148" s="143">
        <f ca="1">IFERROR(__xludf.DUMMYFUNCTION("""COMPUTED_VALUE"""),12139332)</f>
        <v>12139332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IFERROR(__xludf.DUMMYFUNCTION("""COMPUTED_VALUE"""),84.85)</f>
        <v>84.85</v>
      </c>
      <c r="D149" s="141">
        <f ca="1">IFERROR(__xludf.DUMMYFUNCTION("""COMPUTED_VALUE"""),85.06)</f>
        <v>85.06</v>
      </c>
      <c r="E149" s="141">
        <f ca="1">IFERROR(__xludf.DUMMYFUNCTION("""COMPUTED_VALUE"""),84.67)</f>
        <v>84.67</v>
      </c>
      <c r="F149" s="141">
        <f ca="1">IFERROR(__xludf.DUMMYFUNCTION("""COMPUTED_VALUE"""),84.86)</f>
        <v>84.86</v>
      </c>
      <c r="G149" s="143">
        <f ca="1">IFERROR(__xludf.DUMMYFUNCTION("""COMPUTED_VALUE"""),5129808)</f>
        <v>5129808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IFERROR(__xludf.DUMMYFUNCTION("""COMPUTED_VALUE"""),84.07)</f>
        <v>84.07</v>
      </c>
      <c r="D150" s="141">
        <f ca="1">IFERROR(__xludf.DUMMYFUNCTION("""COMPUTED_VALUE"""),84.82)</f>
        <v>84.82</v>
      </c>
      <c r="E150" s="141">
        <f ca="1">IFERROR(__xludf.DUMMYFUNCTION("""COMPUTED_VALUE"""),83.94)</f>
        <v>83.94</v>
      </c>
      <c r="F150" s="141">
        <f ca="1">IFERROR(__xludf.DUMMYFUNCTION("""COMPUTED_VALUE"""),84.56)</f>
        <v>84.56</v>
      </c>
      <c r="G150" s="143">
        <f ca="1">IFERROR(__xludf.DUMMYFUNCTION("""COMPUTED_VALUE"""),13051023)</f>
        <v>13051023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IFERROR(__xludf.DUMMYFUNCTION("""COMPUTED_VALUE"""),85.12)</f>
        <v>85.12</v>
      </c>
      <c r="D151" s="141">
        <f ca="1">IFERROR(__xludf.DUMMYFUNCTION("""COMPUTED_VALUE"""),85.26)</f>
        <v>85.26</v>
      </c>
      <c r="E151" s="141">
        <f ca="1">IFERROR(__xludf.DUMMYFUNCTION("""COMPUTED_VALUE"""),84.62)</f>
        <v>84.62</v>
      </c>
      <c r="F151" s="141">
        <f ca="1">IFERROR(__xludf.DUMMYFUNCTION("""COMPUTED_VALUE"""),84.63)</f>
        <v>84.63</v>
      </c>
      <c r="G151" s="143">
        <f ca="1">IFERROR(__xludf.DUMMYFUNCTION("""COMPUTED_VALUE"""),12120837)</f>
        <v>12120837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IFERROR(__xludf.DUMMYFUNCTION("""COMPUTED_VALUE"""),85.47)</f>
        <v>85.47</v>
      </c>
      <c r="D152" s="141">
        <f ca="1">IFERROR(__xludf.DUMMYFUNCTION("""COMPUTED_VALUE"""),85.97)</f>
        <v>85.97</v>
      </c>
      <c r="E152" s="141">
        <f ca="1">IFERROR(__xludf.DUMMYFUNCTION("""COMPUTED_VALUE"""),85.44)</f>
        <v>85.44</v>
      </c>
      <c r="F152" s="141">
        <f ca="1">IFERROR(__xludf.DUMMYFUNCTION("""COMPUTED_VALUE"""),85.84)</f>
        <v>85.84</v>
      </c>
      <c r="G152" s="143">
        <f ca="1">IFERROR(__xludf.DUMMYFUNCTION("""COMPUTED_VALUE"""),14767496)</f>
        <v>14767496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IFERROR(__xludf.DUMMYFUNCTION("""COMPUTED_VALUE"""),85.06)</f>
        <v>85.06</v>
      </c>
      <c r="D153" s="141">
        <f ca="1">IFERROR(__xludf.DUMMYFUNCTION("""COMPUTED_VALUE"""),85.27)</f>
        <v>85.27</v>
      </c>
      <c r="E153" s="141">
        <f ca="1">IFERROR(__xludf.DUMMYFUNCTION("""COMPUTED_VALUE"""),84.79)</f>
        <v>84.79</v>
      </c>
      <c r="F153" s="141">
        <f ca="1">IFERROR(__xludf.DUMMYFUNCTION("""COMPUTED_VALUE"""),85.21)</f>
        <v>85.21</v>
      </c>
      <c r="G153" s="143">
        <f ca="1">IFERROR(__xludf.DUMMYFUNCTION("""COMPUTED_VALUE"""),9157681)</f>
        <v>9157681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IFERROR(__xludf.DUMMYFUNCTION("""COMPUTED_VALUE"""),86.13)</f>
        <v>86.13</v>
      </c>
      <c r="D154" s="141">
        <f ca="1">IFERROR(__xludf.DUMMYFUNCTION("""COMPUTED_VALUE"""),86.31)</f>
        <v>86.31</v>
      </c>
      <c r="E154" s="141">
        <f ca="1">IFERROR(__xludf.DUMMYFUNCTION("""COMPUTED_VALUE"""),84.84)</f>
        <v>84.84</v>
      </c>
      <c r="F154" s="141">
        <f ca="1">IFERROR(__xludf.DUMMYFUNCTION("""COMPUTED_VALUE"""),86.09)</f>
        <v>86.09</v>
      </c>
      <c r="G154" s="143">
        <f ca="1">IFERROR(__xludf.DUMMYFUNCTION("""COMPUTED_VALUE"""),13444021)</f>
        <v>13444021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IFERROR(__xludf.DUMMYFUNCTION("""COMPUTED_VALUE"""),85.97)</f>
        <v>85.97</v>
      </c>
      <c r="D155" s="141">
        <f ca="1">IFERROR(__xludf.DUMMYFUNCTION("""COMPUTED_VALUE"""),86.17)</f>
        <v>86.17</v>
      </c>
      <c r="E155" s="141">
        <f ca="1">IFERROR(__xludf.DUMMYFUNCTION("""COMPUTED_VALUE"""),85.4)</f>
        <v>85.4</v>
      </c>
      <c r="F155" s="141">
        <f ca="1">IFERROR(__xludf.DUMMYFUNCTION("""COMPUTED_VALUE"""),85.72)</f>
        <v>85.72</v>
      </c>
      <c r="G155" s="143">
        <f ca="1">IFERROR(__xludf.DUMMYFUNCTION("""COMPUTED_VALUE"""),7254148)</f>
        <v>7254148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IFERROR(__xludf.DUMMYFUNCTION("""COMPUTED_VALUE"""),85.33)</f>
        <v>85.33</v>
      </c>
      <c r="D156" s="141">
        <f ca="1">IFERROR(__xludf.DUMMYFUNCTION("""COMPUTED_VALUE"""),86.01)</f>
        <v>86.01</v>
      </c>
      <c r="E156" s="141">
        <f ca="1">IFERROR(__xludf.DUMMYFUNCTION("""COMPUTED_VALUE"""),85.08)</f>
        <v>85.08</v>
      </c>
      <c r="F156" s="141">
        <f ca="1">IFERROR(__xludf.DUMMYFUNCTION("""COMPUTED_VALUE"""),85.89)</f>
        <v>85.89</v>
      </c>
      <c r="G156" s="143">
        <f ca="1">IFERROR(__xludf.DUMMYFUNCTION("""COMPUTED_VALUE"""),7060258)</f>
        <v>7060258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IFERROR(__xludf.DUMMYFUNCTION("""COMPUTED_VALUE"""),86.32)</f>
        <v>86.32</v>
      </c>
      <c r="D157" s="141">
        <f ca="1">IFERROR(__xludf.DUMMYFUNCTION("""COMPUTED_VALUE"""),86.74)</f>
        <v>86.74</v>
      </c>
      <c r="E157" s="141">
        <f ca="1">IFERROR(__xludf.DUMMYFUNCTION("""COMPUTED_VALUE"""),85.92)</f>
        <v>85.92</v>
      </c>
      <c r="F157" s="141">
        <f ca="1">IFERROR(__xludf.DUMMYFUNCTION("""COMPUTED_VALUE"""),86.68)</f>
        <v>86.68</v>
      </c>
      <c r="G157" s="143">
        <f ca="1">IFERROR(__xludf.DUMMYFUNCTION("""COMPUTED_VALUE"""),12779774)</f>
        <v>12779774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IFERROR(__xludf.DUMMYFUNCTION("""COMPUTED_VALUE"""),87.67)</f>
        <v>87.67</v>
      </c>
      <c r="D158" s="141">
        <f ca="1">IFERROR(__xludf.DUMMYFUNCTION("""COMPUTED_VALUE"""),88.24)</f>
        <v>88.24</v>
      </c>
      <c r="E158" s="141">
        <f ca="1">IFERROR(__xludf.DUMMYFUNCTION("""COMPUTED_VALUE"""),87.19)</f>
        <v>87.19</v>
      </c>
      <c r="F158" s="141">
        <f ca="1">IFERROR(__xludf.DUMMYFUNCTION("""COMPUTED_VALUE"""),87.49)</f>
        <v>87.49</v>
      </c>
      <c r="G158" s="143">
        <f ca="1">IFERROR(__xludf.DUMMYFUNCTION("""COMPUTED_VALUE"""),11696687)</f>
        <v>11696687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IFERROR(__xludf.DUMMYFUNCTION("""COMPUTED_VALUE"""),86.33)</f>
        <v>86.33</v>
      </c>
      <c r="D159" s="141">
        <f ca="1">IFERROR(__xludf.DUMMYFUNCTION("""COMPUTED_VALUE"""),86.76)</f>
        <v>86.76</v>
      </c>
      <c r="E159" s="141">
        <f ca="1">IFERROR(__xludf.DUMMYFUNCTION("""COMPUTED_VALUE"""),86.02)</f>
        <v>86.02</v>
      </c>
      <c r="F159" s="141">
        <f ca="1">IFERROR(__xludf.DUMMYFUNCTION("""COMPUTED_VALUE"""),86.1)</f>
        <v>86.1</v>
      </c>
      <c r="G159" s="143">
        <f ca="1">IFERROR(__xludf.DUMMYFUNCTION("""COMPUTED_VALUE"""),9245226)</f>
        <v>9245226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IFERROR(__xludf.DUMMYFUNCTION("""COMPUTED_VALUE"""),88.77)</f>
        <v>88.77</v>
      </c>
      <c r="D160" s="141">
        <f ca="1">IFERROR(__xludf.DUMMYFUNCTION("""COMPUTED_VALUE"""),89.47)</f>
        <v>89.47</v>
      </c>
      <c r="E160" s="141">
        <f ca="1">IFERROR(__xludf.DUMMYFUNCTION("""COMPUTED_VALUE"""),88.58)</f>
        <v>88.58</v>
      </c>
      <c r="F160" s="141">
        <f ca="1">IFERROR(__xludf.DUMMYFUNCTION("""COMPUTED_VALUE"""),89.4)</f>
        <v>89.4</v>
      </c>
      <c r="G160" s="143">
        <f ca="1">IFERROR(__xludf.DUMMYFUNCTION("""COMPUTED_VALUE"""),7409030)</f>
        <v>7409030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IFERROR(__xludf.DUMMYFUNCTION("""COMPUTED_VALUE"""),90.3)</f>
        <v>90.3</v>
      </c>
      <c r="D161" s="141">
        <f ca="1">IFERROR(__xludf.DUMMYFUNCTION("""COMPUTED_VALUE"""),91.48)</f>
        <v>91.48</v>
      </c>
      <c r="E161" s="141">
        <f ca="1">IFERROR(__xludf.DUMMYFUNCTION("""COMPUTED_VALUE"""),90.2)</f>
        <v>90.2</v>
      </c>
      <c r="F161" s="141">
        <f ca="1">IFERROR(__xludf.DUMMYFUNCTION("""COMPUTED_VALUE"""),91.29)</f>
        <v>91.29</v>
      </c>
      <c r="G161" s="143">
        <f ca="1">IFERROR(__xludf.DUMMYFUNCTION("""COMPUTED_VALUE"""),9877554)</f>
        <v>9877554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IFERROR(__xludf.DUMMYFUNCTION("""COMPUTED_VALUE"""),93.2)</f>
        <v>93.2</v>
      </c>
      <c r="D162" s="141">
        <f ca="1">IFERROR(__xludf.DUMMYFUNCTION("""COMPUTED_VALUE"""),93.57)</f>
        <v>93.57</v>
      </c>
      <c r="E162" s="141">
        <f ca="1">IFERROR(__xludf.DUMMYFUNCTION("""COMPUTED_VALUE"""),92.97)</f>
        <v>92.97</v>
      </c>
      <c r="F162" s="141">
        <f ca="1">IFERROR(__xludf.DUMMYFUNCTION("""COMPUTED_VALUE"""),93.1)</f>
        <v>93.1</v>
      </c>
      <c r="G162" s="143">
        <f ca="1">IFERROR(__xludf.DUMMYFUNCTION("""COMPUTED_VALUE"""),21601711)</f>
        <v>21601711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IFERROR(__xludf.DUMMYFUNCTION("""COMPUTED_VALUE"""),93.91)</f>
        <v>93.91</v>
      </c>
      <c r="D163" s="141">
        <f ca="1">IFERROR(__xludf.DUMMYFUNCTION("""COMPUTED_VALUE"""),94.2)</f>
        <v>94.2</v>
      </c>
      <c r="E163" s="141">
        <f ca="1">IFERROR(__xludf.DUMMYFUNCTION("""COMPUTED_VALUE"""),93.22)</f>
        <v>93.22</v>
      </c>
      <c r="F163" s="141">
        <f ca="1">IFERROR(__xludf.DUMMYFUNCTION("""COMPUTED_VALUE"""),93.97)</f>
        <v>93.97</v>
      </c>
      <c r="G163" s="143">
        <f ca="1">IFERROR(__xludf.DUMMYFUNCTION("""COMPUTED_VALUE"""),12280215)</f>
        <v>12280215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IFERROR(__xludf.DUMMYFUNCTION("""COMPUTED_VALUE"""),94)</f>
        <v>94</v>
      </c>
      <c r="D164" s="141">
        <f ca="1">IFERROR(__xludf.DUMMYFUNCTION("""COMPUTED_VALUE"""),94.28)</f>
        <v>94.28</v>
      </c>
      <c r="E164" s="141">
        <f ca="1">IFERROR(__xludf.DUMMYFUNCTION("""COMPUTED_VALUE"""),93.14)</f>
        <v>93.14</v>
      </c>
      <c r="F164" s="141">
        <f ca="1">IFERROR(__xludf.DUMMYFUNCTION("""COMPUTED_VALUE"""),93.37)</f>
        <v>93.37</v>
      </c>
      <c r="G164" s="143">
        <f ca="1">IFERROR(__xludf.DUMMYFUNCTION("""COMPUTED_VALUE"""),10269692)</f>
        <v>10269692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IFERROR(__xludf.DUMMYFUNCTION("""COMPUTED_VALUE"""),93.66)</f>
        <v>93.66</v>
      </c>
      <c r="D165" s="141">
        <f ca="1">IFERROR(__xludf.DUMMYFUNCTION("""COMPUTED_VALUE"""),93.94)</f>
        <v>93.94</v>
      </c>
      <c r="E165" s="141">
        <f ca="1">IFERROR(__xludf.DUMMYFUNCTION("""COMPUTED_VALUE"""),92.91)</f>
        <v>92.91</v>
      </c>
      <c r="F165" s="141">
        <f ca="1">IFERROR(__xludf.DUMMYFUNCTION("""COMPUTED_VALUE"""),93.85)</f>
        <v>93.85</v>
      </c>
      <c r="G165" s="143">
        <f ca="1">IFERROR(__xludf.DUMMYFUNCTION("""COMPUTED_VALUE"""),11219185)</f>
        <v>11219185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IFERROR(__xludf.DUMMYFUNCTION("""COMPUTED_VALUE"""),91.41)</f>
        <v>91.41</v>
      </c>
      <c r="D166" s="141">
        <f ca="1">IFERROR(__xludf.DUMMYFUNCTION("""COMPUTED_VALUE"""),92.07)</f>
        <v>92.07</v>
      </c>
      <c r="E166" s="141">
        <f ca="1">IFERROR(__xludf.DUMMYFUNCTION("""COMPUTED_VALUE"""),90.87)</f>
        <v>90.87</v>
      </c>
      <c r="F166" s="141">
        <f ca="1">IFERROR(__xludf.DUMMYFUNCTION("""COMPUTED_VALUE"""),91.87)</f>
        <v>91.87</v>
      </c>
      <c r="G166" s="143">
        <f ca="1">IFERROR(__xludf.DUMMYFUNCTION("""COMPUTED_VALUE"""),21815183)</f>
        <v>21815183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IFERROR(__xludf.DUMMYFUNCTION("""COMPUTED_VALUE"""),91.55)</f>
        <v>91.55</v>
      </c>
      <c r="D167" s="141">
        <f ca="1">IFERROR(__xludf.DUMMYFUNCTION("""COMPUTED_VALUE"""),92.02)</f>
        <v>92.02</v>
      </c>
      <c r="E167" s="141">
        <f ca="1">IFERROR(__xludf.DUMMYFUNCTION("""COMPUTED_VALUE"""),91.27)</f>
        <v>91.27</v>
      </c>
      <c r="F167" s="141">
        <f ca="1">IFERROR(__xludf.DUMMYFUNCTION("""COMPUTED_VALUE"""),91.38)</f>
        <v>91.38</v>
      </c>
      <c r="G167" s="143">
        <f ca="1">IFERROR(__xludf.DUMMYFUNCTION("""COMPUTED_VALUE"""),9336341)</f>
        <v>9336341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IFERROR(__xludf.DUMMYFUNCTION("""COMPUTED_VALUE"""),90.83)</f>
        <v>90.83</v>
      </c>
      <c r="D168" s="141">
        <f ca="1">IFERROR(__xludf.DUMMYFUNCTION("""COMPUTED_VALUE"""),91.22)</f>
        <v>91.22</v>
      </c>
      <c r="E168" s="141">
        <f ca="1">IFERROR(__xludf.DUMMYFUNCTION("""COMPUTED_VALUE"""),90.67)</f>
        <v>90.67</v>
      </c>
      <c r="F168" s="141">
        <f ca="1">IFERROR(__xludf.DUMMYFUNCTION("""COMPUTED_VALUE"""),91.2)</f>
        <v>91.2</v>
      </c>
      <c r="G168" s="143">
        <f ca="1">IFERROR(__xludf.DUMMYFUNCTION("""COMPUTED_VALUE"""),10448691)</f>
        <v>10448691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IFERROR(__xludf.DUMMYFUNCTION("""COMPUTED_VALUE"""),90.4)</f>
        <v>90.4</v>
      </c>
      <c r="D169" s="141">
        <f ca="1">IFERROR(__xludf.DUMMYFUNCTION("""COMPUTED_VALUE"""),91.57)</f>
        <v>91.57</v>
      </c>
      <c r="E169" s="141">
        <f ca="1">IFERROR(__xludf.DUMMYFUNCTION("""COMPUTED_VALUE"""),90.33)</f>
        <v>90.33</v>
      </c>
      <c r="F169" s="141">
        <f ca="1">IFERROR(__xludf.DUMMYFUNCTION("""COMPUTED_VALUE"""),91.47)</f>
        <v>91.47</v>
      </c>
      <c r="G169" s="143">
        <f ca="1">IFERROR(__xludf.DUMMYFUNCTION("""COMPUTED_VALUE"""),10905671)</f>
        <v>10905671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IFERROR(__xludf.DUMMYFUNCTION("""COMPUTED_VALUE"""),91.64)</f>
        <v>91.64</v>
      </c>
      <c r="D170" s="141">
        <f ca="1">IFERROR(__xludf.DUMMYFUNCTION("""COMPUTED_VALUE"""),92.09)</f>
        <v>92.09</v>
      </c>
      <c r="E170" s="141">
        <f ca="1">IFERROR(__xludf.DUMMYFUNCTION("""COMPUTED_VALUE"""),91.18)</f>
        <v>91.18</v>
      </c>
      <c r="F170" s="141">
        <f ca="1">IFERROR(__xludf.DUMMYFUNCTION("""COMPUTED_VALUE"""),91.39)</f>
        <v>91.39</v>
      </c>
      <c r="G170" s="143">
        <f ca="1">IFERROR(__xludf.DUMMYFUNCTION("""COMPUTED_VALUE"""),7613831)</f>
        <v>7613831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IFERROR(__xludf.DUMMYFUNCTION("""COMPUTED_VALUE"""),90.52)</f>
        <v>90.52</v>
      </c>
      <c r="D171" s="141">
        <f ca="1">IFERROR(__xludf.DUMMYFUNCTION("""COMPUTED_VALUE"""),91.44)</f>
        <v>91.44</v>
      </c>
      <c r="E171" s="141">
        <f ca="1">IFERROR(__xludf.DUMMYFUNCTION("""COMPUTED_VALUE"""),90.37)</f>
        <v>90.37</v>
      </c>
      <c r="F171" s="141">
        <f ca="1">IFERROR(__xludf.DUMMYFUNCTION("""COMPUTED_VALUE"""),91.23)</f>
        <v>91.23</v>
      </c>
      <c r="G171" s="143">
        <f ca="1">IFERROR(__xludf.DUMMYFUNCTION("""COMPUTED_VALUE"""),8781793)</f>
        <v>8781793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IFERROR(__xludf.DUMMYFUNCTION("""COMPUTED_VALUE"""),92.02)</f>
        <v>92.02</v>
      </c>
      <c r="D172" s="141">
        <f ca="1">IFERROR(__xludf.DUMMYFUNCTION("""COMPUTED_VALUE"""),92.57)</f>
        <v>92.57</v>
      </c>
      <c r="E172" s="141">
        <f ca="1">IFERROR(__xludf.DUMMYFUNCTION("""COMPUTED_VALUE"""),91.89)</f>
        <v>91.89</v>
      </c>
      <c r="F172" s="141">
        <f ca="1">IFERROR(__xludf.DUMMYFUNCTION("""COMPUTED_VALUE"""),92.44)</f>
        <v>92.44</v>
      </c>
      <c r="G172" s="143">
        <f ca="1">IFERROR(__xludf.DUMMYFUNCTION("""COMPUTED_VALUE"""),6046504)</f>
        <v>6046504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IFERROR(__xludf.DUMMYFUNCTION("""COMPUTED_VALUE"""),92.6)</f>
        <v>92.6</v>
      </c>
      <c r="D173" s="141">
        <f ca="1">IFERROR(__xludf.DUMMYFUNCTION("""COMPUTED_VALUE"""),92.75)</f>
        <v>92.75</v>
      </c>
      <c r="E173" s="141">
        <f ca="1">IFERROR(__xludf.DUMMYFUNCTION("""COMPUTED_VALUE"""),91.95)</f>
        <v>91.95</v>
      </c>
      <c r="F173" s="141">
        <f ca="1">IFERROR(__xludf.DUMMYFUNCTION("""COMPUTED_VALUE"""),92.48)</f>
        <v>92.48</v>
      </c>
      <c r="G173" s="143">
        <f ca="1">IFERROR(__xludf.DUMMYFUNCTION("""COMPUTED_VALUE"""),6759009)</f>
        <v>6759009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IFERROR(__xludf.DUMMYFUNCTION("""COMPUTED_VALUE"""),92.67)</f>
        <v>92.67</v>
      </c>
      <c r="D174" s="141">
        <f ca="1">IFERROR(__xludf.DUMMYFUNCTION("""COMPUTED_VALUE"""),92.81)</f>
        <v>92.81</v>
      </c>
      <c r="E174" s="141">
        <f ca="1">IFERROR(__xludf.DUMMYFUNCTION("""COMPUTED_VALUE"""),92.25)</f>
        <v>92.25</v>
      </c>
      <c r="F174" s="141">
        <f ca="1">IFERROR(__xludf.DUMMYFUNCTION("""COMPUTED_VALUE"""),92.37)</f>
        <v>92.37</v>
      </c>
      <c r="G174" s="143">
        <f ca="1">IFERROR(__xludf.DUMMYFUNCTION("""COMPUTED_VALUE"""),7718703)</f>
        <v>7718703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IFERROR(__xludf.DUMMYFUNCTION("""COMPUTED_VALUE"""),89.41)</f>
        <v>89.41</v>
      </c>
      <c r="D175" s="141">
        <f ca="1">IFERROR(__xludf.DUMMYFUNCTION("""COMPUTED_VALUE"""),90.41)</f>
        <v>90.41</v>
      </c>
      <c r="E175" s="141">
        <f ca="1">IFERROR(__xludf.DUMMYFUNCTION("""COMPUTED_VALUE"""),89.17)</f>
        <v>89.17</v>
      </c>
      <c r="F175" s="141">
        <f ca="1">IFERROR(__xludf.DUMMYFUNCTION("""COMPUTED_VALUE"""),90.2)</f>
        <v>90.2</v>
      </c>
      <c r="G175" s="143">
        <f ca="1">IFERROR(__xludf.DUMMYFUNCTION("""COMPUTED_VALUE"""),16257731)</f>
        <v>16257731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IFERROR(__xludf.DUMMYFUNCTION("""COMPUTED_VALUE"""),84.78)</f>
        <v>84.78</v>
      </c>
      <c r="D176" s="141">
        <f ca="1">IFERROR(__xludf.DUMMYFUNCTION("""COMPUTED_VALUE"""),87.14)</f>
        <v>87.14</v>
      </c>
      <c r="E176" s="141">
        <f ca="1">IFERROR(__xludf.DUMMYFUNCTION("""COMPUTED_VALUE"""),83.85)</f>
        <v>83.85</v>
      </c>
      <c r="F176" s="141">
        <f ca="1">IFERROR(__xludf.DUMMYFUNCTION("""COMPUTED_VALUE"""),86.83)</f>
        <v>86.83</v>
      </c>
      <c r="G176" s="143">
        <f ca="1">IFERROR(__xludf.DUMMYFUNCTION("""COMPUTED_VALUE"""),29715386)</f>
        <v>29715386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IFERROR(__xludf.DUMMYFUNCTION("""COMPUTED_VALUE"""),87.55)</f>
        <v>87.55</v>
      </c>
      <c r="D177" s="141">
        <f ca="1">IFERROR(__xludf.DUMMYFUNCTION("""COMPUTED_VALUE"""),88.72)</f>
        <v>88.72</v>
      </c>
      <c r="E177" s="141">
        <f ca="1">IFERROR(__xludf.DUMMYFUNCTION("""COMPUTED_VALUE"""),87.08)</f>
        <v>87.08</v>
      </c>
      <c r="F177" s="141">
        <f ca="1">IFERROR(__xludf.DUMMYFUNCTION("""COMPUTED_VALUE"""),88.59)</f>
        <v>88.59</v>
      </c>
      <c r="G177" s="143">
        <f ca="1">IFERROR(__xludf.DUMMYFUNCTION("""COMPUTED_VALUE"""),14240770)</f>
        <v>14240770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IFERROR(__xludf.DUMMYFUNCTION("""COMPUTED_VALUE"""),86.45)</f>
        <v>86.45</v>
      </c>
      <c r="D178" s="141">
        <f ca="1">IFERROR(__xludf.DUMMYFUNCTION("""COMPUTED_VALUE"""),86.84)</f>
        <v>86.84</v>
      </c>
      <c r="E178" s="141">
        <f ca="1">IFERROR(__xludf.DUMMYFUNCTION("""COMPUTED_VALUE"""),84.91)</f>
        <v>84.91</v>
      </c>
      <c r="F178" s="141">
        <f ca="1">IFERROR(__xludf.DUMMYFUNCTION("""COMPUTED_VALUE"""),85.89)</f>
        <v>85.89</v>
      </c>
      <c r="G178" s="143">
        <f ca="1">IFERROR(__xludf.DUMMYFUNCTION("""COMPUTED_VALUE"""),18362144)</f>
        <v>18362144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IFERROR(__xludf.DUMMYFUNCTION("""COMPUTED_VALUE"""),84.38)</f>
        <v>84.38</v>
      </c>
      <c r="D179" s="141">
        <f ca="1">IFERROR(__xludf.DUMMYFUNCTION("""COMPUTED_VALUE"""),85.2)</f>
        <v>85.2</v>
      </c>
      <c r="E179" s="141">
        <f ca="1">IFERROR(__xludf.DUMMYFUNCTION("""COMPUTED_VALUE"""),84.12)</f>
        <v>84.12</v>
      </c>
      <c r="F179" s="141">
        <f ca="1">IFERROR(__xludf.DUMMYFUNCTION("""COMPUTED_VALUE"""),84.77)</f>
        <v>84.77</v>
      </c>
      <c r="G179" s="143">
        <f ca="1">IFERROR(__xludf.DUMMYFUNCTION("""COMPUTED_VALUE"""),11404029)</f>
        <v>11404029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IFERROR(__xludf.DUMMYFUNCTION("""COMPUTED_VALUE"""),83.78)</f>
        <v>83.78</v>
      </c>
      <c r="D180" s="141">
        <f ca="1">IFERROR(__xludf.DUMMYFUNCTION("""COMPUTED_VALUE"""),85.87)</f>
        <v>85.87</v>
      </c>
      <c r="E180" s="141">
        <f ca="1">IFERROR(__xludf.DUMMYFUNCTION("""COMPUTED_VALUE"""),82.92)</f>
        <v>82.92</v>
      </c>
      <c r="F180" s="141">
        <f ca="1">IFERROR(__xludf.DUMMYFUNCTION("""COMPUTED_VALUE"""),85.64)</f>
        <v>85.64</v>
      </c>
      <c r="G180" s="143">
        <f ca="1">IFERROR(__xludf.DUMMYFUNCTION("""COMPUTED_VALUE"""),20246786)</f>
        <v>20246786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IFERROR(__xludf.DUMMYFUNCTION("""COMPUTED_VALUE"""),86.5)</f>
        <v>86.5</v>
      </c>
      <c r="D181" s="141">
        <f ca="1">IFERROR(__xludf.DUMMYFUNCTION("""COMPUTED_VALUE"""),88.14)</f>
        <v>88.14</v>
      </c>
      <c r="E181" s="141">
        <f ca="1">IFERROR(__xludf.DUMMYFUNCTION("""COMPUTED_VALUE"""),85.86)</f>
        <v>85.86</v>
      </c>
      <c r="F181" s="141">
        <f ca="1">IFERROR(__xludf.DUMMYFUNCTION("""COMPUTED_VALUE"""),86.46)</f>
        <v>86.46</v>
      </c>
      <c r="G181" s="143">
        <f ca="1">IFERROR(__xludf.DUMMYFUNCTION("""COMPUTED_VALUE"""),12723554)</f>
        <v>12723554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IFERROR(__xludf.DUMMYFUNCTION("""COMPUTED_VALUE"""),85.32)</f>
        <v>85.32</v>
      </c>
      <c r="D182" s="141">
        <f ca="1">IFERROR(__xludf.DUMMYFUNCTION("""COMPUTED_VALUE"""),86.18)</f>
        <v>86.18</v>
      </c>
      <c r="E182" s="141">
        <f ca="1">IFERROR(__xludf.DUMMYFUNCTION("""COMPUTED_VALUE"""),84.99)</f>
        <v>84.99</v>
      </c>
      <c r="F182" s="141">
        <f ca="1">IFERROR(__xludf.DUMMYFUNCTION("""COMPUTED_VALUE"""),85.73)</f>
        <v>85.73</v>
      </c>
      <c r="G182" s="143">
        <f ca="1">IFERROR(__xludf.DUMMYFUNCTION("""COMPUTED_VALUE"""),8071862)</f>
        <v>8071862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IFERROR(__xludf.DUMMYFUNCTION("""COMPUTED_VALUE"""),84.81)</f>
        <v>84.81</v>
      </c>
      <c r="D183" s="141">
        <f ca="1">IFERROR(__xludf.DUMMYFUNCTION("""COMPUTED_VALUE"""),84.92)</f>
        <v>84.92</v>
      </c>
      <c r="E183" s="141">
        <f ca="1">IFERROR(__xludf.DUMMYFUNCTION("""COMPUTED_VALUE"""),83.76)</f>
        <v>83.76</v>
      </c>
      <c r="F183" s="141">
        <f ca="1">IFERROR(__xludf.DUMMYFUNCTION("""COMPUTED_VALUE"""),84.19)</f>
        <v>84.19</v>
      </c>
      <c r="G183" s="143">
        <f ca="1">IFERROR(__xludf.DUMMYFUNCTION("""COMPUTED_VALUE"""),13356744)</f>
        <v>13356744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IFERROR(__xludf.DUMMYFUNCTION("""COMPUTED_VALUE"""),84.5)</f>
        <v>84.5</v>
      </c>
      <c r="D184" s="141">
        <f ca="1">IFERROR(__xludf.DUMMYFUNCTION("""COMPUTED_VALUE"""),84.79)</f>
        <v>84.79</v>
      </c>
      <c r="E184" s="141">
        <f ca="1">IFERROR(__xludf.DUMMYFUNCTION("""COMPUTED_VALUE"""),83.21)</f>
        <v>83.21</v>
      </c>
      <c r="F184" s="141">
        <f ca="1">IFERROR(__xludf.DUMMYFUNCTION("""COMPUTED_VALUE"""),83.36)</f>
        <v>83.36</v>
      </c>
      <c r="G184" s="143">
        <f ca="1">IFERROR(__xludf.DUMMYFUNCTION("""COMPUTED_VALUE"""),10036492)</f>
        <v>10036492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IFERROR(__xludf.DUMMYFUNCTION("""COMPUTED_VALUE"""),84.69)</f>
        <v>84.69</v>
      </c>
      <c r="D185" s="141">
        <f ca="1">IFERROR(__xludf.DUMMYFUNCTION("""COMPUTED_VALUE"""),85.32)</f>
        <v>85.32</v>
      </c>
      <c r="E185" s="141">
        <f ca="1">IFERROR(__xludf.DUMMYFUNCTION("""COMPUTED_VALUE"""),84.52)</f>
        <v>84.52</v>
      </c>
      <c r="F185" s="141">
        <f ca="1">IFERROR(__xludf.DUMMYFUNCTION("""COMPUTED_VALUE"""),85.07)</f>
        <v>85.07</v>
      </c>
      <c r="G185" s="143">
        <f ca="1">IFERROR(__xludf.DUMMYFUNCTION("""COMPUTED_VALUE"""),6784672)</f>
        <v>6784672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IFERROR(__xludf.DUMMYFUNCTION("""COMPUTED_VALUE"""),85.56)</f>
        <v>85.56</v>
      </c>
      <c r="D186" s="141">
        <f ca="1">IFERROR(__xludf.DUMMYFUNCTION("""COMPUTED_VALUE"""),85.64)</f>
        <v>85.64</v>
      </c>
      <c r="E186" s="141">
        <f ca="1">IFERROR(__xludf.DUMMYFUNCTION("""COMPUTED_VALUE"""),84.86)</f>
        <v>84.86</v>
      </c>
      <c r="F186" s="141">
        <f ca="1">IFERROR(__xludf.DUMMYFUNCTION("""COMPUTED_VALUE"""),85.08)</f>
        <v>85.08</v>
      </c>
      <c r="G186" s="143">
        <f ca="1">IFERROR(__xludf.DUMMYFUNCTION("""COMPUTED_VALUE"""),5197758)</f>
        <v>5197758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IFERROR(__xludf.DUMMYFUNCTION("""COMPUTED_VALUE"""),84.82)</f>
        <v>84.82</v>
      </c>
      <c r="D187" s="141">
        <f ca="1">IFERROR(__xludf.DUMMYFUNCTION("""COMPUTED_VALUE"""),85.14)</f>
        <v>85.14</v>
      </c>
      <c r="E187" s="141">
        <f ca="1">IFERROR(__xludf.DUMMYFUNCTION("""COMPUTED_VALUE"""),84.05)</f>
        <v>84.05</v>
      </c>
      <c r="F187" s="141">
        <f ca="1">IFERROR(__xludf.DUMMYFUNCTION("""COMPUTED_VALUE"""),84.15)</f>
        <v>84.15</v>
      </c>
      <c r="G187" s="143">
        <f ca="1">IFERROR(__xludf.DUMMYFUNCTION("""COMPUTED_VALUE"""),8642605)</f>
        <v>8642605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IFERROR(__xludf.DUMMYFUNCTION("""COMPUTED_VALUE"""),82.15)</f>
        <v>82.15</v>
      </c>
      <c r="D188" s="141">
        <f ca="1">IFERROR(__xludf.DUMMYFUNCTION("""COMPUTED_VALUE"""),84.48)</f>
        <v>84.48</v>
      </c>
      <c r="E188" s="141">
        <f ca="1">IFERROR(__xludf.DUMMYFUNCTION("""COMPUTED_VALUE"""),82.14)</f>
        <v>82.14</v>
      </c>
      <c r="F188" s="141">
        <f ca="1">IFERROR(__xludf.DUMMYFUNCTION("""COMPUTED_VALUE"""),84.08)</f>
        <v>84.08</v>
      </c>
      <c r="G188" s="143">
        <f ca="1">IFERROR(__xludf.DUMMYFUNCTION("""COMPUTED_VALUE"""),8664701)</f>
        <v>8664701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IFERROR(__xludf.DUMMYFUNCTION("""COMPUTED_VALUE"""),83.8)</f>
        <v>83.8</v>
      </c>
      <c r="D189" s="141">
        <f ca="1">IFERROR(__xludf.DUMMYFUNCTION("""COMPUTED_VALUE"""),83.91)</f>
        <v>83.91</v>
      </c>
      <c r="E189" s="141">
        <f ca="1">IFERROR(__xludf.DUMMYFUNCTION("""COMPUTED_VALUE"""),80.85)</f>
        <v>80.849999999999994</v>
      </c>
      <c r="F189" s="141">
        <f ca="1">IFERROR(__xludf.DUMMYFUNCTION("""COMPUTED_VALUE"""),81.2)</f>
        <v>81.2</v>
      </c>
      <c r="G189" s="143">
        <f ca="1">IFERROR(__xludf.DUMMYFUNCTION("""COMPUTED_VALUE"""),19746929)</f>
        <v>19746929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IFERROR(__xludf.DUMMYFUNCTION("""COMPUTED_VALUE"""),83.6)</f>
        <v>83.6</v>
      </c>
      <c r="D190" s="141">
        <f ca="1">IFERROR(__xludf.DUMMYFUNCTION("""COMPUTED_VALUE"""),84.6)</f>
        <v>84.6</v>
      </c>
      <c r="E190" s="141">
        <f ca="1">IFERROR(__xludf.DUMMYFUNCTION("""COMPUTED_VALUE"""),82.73)</f>
        <v>82.73</v>
      </c>
      <c r="F190" s="141">
        <f ca="1">IFERROR(__xludf.DUMMYFUNCTION("""COMPUTED_VALUE"""),83.55)</f>
        <v>83.55</v>
      </c>
      <c r="G190" s="143">
        <f ca="1">IFERROR(__xludf.DUMMYFUNCTION("""COMPUTED_VALUE"""),17234520)</f>
        <v>17234520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IFERROR(__xludf.DUMMYFUNCTION("""COMPUTED_VALUE"""),82.91)</f>
        <v>82.91</v>
      </c>
      <c r="D191" s="141">
        <f ca="1">IFERROR(__xludf.DUMMYFUNCTION("""COMPUTED_VALUE"""),83.87)</f>
        <v>83.87</v>
      </c>
      <c r="E191" s="141">
        <f ca="1">IFERROR(__xludf.DUMMYFUNCTION("""COMPUTED_VALUE"""),82.63)</f>
        <v>82.63</v>
      </c>
      <c r="F191" s="141">
        <f ca="1">IFERROR(__xludf.DUMMYFUNCTION("""COMPUTED_VALUE"""),83.28)</f>
        <v>83.28</v>
      </c>
      <c r="G191" s="143">
        <f ca="1">IFERROR(__xludf.DUMMYFUNCTION("""COMPUTED_VALUE"""),7210280)</f>
        <v>7210280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IFERROR(__xludf.DUMMYFUNCTION("""COMPUTED_VALUE"""),84.85)</f>
        <v>84.85</v>
      </c>
      <c r="D192" s="141">
        <f ca="1">IFERROR(__xludf.DUMMYFUNCTION("""COMPUTED_VALUE"""),85.24)</f>
        <v>85.24</v>
      </c>
      <c r="E192" s="141">
        <f ca="1">IFERROR(__xludf.DUMMYFUNCTION("""COMPUTED_VALUE"""),84.35)</f>
        <v>84.35</v>
      </c>
      <c r="F192" s="141">
        <f ca="1">IFERROR(__xludf.DUMMYFUNCTION("""COMPUTED_VALUE"""),84.75)</f>
        <v>84.75</v>
      </c>
      <c r="G192" s="143">
        <f ca="1">IFERROR(__xludf.DUMMYFUNCTION("""COMPUTED_VALUE"""),7553473)</f>
        <v>7553473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IFERROR(__xludf.DUMMYFUNCTION("""COMPUTED_VALUE"""),83.64)</f>
        <v>83.64</v>
      </c>
      <c r="D193" s="141">
        <f ca="1">IFERROR(__xludf.DUMMYFUNCTION("""COMPUTED_VALUE"""),84.28)</f>
        <v>84.28</v>
      </c>
      <c r="E193" s="141">
        <f ca="1">IFERROR(__xludf.DUMMYFUNCTION("""COMPUTED_VALUE"""),82.66)</f>
        <v>82.66</v>
      </c>
      <c r="F193" s="141">
        <f ca="1">IFERROR(__xludf.DUMMYFUNCTION("""COMPUTED_VALUE"""),82.71)</f>
        <v>82.71</v>
      </c>
      <c r="G193" s="143">
        <f ca="1">IFERROR(__xludf.DUMMYFUNCTION("""COMPUTED_VALUE"""),5882962)</f>
        <v>5882962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IFERROR(__xludf.DUMMYFUNCTION("""COMPUTED_VALUE"""),82.3)</f>
        <v>82.3</v>
      </c>
      <c r="D194" s="141">
        <f ca="1">IFERROR(__xludf.DUMMYFUNCTION("""COMPUTED_VALUE"""),82.53)</f>
        <v>82.53</v>
      </c>
      <c r="E194" s="141">
        <f ca="1">IFERROR(__xludf.DUMMYFUNCTION("""COMPUTED_VALUE"""),81.19)</f>
        <v>81.19</v>
      </c>
      <c r="F194" s="141">
        <f ca="1">IFERROR(__xludf.DUMMYFUNCTION("""COMPUTED_VALUE"""),81.43)</f>
        <v>81.430000000000007</v>
      </c>
      <c r="G194" s="143">
        <f ca="1">IFERROR(__xludf.DUMMYFUNCTION("""COMPUTED_VALUE"""),14066609)</f>
        <v>14066609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IFERROR(__xludf.DUMMYFUNCTION("""COMPUTED_VALUE"""),82.65)</f>
        <v>82.65</v>
      </c>
      <c r="D195" s="141">
        <f ca="1">IFERROR(__xludf.DUMMYFUNCTION("""COMPUTED_VALUE"""),82.75)</f>
        <v>82.75</v>
      </c>
      <c r="E195" s="141">
        <f ca="1">IFERROR(__xludf.DUMMYFUNCTION("""COMPUTED_VALUE"""),81.35)</f>
        <v>81.349999999999994</v>
      </c>
      <c r="F195" s="141">
        <f ca="1">IFERROR(__xludf.DUMMYFUNCTION("""COMPUTED_VALUE"""),81.52)</f>
        <v>81.52</v>
      </c>
      <c r="G195" s="143">
        <f ca="1">IFERROR(__xludf.DUMMYFUNCTION("""COMPUTED_VALUE"""),11806522)</f>
        <v>11806522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IFERROR(__xludf.DUMMYFUNCTION("""COMPUTED_VALUE"""),82.45)</f>
        <v>82.45</v>
      </c>
      <c r="D196" s="141">
        <f ca="1">IFERROR(__xludf.DUMMYFUNCTION("""COMPUTED_VALUE"""),84.49)</f>
        <v>84.49</v>
      </c>
      <c r="E196" s="141">
        <f ca="1">IFERROR(__xludf.DUMMYFUNCTION("""COMPUTED_VALUE"""),82.17)</f>
        <v>82.17</v>
      </c>
      <c r="F196" s="141">
        <f ca="1">IFERROR(__xludf.DUMMYFUNCTION("""COMPUTED_VALUE"""),84.44)</f>
        <v>84.44</v>
      </c>
      <c r="G196" s="143">
        <f ca="1">IFERROR(__xludf.DUMMYFUNCTION("""COMPUTED_VALUE"""),12647232)</f>
        <v>12647232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IFERROR(__xludf.DUMMYFUNCTION("""COMPUTED_VALUE"""),86.66)</f>
        <v>86.66</v>
      </c>
      <c r="D197" s="141">
        <f ca="1">IFERROR(__xludf.DUMMYFUNCTION("""COMPUTED_VALUE"""),87.36)</f>
        <v>87.36</v>
      </c>
      <c r="E197" s="141">
        <f ca="1">IFERROR(__xludf.DUMMYFUNCTION("""COMPUTED_VALUE"""),86.27)</f>
        <v>86.27</v>
      </c>
      <c r="F197" s="141">
        <f ca="1">IFERROR(__xludf.DUMMYFUNCTION("""COMPUTED_VALUE"""),86.48)</f>
        <v>86.48</v>
      </c>
      <c r="G197" s="143">
        <f ca="1">IFERROR(__xludf.DUMMYFUNCTION("""COMPUTED_VALUE"""),14766012)</f>
        <v>14766012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IFERROR(__xludf.DUMMYFUNCTION("""COMPUTED_VALUE"""),83.98)</f>
        <v>83.98</v>
      </c>
      <c r="D198" s="141">
        <f ca="1">IFERROR(__xludf.DUMMYFUNCTION("""COMPUTED_VALUE"""),85.84)</f>
        <v>85.84</v>
      </c>
      <c r="E198" s="141">
        <f ca="1">IFERROR(__xludf.DUMMYFUNCTION("""COMPUTED_VALUE"""),83.74)</f>
        <v>83.74</v>
      </c>
      <c r="F198" s="141">
        <f ca="1">IFERROR(__xludf.DUMMYFUNCTION("""COMPUTED_VALUE"""),85.29)</f>
        <v>85.29</v>
      </c>
      <c r="G198" s="143">
        <f ca="1">IFERROR(__xludf.DUMMYFUNCTION("""COMPUTED_VALUE"""),6422092)</f>
        <v>6422092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IFERROR(__xludf.DUMMYFUNCTION("""COMPUTED_VALUE"""),85.05)</f>
        <v>85.05</v>
      </c>
      <c r="D199" s="141">
        <f ca="1">IFERROR(__xludf.DUMMYFUNCTION("""COMPUTED_VALUE"""),85.75)</f>
        <v>85.75</v>
      </c>
      <c r="E199" s="141">
        <f ca="1">IFERROR(__xludf.DUMMYFUNCTION("""COMPUTED_VALUE"""),85.05)</f>
        <v>85.05</v>
      </c>
      <c r="F199" s="141">
        <f ca="1">IFERROR(__xludf.DUMMYFUNCTION("""COMPUTED_VALUE"""),85.57)</f>
        <v>85.57</v>
      </c>
      <c r="G199" s="143">
        <f ca="1">IFERROR(__xludf.DUMMYFUNCTION("""COMPUTED_VALUE"""),3819823)</f>
        <v>3819823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IFERROR(__xludf.DUMMYFUNCTION("""COMPUTED_VALUE"""),84.88)</f>
        <v>84.88</v>
      </c>
      <c r="D200" s="141">
        <f ca="1">IFERROR(__xludf.DUMMYFUNCTION("""COMPUTED_VALUE"""),85.7)</f>
        <v>85.7</v>
      </c>
      <c r="E200" s="141">
        <f ca="1">IFERROR(__xludf.DUMMYFUNCTION("""COMPUTED_VALUE"""),83.82)</f>
        <v>83.82</v>
      </c>
      <c r="F200" s="141">
        <f ca="1">IFERROR(__xludf.DUMMYFUNCTION("""COMPUTED_VALUE"""),85.51)</f>
        <v>85.51</v>
      </c>
      <c r="G200" s="143">
        <f ca="1">IFERROR(__xludf.DUMMYFUNCTION("""COMPUTED_VALUE"""),17552101)</f>
        <v>17552101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IFERROR(__xludf.DUMMYFUNCTION("""COMPUTED_VALUE"""),89.82)</f>
        <v>89.82</v>
      </c>
      <c r="D201" s="141">
        <f ca="1">IFERROR(__xludf.DUMMYFUNCTION("""COMPUTED_VALUE"""),89.99)</f>
        <v>89.99</v>
      </c>
      <c r="E201" s="141">
        <f ca="1">IFERROR(__xludf.DUMMYFUNCTION("""COMPUTED_VALUE"""),88.83)</f>
        <v>88.83</v>
      </c>
      <c r="F201" s="141">
        <f ca="1">IFERROR(__xludf.DUMMYFUNCTION("""COMPUTED_VALUE"""),89.41)</f>
        <v>89.41</v>
      </c>
      <c r="G201" s="143">
        <f ca="1">IFERROR(__xludf.DUMMYFUNCTION("""COMPUTED_VALUE"""),14590359)</f>
        <v>14590359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IFERROR(__xludf.DUMMYFUNCTION("""COMPUTED_VALUE"""),87.29)</f>
        <v>87.29</v>
      </c>
      <c r="D202" s="141">
        <f ca="1">IFERROR(__xludf.DUMMYFUNCTION("""COMPUTED_VALUE"""),88.77)</f>
        <v>88.77</v>
      </c>
      <c r="E202" s="141">
        <f ca="1">IFERROR(__xludf.DUMMYFUNCTION("""COMPUTED_VALUE"""),86.99)</f>
        <v>86.99</v>
      </c>
      <c r="F202" s="141">
        <f ca="1">IFERROR(__xludf.DUMMYFUNCTION("""COMPUTED_VALUE"""),88.22)</f>
        <v>88.22</v>
      </c>
      <c r="G202" s="143">
        <f ca="1">IFERROR(__xludf.DUMMYFUNCTION("""COMPUTED_VALUE"""),7396191)</f>
        <v>7396191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IFERROR(__xludf.DUMMYFUNCTION("""COMPUTED_VALUE"""),88.18)</f>
        <v>88.18</v>
      </c>
      <c r="D203" s="141">
        <f ca="1">IFERROR(__xludf.DUMMYFUNCTION("""COMPUTED_VALUE"""),88.38)</f>
        <v>88.38</v>
      </c>
      <c r="E203" s="141">
        <f ca="1">IFERROR(__xludf.DUMMYFUNCTION("""COMPUTED_VALUE"""),87.79)</f>
        <v>87.79</v>
      </c>
      <c r="F203" s="141">
        <f ca="1">IFERROR(__xludf.DUMMYFUNCTION("""COMPUTED_VALUE"""),88.13)</f>
        <v>88.13</v>
      </c>
      <c r="G203" s="143">
        <f ca="1">IFERROR(__xludf.DUMMYFUNCTION("""COMPUTED_VALUE"""),4469814)</f>
        <v>4469814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IFERROR(__xludf.DUMMYFUNCTION("""COMPUTED_VALUE"""),86.78)</f>
        <v>86.78</v>
      </c>
      <c r="D204" s="141">
        <f ca="1">IFERROR(__xludf.DUMMYFUNCTION("""COMPUTED_VALUE"""),88.4)</f>
        <v>88.4</v>
      </c>
      <c r="E204" s="141">
        <f ca="1">IFERROR(__xludf.DUMMYFUNCTION("""COMPUTED_VALUE"""),86.6)</f>
        <v>86.6</v>
      </c>
      <c r="F204" s="141">
        <f ca="1">IFERROR(__xludf.DUMMYFUNCTION("""COMPUTED_VALUE"""),88.35)</f>
        <v>88.35</v>
      </c>
      <c r="G204" s="143">
        <f ca="1">IFERROR(__xludf.DUMMYFUNCTION("""COMPUTED_VALUE"""),9482436)</f>
        <v>9482436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IFERROR(__xludf.DUMMYFUNCTION("""COMPUTED_VALUE"""),88.69)</f>
        <v>88.69</v>
      </c>
      <c r="D205" s="141">
        <f ca="1">IFERROR(__xludf.DUMMYFUNCTION("""COMPUTED_VALUE"""),89.6)</f>
        <v>89.6</v>
      </c>
      <c r="E205" s="141">
        <f ca="1">IFERROR(__xludf.DUMMYFUNCTION("""COMPUTED_VALUE"""),88.66)</f>
        <v>88.66</v>
      </c>
      <c r="F205" s="141">
        <f ca="1">IFERROR(__xludf.DUMMYFUNCTION("""COMPUTED_VALUE"""),89.41)</f>
        <v>89.41</v>
      </c>
      <c r="G205" s="143">
        <f ca="1">IFERROR(__xludf.DUMMYFUNCTION("""COMPUTED_VALUE"""),9458070)</f>
        <v>9458070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IFERROR(__xludf.DUMMYFUNCTION("""COMPUTED_VALUE"""),88.91)</f>
        <v>88.91</v>
      </c>
      <c r="D206" s="141">
        <f ca="1">IFERROR(__xludf.DUMMYFUNCTION("""COMPUTED_VALUE"""),89.17)</f>
        <v>89.17</v>
      </c>
      <c r="E206" s="141">
        <f ca="1">IFERROR(__xludf.DUMMYFUNCTION("""COMPUTED_VALUE"""),88.68)</f>
        <v>88.68</v>
      </c>
      <c r="F206" s="141">
        <f ca="1">IFERROR(__xludf.DUMMYFUNCTION("""COMPUTED_VALUE"""),89.07)</f>
        <v>89.07</v>
      </c>
      <c r="G206" s="143">
        <f ca="1">IFERROR(__xludf.DUMMYFUNCTION("""COMPUTED_VALUE"""),3739941)</f>
        <v>3739941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IFERROR(__xludf.DUMMYFUNCTION("""COMPUTED_VALUE"""),89.64)</f>
        <v>89.64</v>
      </c>
      <c r="D207" s="141">
        <f ca="1">IFERROR(__xludf.DUMMYFUNCTION("""COMPUTED_VALUE"""),89.68)</f>
        <v>89.68</v>
      </c>
      <c r="E207" s="141">
        <f ca="1">IFERROR(__xludf.DUMMYFUNCTION("""COMPUTED_VALUE"""),89.09)</f>
        <v>89.09</v>
      </c>
      <c r="F207" s="141">
        <f ca="1">IFERROR(__xludf.DUMMYFUNCTION("""COMPUTED_VALUE"""),89.41)</f>
        <v>89.41</v>
      </c>
      <c r="G207" s="143">
        <f ca="1">IFERROR(__xludf.DUMMYFUNCTION("""COMPUTED_VALUE"""),3630075)</f>
        <v>3630075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IFERROR(__xludf.DUMMYFUNCTION("""COMPUTED_VALUE"""),90.03)</f>
        <v>90.03</v>
      </c>
      <c r="D208" s="141">
        <f ca="1">IFERROR(__xludf.DUMMYFUNCTION("""COMPUTED_VALUE"""),91.03)</f>
        <v>91.03</v>
      </c>
      <c r="E208" s="141">
        <f ca="1">IFERROR(__xludf.DUMMYFUNCTION("""COMPUTED_VALUE"""),89.86)</f>
        <v>89.86</v>
      </c>
      <c r="F208" s="141">
        <f ca="1">IFERROR(__xludf.DUMMYFUNCTION("""COMPUTED_VALUE"""),90.19)</f>
        <v>90.19</v>
      </c>
      <c r="G208" s="143">
        <f ca="1">IFERROR(__xludf.DUMMYFUNCTION("""COMPUTED_VALUE"""),5913820)</f>
        <v>5913820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IFERROR(__xludf.DUMMYFUNCTION("""COMPUTED_VALUE"""),89.27)</f>
        <v>89.27</v>
      </c>
      <c r="D209" s="141">
        <f ca="1">IFERROR(__xludf.DUMMYFUNCTION("""COMPUTED_VALUE"""),89.47)</f>
        <v>89.47</v>
      </c>
      <c r="E209" s="141">
        <f ca="1">IFERROR(__xludf.DUMMYFUNCTION("""COMPUTED_VALUE"""),88.81)</f>
        <v>88.81</v>
      </c>
      <c r="F209" s="141">
        <f ca="1">IFERROR(__xludf.DUMMYFUNCTION("""COMPUTED_VALUE"""),89.33)</f>
        <v>89.33</v>
      </c>
      <c r="G209" s="143">
        <f ca="1">IFERROR(__xludf.DUMMYFUNCTION("""COMPUTED_VALUE"""),5479129)</f>
        <v>5479129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IFERROR(__xludf.DUMMYFUNCTION("""COMPUTED_VALUE"""),88.18)</f>
        <v>88.18</v>
      </c>
      <c r="D210" s="141">
        <f ca="1">IFERROR(__xludf.DUMMYFUNCTION("""COMPUTED_VALUE"""),88.43)</f>
        <v>88.43</v>
      </c>
      <c r="E210" s="141">
        <f ca="1">IFERROR(__xludf.DUMMYFUNCTION("""COMPUTED_VALUE"""),86.99)</f>
        <v>86.99</v>
      </c>
      <c r="F210" s="141">
        <f ca="1">IFERROR(__xludf.DUMMYFUNCTION("""COMPUTED_VALUE"""),87.14)</f>
        <v>87.14</v>
      </c>
      <c r="G210" s="143">
        <f ca="1">IFERROR(__xludf.DUMMYFUNCTION("""COMPUTED_VALUE"""),8155038)</f>
        <v>8155038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IFERROR(__xludf.DUMMYFUNCTION("""COMPUTED_VALUE"""),87.7)</f>
        <v>87.7</v>
      </c>
      <c r="D211" s="141">
        <f ca="1">IFERROR(__xludf.DUMMYFUNCTION("""COMPUTED_VALUE"""),87.83)</f>
        <v>87.83</v>
      </c>
      <c r="E211" s="141">
        <f ca="1">IFERROR(__xludf.DUMMYFUNCTION("""COMPUTED_VALUE"""),87.38)</f>
        <v>87.38</v>
      </c>
      <c r="F211" s="141">
        <f ca="1">IFERROR(__xludf.DUMMYFUNCTION("""COMPUTED_VALUE"""),87.76)</f>
        <v>87.76</v>
      </c>
      <c r="G211" s="143">
        <f ca="1">IFERROR(__xludf.DUMMYFUNCTION("""COMPUTED_VALUE"""),3590504)</f>
        <v>3590504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IFERROR(__xludf.DUMMYFUNCTION("""COMPUTED_VALUE"""),87.49)</f>
        <v>87.49</v>
      </c>
      <c r="D212" s="141">
        <f ca="1">IFERROR(__xludf.DUMMYFUNCTION("""COMPUTED_VALUE"""),87.8)</f>
        <v>87.8</v>
      </c>
      <c r="E212" s="141">
        <f ca="1">IFERROR(__xludf.DUMMYFUNCTION("""COMPUTED_VALUE"""),86.12)</f>
        <v>86.12</v>
      </c>
      <c r="F212" s="141">
        <f ca="1">IFERROR(__xludf.DUMMYFUNCTION("""COMPUTED_VALUE"""),87.07)</f>
        <v>87.07</v>
      </c>
      <c r="G212" s="143">
        <f ca="1">IFERROR(__xludf.DUMMYFUNCTION("""COMPUTED_VALUE"""),5174787)</f>
        <v>5174787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IFERROR(__xludf.DUMMYFUNCTION("""COMPUTED_VALUE"""),86.93)</f>
        <v>86.93</v>
      </c>
      <c r="D213" s="141">
        <f ca="1">IFERROR(__xludf.DUMMYFUNCTION("""COMPUTED_VALUE"""),87.54)</f>
        <v>87.54</v>
      </c>
      <c r="E213" s="141">
        <f ca="1">IFERROR(__xludf.DUMMYFUNCTION("""COMPUTED_VALUE"""),86.67)</f>
        <v>86.67</v>
      </c>
      <c r="F213" s="141">
        <f ca="1">IFERROR(__xludf.DUMMYFUNCTION("""COMPUTED_VALUE"""),87.32)</f>
        <v>87.32</v>
      </c>
      <c r="G213" s="143">
        <f ca="1">IFERROR(__xludf.DUMMYFUNCTION("""COMPUTED_VALUE"""),5262602)</f>
        <v>5262602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IFERROR(__xludf.DUMMYFUNCTION("""COMPUTED_VALUE"""),88.03)</f>
        <v>88.03</v>
      </c>
      <c r="D214" s="141">
        <f ca="1">IFERROR(__xludf.DUMMYFUNCTION("""COMPUTED_VALUE"""),88.36)</f>
        <v>88.36</v>
      </c>
      <c r="E214" s="141">
        <f ca="1">IFERROR(__xludf.DUMMYFUNCTION("""COMPUTED_VALUE"""),87.56)</f>
        <v>87.56</v>
      </c>
      <c r="F214" s="141">
        <f ca="1">IFERROR(__xludf.DUMMYFUNCTION("""COMPUTED_VALUE"""),87.68)</f>
        <v>87.68</v>
      </c>
      <c r="G214" s="143">
        <f ca="1">IFERROR(__xludf.DUMMYFUNCTION("""COMPUTED_VALUE"""),4086342)</f>
        <v>4086342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IFERROR(__xludf.DUMMYFUNCTION("""COMPUTED_VALUE"""),87.92)</f>
        <v>87.92</v>
      </c>
      <c r="D215" s="141">
        <f ca="1">IFERROR(__xludf.DUMMYFUNCTION("""COMPUTED_VALUE"""),88.02)</f>
        <v>88.02</v>
      </c>
      <c r="E215" s="141">
        <f ca="1">IFERROR(__xludf.DUMMYFUNCTION("""COMPUTED_VALUE"""),87.32)</f>
        <v>87.32</v>
      </c>
      <c r="F215" s="141">
        <f ca="1">IFERROR(__xludf.DUMMYFUNCTION("""COMPUTED_VALUE"""),87.56)</f>
        <v>87.56</v>
      </c>
      <c r="G215" s="143">
        <f ca="1">IFERROR(__xludf.DUMMYFUNCTION("""COMPUTED_VALUE"""),5663824)</f>
        <v>5663824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IFERROR(__xludf.DUMMYFUNCTION("""COMPUTED_VALUE"""),87.16)</f>
        <v>87.16</v>
      </c>
      <c r="D216" s="141">
        <f ca="1">IFERROR(__xludf.DUMMYFUNCTION("""COMPUTED_VALUE"""),87.26)</f>
        <v>87.26</v>
      </c>
      <c r="E216" s="141">
        <f ca="1">IFERROR(__xludf.DUMMYFUNCTION("""COMPUTED_VALUE"""),86.41)</f>
        <v>86.41</v>
      </c>
      <c r="F216" s="141">
        <f ca="1">IFERROR(__xludf.DUMMYFUNCTION("""COMPUTED_VALUE"""),86.81)</f>
        <v>86.81</v>
      </c>
      <c r="G216" s="143">
        <f ca="1">IFERROR(__xludf.DUMMYFUNCTION("""COMPUTED_VALUE"""),5281567)</f>
        <v>5281567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IFERROR(__xludf.DUMMYFUNCTION("""COMPUTED_VALUE"""),88.35)</f>
        <v>88.35</v>
      </c>
      <c r="D217" s="141">
        <f ca="1">IFERROR(__xludf.DUMMYFUNCTION("""COMPUTED_VALUE"""),89.3)</f>
        <v>89.3</v>
      </c>
      <c r="E217" s="141">
        <f ca="1">IFERROR(__xludf.DUMMYFUNCTION("""COMPUTED_VALUE"""),87.92)</f>
        <v>87.92</v>
      </c>
      <c r="F217" s="141">
        <f ca="1">IFERROR(__xludf.DUMMYFUNCTION("""COMPUTED_VALUE"""),89.1)</f>
        <v>89.1</v>
      </c>
      <c r="G217" s="143">
        <f ca="1">IFERROR(__xludf.DUMMYFUNCTION("""COMPUTED_VALUE"""),12083603)</f>
        <v>12083603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IFERROR(__xludf.DUMMYFUNCTION("""COMPUTED_VALUE"""),88.21)</f>
        <v>88.21</v>
      </c>
      <c r="D218" s="141">
        <f ca="1">IFERROR(__xludf.DUMMYFUNCTION("""COMPUTED_VALUE"""),88.87)</f>
        <v>88.87</v>
      </c>
      <c r="E218" s="141">
        <f ca="1">IFERROR(__xludf.DUMMYFUNCTION("""COMPUTED_VALUE"""),87.91)</f>
        <v>87.91</v>
      </c>
      <c r="F218" s="141">
        <f ca="1">IFERROR(__xludf.DUMMYFUNCTION("""COMPUTED_VALUE"""),88.3)</f>
        <v>88.3</v>
      </c>
      <c r="G218" s="143">
        <f ca="1">IFERROR(__xludf.DUMMYFUNCTION("""COMPUTED_VALUE"""),5441149)</f>
        <v>5441149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IFERROR(__xludf.DUMMYFUNCTION("""COMPUTED_VALUE"""),88.56)</f>
        <v>88.56</v>
      </c>
      <c r="D219" s="141">
        <f ca="1">IFERROR(__xludf.DUMMYFUNCTION("""COMPUTED_VALUE"""),88.95)</f>
        <v>88.95</v>
      </c>
      <c r="E219" s="141">
        <f ca="1">IFERROR(__xludf.DUMMYFUNCTION("""COMPUTED_VALUE"""),87.78)</f>
        <v>87.78</v>
      </c>
      <c r="F219" s="141">
        <f ca="1">IFERROR(__xludf.DUMMYFUNCTION("""COMPUTED_VALUE"""),88.12)</f>
        <v>88.12</v>
      </c>
      <c r="G219" s="143">
        <f ca="1">IFERROR(__xludf.DUMMYFUNCTION("""COMPUTED_VALUE"""),4303999)</f>
        <v>4303999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IFERROR(__xludf.DUMMYFUNCTION("""COMPUTED_VALUE"""),88.6)</f>
        <v>88.6</v>
      </c>
      <c r="D220" s="141">
        <f ca="1">IFERROR(__xludf.DUMMYFUNCTION("""COMPUTED_VALUE"""),89.29)</f>
        <v>89.29</v>
      </c>
      <c r="E220" s="141">
        <f ca="1">IFERROR(__xludf.DUMMYFUNCTION("""COMPUTED_VALUE"""),88.48)</f>
        <v>88.48</v>
      </c>
      <c r="F220" s="141">
        <f ca="1">IFERROR(__xludf.DUMMYFUNCTION("""COMPUTED_VALUE"""),89.26)</f>
        <v>89.26</v>
      </c>
      <c r="G220" s="143">
        <f ca="1">IFERROR(__xludf.DUMMYFUNCTION("""COMPUTED_VALUE"""),4866022)</f>
        <v>4866022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IFERROR(__xludf.DUMMYFUNCTION("""COMPUTED_VALUE"""),91.41)</f>
        <v>91.41</v>
      </c>
      <c r="D221" s="141">
        <f ca="1">IFERROR(__xludf.DUMMYFUNCTION("""COMPUTED_VALUE"""),91.9)</f>
        <v>91.9</v>
      </c>
      <c r="E221" s="141">
        <f ca="1">IFERROR(__xludf.DUMMYFUNCTION("""COMPUTED_VALUE"""),91.22)</f>
        <v>91.22</v>
      </c>
      <c r="F221" s="141">
        <f ca="1">IFERROR(__xludf.DUMMYFUNCTION("""COMPUTED_VALUE"""),91.68)</f>
        <v>91.68</v>
      </c>
      <c r="G221" s="143">
        <f ca="1">IFERROR(__xludf.DUMMYFUNCTION("""COMPUTED_VALUE"""),5400013)</f>
        <v>5400013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IFERROR(__xludf.DUMMYFUNCTION("""COMPUTED_VALUE"""),91.78)</f>
        <v>91.78</v>
      </c>
      <c r="D222" s="141">
        <f ca="1">IFERROR(__xludf.DUMMYFUNCTION("""COMPUTED_VALUE"""),91.97)</f>
        <v>91.97</v>
      </c>
      <c r="E222" s="141">
        <f ca="1">IFERROR(__xludf.DUMMYFUNCTION("""COMPUTED_VALUE"""),90.8)</f>
        <v>90.8</v>
      </c>
      <c r="F222" s="141">
        <f ca="1">IFERROR(__xludf.DUMMYFUNCTION("""COMPUTED_VALUE"""),90.99)</f>
        <v>90.99</v>
      </c>
      <c r="G222" s="143">
        <f ca="1">IFERROR(__xludf.DUMMYFUNCTION("""COMPUTED_VALUE"""),6926130)</f>
        <v>6926130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IFERROR(__xludf.DUMMYFUNCTION("""COMPUTED_VALUE"""),92.2)</f>
        <v>92.2</v>
      </c>
      <c r="D223" s="141">
        <f ca="1">IFERROR(__xludf.DUMMYFUNCTION("""COMPUTED_VALUE"""),92.45)</f>
        <v>92.45</v>
      </c>
      <c r="E223" s="141">
        <f ca="1">IFERROR(__xludf.DUMMYFUNCTION("""COMPUTED_VALUE"""),91.82)</f>
        <v>91.82</v>
      </c>
      <c r="F223" s="141">
        <f ca="1">IFERROR(__xludf.DUMMYFUNCTION("""COMPUTED_VALUE"""),92.22)</f>
        <v>92.22</v>
      </c>
      <c r="G223" s="143">
        <f ca="1">IFERROR(__xludf.DUMMYFUNCTION("""COMPUTED_VALUE"""),4426292)</f>
        <v>4426292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IFERROR(__xludf.DUMMYFUNCTION("""COMPUTED_VALUE"""),92.08)</f>
        <v>92.08</v>
      </c>
      <c r="D224" s="141">
        <f ca="1">IFERROR(__xludf.DUMMYFUNCTION("""COMPUTED_VALUE"""),92.48)</f>
        <v>92.48</v>
      </c>
      <c r="E224" s="141">
        <f ca="1">IFERROR(__xludf.DUMMYFUNCTION("""COMPUTED_VALUE"""),92.03)</f>
        <v>92.03</v>
      </c>
      <c r="F224" s="141">
        <f ca="1">IFERROR(__xludf.DUMMYFUNCTION("""COMPUTED_VALUE"""),92.26)</f>
        <v>92.26</v>
      </c>
      <c r="G224" s="143">
        <f ca="1">IFERROR(__xludf.DUMMYFUNCTION("""COMPUTED_VALUE"""),4372678)</f>
        <v>4372678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IFERROR(__xludf.DUMMYFUNCTION("""COMPUTED_VALUE"""),92.02)</f>
        <v>92.02</v>
      </c>
      <c r="D225" s="141">
        <f ca="1">IFERROR(__xludf.DUMMYFUNCTION("""COMPUTED_VALUE"""),92.26)</f>
        <v>92.26</v>
      </c>
      <c r="E225" s="141">
        <f ca="1">IFERROR(__xludf.DUMMYFUNCTION("""COMPUTED_VALUE"""),91.36)</f>
        <v>91.36</v>
      </c>
      <c r="F225" s="141">
        <f ca="1">IFERROR(__xludf.DUMMYFUNCTION("""COMPUTED_VALUE"""),92.06)</f>
        <v>92.06</v>
      </c>
      <c r="G225" s="143">
        <f ca="1">IFERROR(__xludf.DUMMYFUNCTION("""COMPUTED_VALUE"""),6548270)</f>
        <v>6548270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IFERROR(__xludf.DUMMYFUNCTION("""COMPUTED_VALUE"""),92.69)</f>
        <v>92.69</v>
      </c>
      <c r="D226" s="141">
        <f ca="1">IFERROR(__xludf.DUMMYFUNCTION("""COMPUTED_VALUE"""),93.27)</f>
        <v>93.27</v>
      </c>
      <c r="E226" s="141">
        <f ca="1">IFERROR(__xludf.DUMMYFUNCTION("""COMPUTED_VALUE"""),92.55)</f>
        <v>92.55</v>
      </c>
      <c r="F226" s="141">
        <f ca="1">IFERROR(__xludf.DUMMYFUNCTION("""COMPUTED_VALUE"""),93.09)</f>
        <v>93.09</v>
      </c>
      <c r="G226" s="143">
        <f ca="1">IFERROR(__xludf.DUMMYFUNCTION("""COMPUTED_VALUE"""),5348341)</f>
        <v>5348341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IFERROR(__xludf.DUMMYFUNCTION("""COMPUTED_VALUE"""),92.37)</f>
        <v>92.37</v>
      </c>
      <c r="D227" s="141">
        <f ca="1">IFERROR(__xludf.DUMMYFUNCTION("""COMPUTED_VALUE"""),92.49)</f>
        <v>92.49</v>
      </c>
      <c r="E227" s="141">
        <f ca="1">IFERROR(__xludf.DUMMYFUNCTION("""COMPUTED_VALUE"""),91.97)</f>
        <v>91.97</v>
      </c>
      <c r="F227" s="141">
        <f ca="1">IFERROR(__xludf.DUMMYFUNCTION("""COMPUTED_VALUE"""),92.06)</f>
        <v>92.06</v>
      </c>
      <c r="G227" s="143">
        <f ca="1">IFERROR(__xludf.DUMMYFUNCTION("""COMPUTED_VALUE"""),7047521)</f>
        <v>7047521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IFERROR(__xludf.DUMMYFUNCTION("""COMPUTED_VALUE"""),91.09)</f>
        <v>91.09</v>
      </c>
      <c r="D228" s="141">
        <f ca="1">IFERROR(__xludf.DUMMYFUNCTION("""COMPUTED_VALUE"""),91.41)</f>
        <v>91.41</v>
      </c>
      <c r="E228" s="141">
        <f ca="1">IFERROR(__xludf.DUMMYFUNCTION("""COMPUTED_VALUE"""),90.79)</f>
        <v>90.79</v>
      </c>
      <c r="F228" s="141">
        <f ca="1">IFERROR(__xludf.DUMMYFUNCTION("""COMPUTED_VALUE"""),91.07)</f>
        <v>91.07</v>
      </c>
      <c r="G228" s="143">
        <f ca="1">IFERROR(__xludf.DUMMYFUNCTION("""COMPUTED_VALUE"""),5272000)</f>
        <v>5272000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IFERROR(__xludf.DUMMYFUNCTION("""COMPUTED_VALUE"""),91.03)</f>
        <v>91.03</v>
      </c>
      <c r="D229" s="141">
        <f ca="1">IFERROR(__xludf.DUMMYFUNCTION("""COMPUTED_VALUE"""),91.27)</f>
        <v>91.27</v>
      </c>
      <c r="E229" s="141">
        <f ca="1">IFERROR(__xludf.DUMMYFUNCTION("""COMPUTED_VALUE"""),90.23)</f>
        <v>90.23</v>
      </c>
      <c r="F229" s="141">
        <f ca="1">IFERROR(__xludf.DUMMYFUNCTION("""COMPUTED_VALUE"""),90.92)</f>
        <v>90.92</v>
      </c>
      <c r="G229" s="143">
        <f ca="1">IFERROR(__xludf.DUMMYFUNCTION("""COMPUTED_VALUE"""),8364351)</f>
        <v>8364351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IFERROR(__xludf.DUMMYFUNCTION("""COMPUTED_VALUE"""),89.99)</f>
        <v>89.99</v>
      </c>
      <c r="D230" s="141">
        <f ca="1">IFERROR(__xludf.DUMMYFUNCTION("""COMPUTED_VALUE"""),90.89)</f>
        <v>90.89</v>
      </c>
      <c r="E230" s="141">
        <f ca="1">IFERROR(__xludf.DUMMYFUNCTION("""COMPUTED_VALUE"""),89.74)</f>
        <v>89.74</v>
      </c>
      <c r="F230" s="141">
        <f ca="1">IFERROR(__xludf.DUMMYFUNCTION("""COMPUTED_VALUE"""),90.29)</f>
        <v>90.29</v>
      </c>
      <c r="G230" s="143">
        <f ca="1">IFERROR(__xludf.DUMMYFUNCTION("""COMPUTED_VALUE"""),4772823)</f>
        <v>4772823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IFERROR(__xludf.DUMMYFUNCTION("""COMPUTED_VALUE"""),89.7)</f>
        <v>89.7</v>
      </c>
      <c r="D231" s="141">
        <f ca="1">IFERROR(__xludf.DUMMYFUNCTION("""COMPUTED_VALUE"""),91.23)</f>
        <v>91.23</v>
      </c>
      <c r="E231" s="141">
        <f ca="1">IFERROR(__xludf.DUMMYFUNCTION("""COMPUTED_VALUE"""),89.59)</f>
        <v>89.59</v>
      </c>
      <c r="F231" s="141">
        <f ca="1">IFERROR(__xludf.DUMMYFUNCTION("""COMPUTED_VALUE"""),91.21)</f>
        <v>91.21</v>
      </c>
      <c r="G231" s="143">
        <f ca="1">IFERROR(__xludf.DUMMYFUNCTION("""COMPUTED_VALUE"""),6144125)</f>
        <v>6144125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IFERROR(__xludf.DUMMYFUNCTION("""COMPUTED_VALUE"""),90.18)</f>
        <v>90.18</v>
      </c>
      <c r="D232" s="141">
        <f ca="1">IFERROR(__xludf.DUMMYFUNCTION("""COMPUTED_VALUE"""),91.62)</f>
        <v>91.62</v>
      </c>
      <c r="E232" s="141">
        <f ca="1">IFERROR(__xludf.DUMMYFUNCTION("""COMPUTED_VALUE"""),89.96)</f>
        <v>89.96</v>
      </c>
      <c r="F232" s="141">
        <f ca="1">IFERROR(__xludf.DUMMYFUNCTION("""COMPUTED_VALUE"""),91.37)</f>
        <v>91.37</v>
      </c>
      <c r="G232" s="143">
        <f ca="1">IFERROR(__xludf.DUMMYFUNCTION("""COMPUTED_VALUE"""),5616939)</f>
        <v>5616939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IFERROR(__xludf.DUMMYFUNCTION("""COMPUTED_VALUE"""),91.42)</f>
        <v>91.42</v>
      </c>
      <c r="D233" s="141">
        <f ca="1">IFERROR(__xludf.DUMMYFUNCTION("""COMPUTED_VALUE"""),92.1)</f>
        <v>92.1</v>
      </c>
      <c r="E233" s="141">
        <f ca="1">IFERROR(__xludf.DUMMYFUNCTION("""COMPUTED_VALUE"""),91.29)</f>
        <v>91.29</v>
      </c>
      <c r="F233" s="141">
        <f ca="1">IFERROR(__xludf.DUMMYFUNCTION("""COMPUTED_VALUE"""),91.61)</f>
        <v>91.61</v>
      </c>
      <c r="G233" s="143">
        <f ca="1">IFERROR(__xludf.DUMMYFUNCTION("""COMPUTED_VALUE"""),4032629)</f>
        <v>4032629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IFERROR(__xludf.DUMMYFUNCTION("""COMPUTED_VALUE"""),92.98)</f>
        <v>92.98</v>
      </c>
      <c r="D234" s="141">
        <f ca="1">IFERROR(__xludf.DUMMYFUNCTION("""COMPUTED_VALUE"""),93.23)</f>
        <v>93.23</v>
      </c>
      <c r="E234" s="141">
        <f ca="1">IFERROR(__xludf.DUMMYFUNCTION("""COMPUTED_VALUE"""),92.7)</f>
        <v>92.7</v>
      </c>
      <c r="F234" s="141">
        <f ca="1">IFERROR(__xludf.DUMMYFUNCTION("""COMPUTED_VALUE"""),92.9)</f>
        <v>92.9</v>
      </c>
      <c r="G234" s="143">
        <f ca="1">IFERROR(__xludf.DUMMYFUNCTION("""COMPUTED_VALUE"""),4636808)</f>
        <v>4636808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IFERROR(__xludf.DUMMYFUNCTION("""COMPUTED_VALUE"""),92.19)</f>
        <v>92.19</v>
      </c>
      <c r="D235" s="141">
        <f ca="1">IFERROR(__xludf.DUMMYFUNCTION("""COMPUTED_VALUE"""),92.42)</f>
        <v>92.42</v>
      </c>
      <c r="E235" s="141">
        <f ca="1">IFERROR(__xludf.DUMMYFUNCTION("""COMPUTED_VALUE"""),91.93)</f>
        <v>91.93</v>
      </c>
      <c r="F235" s="141">
        <f ca="1">IFERROR(__xludf.DUMMYFUNCTION("""COMPUTED_VALUE"""),92.29)</f>
        <v>92.29</v>
      </c>
      <c r="G235" s="143">
        <f ca="1">IFERROR(__xludf.DUMMYFUNCTION("""COMPUTED_VALUE"""),4245336)</f>
        <v>4245336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IFERROR(__xludf.DUMMYFUNCTION("""COMPUTED_VALUE"""),91.86)</f>
        <v>91.86</v>
      </c>
      <c r="D236" s="141">
        <f ca="1">IFERROR(__xludf.DUMMYFUNCTION("""COMPUTED_VALUE"""),92.97)</f>
        <v>92.97</v>
      </c>
      <c r="E236" s="141">
        <f ca="1">IFERROR(__xludf.DUMMYFUNCTION("""COMPUTED_VALUE"""),91.79)</f>
        <v>91.79</v>
      </c>
      <c r="F236" s="141">
        <f ca="1">IFERROR(__xludf.DUMMYFUNCTION("""COMPUTED_VALUE"""),92.7)</f>
        <v>92.7</v>
      </c>
      <c r="G236" s="143">
        <f ca="1">IFERROR(__xludf.DUMMYFUNCTION("""COMPUTED_VALUE"""),4527726)</f>
        <v>4527726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IFERROR(__xludf.DUMMYFUNCTION("""COMPUTED_VALUE"""),92.94)</f>
        <v>92.94</v>
      </c>
      <c r="D237" s="141">
        <f ca="1">IFERROR(__xludf.DUMMYFUNCTION("""COMPUTED_VALUE"""),93.37)</f>
        <v>93.37</v>
      </c>
      <c r="E237" s="141">
        <f ca="1">IFERROR(__xludf.DUMMYFUNCTION("""COMPUTED_VALUE"""),92.61)</f>
        <v>92.61</v>
      </c>
      <c r="F237" s="141">
        <f ca="1">IFERROR(__xludf.DUMMYFUNCTION("""COMPUTED_VALUE"""),92.96)</f>
        <v>92.96</v>
      </c>
      <c r="G237" s="143">
        <f ca="1">IFERROR(__xludf.DUMMYFUNCTION("""COMPUTED_VALUE"""),5203989)</f>
        <v>5203989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IFERROR(__xludf.DUMMYFUNCTION("""COMPUTED_VALUE"""),92.77)</f>
        <v>92.77</v>
      </c>
      <c r="D238" s="141">
        <f ca="1">IFERROR(__xludf.DUMMYFUNCTION("""COMPUTED_VALUE"""),93.35)</f>
        <v>93.35</v>
      </c>
      <c r="E238" s="141">
        <f ca="1">IFERROR(__xludf.DUMMYFUNCTION("""COMPUTED_VALUE"""),91.76)</f>
        <v>91.76</v>
      </c>
      <c r="F238" s="141">
        <f ca="1">IFERROR(__xludf.DUMMYFUNCTION("""COMPUTED_VALUE"""),92.93)</f>
        <v>92.93</v>
      </c>
      <c r="G238" s="143">
        <f ca="1">IFERROR(__xludf.DUMMYFUNCTION("""COMPUTED_VALUE"""),9666643)</f>
        <v>9666643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IFERROR(__xludf.DUMMYFUNCTION("""COMPUTED_VALUE"""),92.61)</f>
        <v>92.61</v>
      </c>
      <c r="D239" s="141">
        <f ca="1">IFERROR(__xludf.DUMMYFUNCTION("""COMPUTED_VALUE"""),93.6)</f>
        <v>93.6</v>
      </c>
      <c r="E239" s="141">
        <f ca="1">IFERROR(__xludf.DUMMYFUNCTION("""COMPUTED_VALUE"""),92.61)</f>
        <v>92.61</v>
      </c>
      <c r="F239" s="141">
        <f ca="1">IFERROR(__xludf.DUMMYFUNCTION("""COMPUTED_VALUE"""),93.58)</f>
        <v>93.58</v>
      </c>
      <c r="G239" s="143">
        <f ca="1">IFERROR(__xludf.DUMMYFUNCTION("""COMPUTED_VALUE"""),4434636)</f>
        <v>4434636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IFERROR(__xludf.DUMMYFUNCTION("""COMPUTED_VALUE"""),94.25)</f>
        <v>94.25</v>
      </c>
      <c r="D240" s="141">
        <f ca="1">IFERROR(__xludf.DUMMYFUNCTION("""COMPUTED_VALUE"""),94.25)</f>
        <v>94.25</v>
      </c>
      <c r="E240" s="141">
        <f ca="1">IFERROR(__xludf.DUMMYFUNCTION("""COMPUTED_VALUE"""),93.79)</f>
        <v>93.79</v>
      </c>
      <c r="F240" s="141">
        <f ca="1">IFERROR(__xludf.DUMMYFUNCTION("""COMPUTED_VALUE"""),93.94)</f>
        <v>93.94</v>
      </c>
      <c r="G240" s="143">
        <f ca="1">IFERROR(__xludf.DUMMYFUNCTION("""COMPUTED_VALUE"""),5961242)</f>
        <v>5961242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IFERROR(__xludf.DUMMYFUNCTION("""COMPUTED_VALUE"""),93.85)</f>
        <v>93.85</v>
      </c>
      <c r="D241" s="141">
        <f ca="1">IFERROR(__xludf.DUMMYFUNCTION("""COMPUTED_VALUE"""),94.2)</f>
        <v>94.2</v>
      </c>
      <c r="E241" s="141">
        <f ca="1">IFERROR(__xludf.DUMMYFUNCTION("""COMPUTED_VALUE"""),93.41)</f>
        <v>93.41</v>
      </c>
      <c r="F241" s="141">
        <f ca="1">IFERROR(__xludf.DUMMYFUNCTION("""COMPUTED_VALUE"""),94.13)</f>
        <v>94.13</v>
      </c>
      <c r="G241" s="143">
        <f ca="1">IFERROR(__xludf.DUMMYFUNCTION("""COMPUTED_VALUE"""),3536795)</f>
        <v>3536795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IFERROR(__xludf.DUMMYFUNCTION("""COMPUTED_VALUE"""),93.13)</f>
        <v>93.13</v>
      </c>
      <c r="D242" s="141">
        <f ca="1">IFERROR(__xludf.DUMMYFUNCTION("""COMPUTED_VALUE"""),93.21)</f>
        <v>93.21</v>
      </c>
      <c r="E242" s="141">
        <f ca="1">IFERROR(__xludf.DUMMYFUNCTION("""COMPUTED_VALUE"""),90.54)</f>
        <v>90.54</v>
      </c>
      <c r="F242" s="141">
        <f ca="1">IFERROR(__xludf.DUMMYFUNCTION("""COMPUTED_VALUE"""),90.72)</f>
        <v>90.72</v>
      </c>
      <c r="G242" s="143">
        <f ca="1">IFERROR(__xludf.DUMMYFUNCTION("""COMPUTED_VALUE"""),11554083)</f>
        <v>11554083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IFERROR(__xludf.DUMMYFUNCTION("""COMPUTED_VALUE"""),91.82)</f>
        <v>91.82</v>
      </c>
      <c r="D243" s="141">
        <f ca="1">IFERROR(__xludf.DUMMYFUNCTION("""COMPUTED_VALUE"""),92.37)</f>
        <v>92.37</v>
      </c>
      <c r="E243" s="141">
        <f ca="1">IFERROR(__xludf.DUMMYFUNCTION("""COMPUTED_VALUE"""),91.75)</f>
        <v>91.75</v>
      </c>
      <c r="F243" s="141">
        <f ca="1">IFERROR(__xludf.DUMMYFUNCTION("""COMPUTED_VALUE"""),91.95)</f>
        <v>91.95</v>
      </c>
      <c r="G243" s="143">
        <f ca="1">IFERROR(__xludf.DUMMYFUNCTION("""COMPUTED_VALUE"""),9131205)</f>
        <v>9131205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IFERROR(__xludf.DUMMYFUNCTION("""COMPUTED_VALUE"""),92.23)</f>
        <v>92.23</v>
      </c>
      <c r="D244" s="141">
        <f ca="1">IFERROR(__xludf.DUMMYFUNCTION("""COMPUTED_VALUE"""),92.81)</f>
        <v>92.81</v>
      </c>
      <c r="E244" s="141">
        <f ca="1">IFERROR(__xludf.DUMMYFUNCTION("""COMPUTED_VALUE"""),89.72)</f>
        <v>89.72</v>
      </c>
      <c r="F244" s="141">
        <f ca="1">IFERROR(__xludf.DUMMYFUNCTION("""COMPUTED_VALUE"""),90.95)</f>
        <v>90.95</v>
      </c>
      <c r="G244" s="143">
        <f ca="1">IFERROR(__xludf.DUMMYFUNCTION("""COMPUTED_VALUE"""),8716571)</f>
        <v>8716571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IFERROR(__xludf.DUMMYFUNCTION("""COMPUTED_VALUE"""),89.89)</f>
        <v>89.89</v>
      </c>
      <c r="D245" s="141">
        <f ca="1">IFERROR(__xludf.DUMMYFUNCTION("""COMPUTED_VALUE"""),90.67)</f>
        <v>90.67</v>
      </c>
      <c r="E245" s="141">
        <f ca="1">IFERROR(__xludf.DUMMYFUNCTION("""COMPUTED_VALUE"""),89.17)</f>
        <v>89.17</v>
      </c>
      <c r="F245" s="141">
        <f ca="1">IFERROR(__xludf.DUMMYFUNCTION("""COMPUTED_VALUE"""),89.29)</f>
        <v>89.29</v>
      </c>
      <c r="G245" s="143">
        <f ca="1">IFERROR(__xludf.DUMMYFUNCTION("""COMPUTED_VALUE"""),8157677)</f>
        <v>8157677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IFERROR(__xludf.DUMMYFUNCTION("""COMPUTED_VALUE"""),89.98)</f>
        <v>89.98</v>
      </c>
      <c r="D246" s="141">
        <f ca="1">IFERROR(__xludf.DUMMYFUNCTION("""COMPUTED_VALUE"""),92.33)</f>
        <v>92.33</v>
      </c>
      <c r="E246" s="141">
        <f ca="1">IFERROR(__xludf.DUMMYFUNCTION("""COMPUTED_VALUE"""),89.74)</f>
        <v>89.74</v>
      </c>
      <c r="F246" s="141">
        <f ca="1">IFERROR(__xludf.DUMMYFUNCTION("""COMPUTED_VALUE"""),92.18)</f>
        <v>92.18</v>
      </c>
      <c r="G246" s="143">
        <f ca="1">IFERROR(__xludf.DUMMYFUNCTION("""COMPUTED_VALUE"""),9304684)</f>
        <v>9304684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IFERROR(__xludf.DUMMYFUNCTION("""COMPUTED_VALUE"""),92.49)</f>
        <v>92.49</v>
      </c>
      <c r="D247" s="141">
        <f ca="1">IFERROR(__xludf.DUMMYFUNCTION("""COMPUTED_VALUE"""),93.02)</f>
        <v>93.02</v>
      </c>
      <c r="E247" s="141">
        <f ca="1">IFERROR(__xludf.DUMMYFUNCTION("""COMPUTED_VALUE"""),91.78)</f>
        <v>91.78</v>
      </c>
      <c r="F247" s="141">
        <f ca="1">IFERROR(__xludf.DUMMYFUNCTION("""COMPUTED_VALUE"""),92.71)</f>
        <v>92.71</v>
      </c>
      <c r="G247" s="143">
        <f ca="1">IFERROR(__xludf.DUMMYFUNCTION("""COMPUTED_VALUE"""),4938533)</f>
        <v>4938533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IFERROR(__xludf.DUMMYFUNCTION("""COMPUTED_VALUE"""),94.19)</f>
        <v>94.19</v>
      </c>
      <c r="D248" s="141">
        <f ca="1">IFERROR(__xludf.DUMMYFUNCTION("""COMPUTED_VALUE"""),94.22)</f>
        <v>94.22</v>
      </c>
      <c r="E248" s="141">
        <f ca="1">IFERROR(__xludf.DUMMYFUNCTION("""COMPUTED_VALUE"""),93.75)</f>
        <v>93.75</v>
      </c>
      <c r="F248" s="141">
        <f ca="1">IFERROR(__xludf.DUMMYFUNCTION("""COMPUTED_VALUE"""),94.06)</f>
        <v>94.06</v>
      </c>
      <c r="G248" s="143">
        <f ca="1">IFERROR(__xludf.DUMMYFUNCTION("""COMPUTED_VALUE"""),4716161)</f>
        <v>4716161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IFERROR(__xludf.DUMMYFUNCTION("""COMPUTED_VALUE"""),94.41)</f>
        <v>94.41</v>
      </c>
      <c r="D249" s="141">
        <f ca="1">IFERROR(__xludf.DUMMYFUNCTION("""COMPUTED_VALUE"""),94.87)</f>
        <v>94.87</v>
      </c>
      <c r="E249" s="141">
        <f ca="1">IFERROR(__xludf.DUMMYFUNCTION("""COMPUTED_VALUE"""),94.05)</f>
        <v>94.05</v>
      </c>
      <c r="F249" s="141">
        <f ca="1">IFERROR(__xludf.DUMMYFUNCTION("""COMPUTED_VALUE"""),94.12)</f>
        <v>94.12</v>
      </c>
      <c r="G249" s="143">
        <f ca="1">IFERROR(__xludf.DUMMYFUNCTION("""COMPUTED_VALUE"""),5073116)</f>
        <v>5073116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IFERROR(__xludf.DUMMYFUNCTION("""COMPUTED_VALUE"""),95.19)</f>
        <v>95.19</v>
      </c>
      <c r="D250" s="141">
        <f ca="1">IFERROR(__xludf.DUMMYFUNCTION("""COMPUTED_VALUE"""),95.88)</f>
        <v>95.88</v>
      </c>
      <c r="E250" s="141">
        <f ca="1">IFERROR(__xludf.DUMMYFUNCTION("""COMPUTED_VALUE"""),94.32)</f>
        <v>94.32</v>
      </c>
      <c r="F250" s="141">
        <f ca="1">IFERROR(__xludf.DUMMYFUNCTION("""COMPUTED_VALUE"""),94.45)</f>
        <v>94.45</v>
      </c>
      <c r="G250" s="143">
        <f ca="1">IFERROR(__xludf.DUMMYFUNCTION("""COMPUTED_VALUE"""),6044799)</f>
        <v>6044799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IFERROR(__xludf.DUMMYFUNCTION("""COMPUTED_VALUE"""),96.23)</f>
        <v>96.23</v>
      </c>
      <c r="D251" s="141">
        <f ca="1">IFERROR(__xludf.DUMMYFUNCTION("""COMPUTED_VALUE"""),96.52)</f>
        <v>96.52</v>
      </c>
      <c r="E251" s="141">
        <f ca="1">IFERROR(__xludf.DUMMYFUNCTION("""COMPUTED_VALUE"""),95.98)</f>
        <v>95.98</v>
      </c>
      <c r="F251" s="141">
        <f ca="1">IFERROR(__xludf.DUMMYFUNCTION("""COMPUTED_VALUE"""),96.26)</f>
        <v>96.26</v>
      </c>
      <c r="G251" s="143">
        <f ca="1">IFERROR(__xludf.DUMMYFUNCTION("""COMPUTED_VALUE"""),5965374)</f>
        <v>5965374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IFERROR(__xludf.DUMMYFUNCTION("""COMPUTED_VALUE"""),96.84)</f>
        <v>96.84</v>
      </c>
      <c r="D252" s="141">
        <f ca="1">IFERROR(__xludf.DUMMYFUNCTION("""COMPUTED_VALUE"""),97.52)</f>
        <v>97.52</v>
      </c>
      <c r="E252" s="141">
        <f ca="1">IFERROR(__xludf.DUMMYFUNCTION("""COMPUTED_VALUE"""),96.75)</f>
        <v>96.75</v>
      </c>
      <c r="F252" s="141">
        <f ca="1">IFERROR(__xludf.DUMMYFUNCTION("""COMPUTED_VALUE"""),96.97)</f>
        <v>96.97</v>
      </c>
      <c r="G252" s="143">
        <f ca="1">IFERROR(__xludf.DUMMYFUNCTION("""COMPUTED_VALUE"""),3231114)</f>
        <v>3231114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IFERROR(__xludf.DUMMYFUNCTION("""COMPUTED_VALUE"""),92.47)</f>
        <v>92.47</v>
      </c>
      <c r="D253" s="141">
        <f ca="1">IFERROR(__xludf.DUMMYFUNCTION("""COMPUTED_VALUE"""),93.34)</f>
        <v>93.34</v>
      </c>
      <c r="E253" s="141">
        <f ca="1">IFERROR(__xludf.DUMMYFUNCTION("""COMPUTED_VALUE"""),92.09)</f>
        <v>92.09</v>
      </c>
      <c r="F253" s="141">
        <f ca="1">IFERROR(__xludf.DUMMYFUNCTION("""COMPUTED_VALUE"""),92.75)</f>
        <v>92.75</v>
      </c>
      <c r="G253" s="143">
        <f ca="1">IFERROR(__xludf.DUMMYFUNCTION("""COMPUTED_VALUE"""),11166723)</f>
        <v>11166723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IFERROR(__xludf.DUMMYFUNCTION("""COMPUTED_VALUE"""),92.57)</f>
        <v>92.57</v>
      </c>
      <c r="D254" s="141">
        <f ca="1">IFERROR(__xludf.DUMMYFUNCTION("""COMPUTED_VALUE"""),93.03)</f>
        <v>93.03</v>
      </c>
      <c r="E254" s="141">
        <f ca="1">IFERROR(__xludf.DUMMYFUNCTION("""COMPUTED_VALUE"""),92.2)</f>
        <v>92.2</v>
      </c>
      <c r="F254" s="141">
        <f ca="1">IFERROR(__xludf.DUMMYFUNCTION("""COMPUTED_VALUE"""),92.61)</f>
        <v>92.61</v>
      </c>
      <c r="G254" s="143">
        <f ca="1">IFERROR(__xludf.DUMMYFUNCTION("""COMPUTED_VALUE"""),4900230)</f>
        <v>4900230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IFERROR(__xludf.DUMMYFUNCTION("""COMPUTED_VALUE"""),94.07)</f>
        <v>94.07</v>
      </c>
      <c r="D255" s="141">
        <f ca="1">IFERROR(__xludf.DUMMYFUNCTION("""COMPUTED_VALUE"""),94.24)</f>
        <v>94.24</v>
      </c>
      <c r="E255" s="141">
        <f ca="1">IFERROR(__xludf.DUMMYFUNCTION("""COMPUTED_VALUE"""),93.04)</f>
        <v>93.04</v>
      </c>
      <c r="F255" s="141">
        <f ca="1">IFERROR(__xludf.DUMMYFUNCTION("""COMPUTED_VALUE"""),93.39)</f>
        <v>93.39</v>
      </c>
      <c r="G255" s="143">
        <f ca="1">IFERROR(__xludf.DUMMYFUNCTION("""COMPUTED_VALUE"""),4853544)</f>
        <v>4853544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IFERROR(__xludf.DUMMYFUNCTION("""COMPUTED_VALUE"""),92.47)</f>
        <v>92.47</v>
      </c>
      <c r="D256" s="141">
        <f ca="1">IFERROR(__xludf.DUMMYFUNCTION("""COMPUTED_VALUE"""),93.28)</f>
        <v>93.28</v>
      </c>
      <c r="E256" s="141">
        <f ca="1">IFERROR(__xludf.DUMMYFUNCTION("""COMPUTED_VALUE"""),92.32)</f>
        <v>92.32</v>
      </c>
      <c r="F256" s="141">
        <f ca="1">IFERROR(__xludf.DUMMYFUNCTION("""COMPUTED_VALUE"""),92.8)</f>
        <v>92.8</v>
      </c>
      <c r="G256" s="143">
        <f ca="1">IFERROR(__xludf.DUMMYFUNCTION("""COMPUTED_VALUE"""),4060790)</f>
        <v>4060790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IFERROR(__xludf.DUMMYFUNCTION("""COMPUTED_VALUE"""),92.62)</f>
        <v>92.62</v>
      </c>
      <c r="D257" s="141">
        <f ca="1">IFERROR(__xludf.DUMMYFUNCTION("""COMPUTED_VALUE"""),93.24)</f>
        <v>93.24</v>
      </c>
      <c r="E257" s="141">
        <f ca="1">IFERROR(__xludf.DUMMYFUNCTION("""COMPUTED_VALUE"""),91.71)</f>
        <v>91.71</v>
      </c>
      <c r="F257" s="141">
        <f ca="1">IFERROR(__xludf.DUMMYFUNCTION("""COMPUTED_VALUE"""),93.21)</f>
        <v>93.21</v>
      </c>
      <c r="G257" s="143">
        <f ca="1">IFERROR(__xludf.DUMMYFUNCTION("""COMPUTED_VALUE"""),6358873)</f>
        <v>6358873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IFERROR(__xludf.DUMMYFUNCTION("""COMPUTED_VALUE"""),92.72)</f>
        <v>92.72</v>
      </c>
      <c r="D258" s="141">
        <f ca="1">IFERROR(__xludf.DUMMYFUNCTION("""COMPUTED_VALUE"""),93.48)</f>
        <v>93.48</v>
      </c>
      <c r="E258" s="141">
        <f ca="1">IFERROR(__xludf.DUMMYFUNCTION("""COMPUTED_VALUE"""),92.63)</f>
        <v>92.63</v>
      </c>
      <c r="F258" s="141">
        <f ca="1">IFERROR(__xludf.DUMMYFUNCTION("""COMPUTED_VALUE"""),93.27)</f>
        <v>93.27</v>
      </c>
      <c r="G258" s="143">
        <f ca="1">IFERROR(__xludf.DUMMYFUNCTION("""COMPUTED_VALUE"""),3669911)</f>
        <v>3669911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IFERROR(__xludf.DUMMYFUNCTION("""COMPUTED_VALUE"""),93.4)</f>
        <v>93.4</v>
      </c>
      <c r="D259" s="141">
        <f ca="1">IFERROR(__xludf.DUMMYFUNCTION("""COMPUTED_VALUE"""),93.74)</f>
        <v>93.74</v>
      </c>
      <c r="E259" s="141">
        <f ca="1">IFERROR(__xludf.DUMMYFUNCTION("""COMPUTED_VALUE"""),93.01)</f>
        <v>93.01</v>
      </c>
      <c r="F259" s="141">
        <f ca="1">IFERROR(__xludf.DUMMYFUNCTION("""COMPUTED_VALUE"""),93.05)</f>
        <v>93.05</v>
      </c>
      <c r="G259" s="143">
        <f ca="1">IFERROR(__xludf.DUMMYFUNCTION("""COMPUTED_VALUE"""),8458272)</f>
        <v>8458272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IFERROR(__xludf.DUMMYFUNCTION("""COMPUTED_VALUE"""),93.95)</f>
        <v>93.95</v>
      </c>
      <c r="D260" s="141">
        <f ca="1">IFERROR(__xludf.DUMMYFUNCTION("""COMPUTED_VALUE"""),94.52)</f>
        <v>94.52</v>
      </c>
      <c r="E260" s="141">
        <f ca="1">IFERROR(__xludf.DUMMYFUNCTION("""COMPUTED_VALUE"""),92.38)</f>
        <v>92.38</v>
      </c>
      <c r="F260" s="141">
        <f ca="1">IFERROR(__xludf.DUMMYFUNCTION("""COMPUTED_VALUE"""),93.14)</f>
        <v>93.14</v>
      </c>
      <c r="G260" s="143">
        <f ca="1">IFERROR(__xludf.DUMMYFUNCTION("""COMPUTED_VALUE"""),7935074)</f>
        <v>7935074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IFERROR(__xludf.DUMMYFUNCTION("""COMPUTED_VALUE"""),94.68)</f>
        <v>94.68</v>
      </c>
      <c r="D261" s="141">
        <f ca="1">IFERROR(__xludf.DUMMYFUNCTION("""COMPUTED_VALUE"""),95.36)</f>
        <v>95.36</v>
      </c>
      <c r="E261" s="141">
        <f ca="1">IFERROR(__xludf.DUMMYFUNCTION("""COMPUTED_VALUE"""),94.56)</f>
        <v>94.56</v>
      </c>
      <c r="F261" s="141">
        <f ca="1">IFERROR(__xludf.DUMMYFUNCTION("""COMPUTED_VALUE"""),95.27)</f>
        <v>95.27</v>
      </c>
      <c r="G261" s="143">
        <f ca="1">IFERROR(__xludf.DUMMYFUNCTION("""COMPUTED_VALUE"""),4368952)</f>
        <v>4368952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IFERROR(__xludf.DUMMYFUNCTION("""COMPUTED_VALUE"""),93.93)</f>
        <v>93.93</v>
      </c>
      <c r="D262" s="141">
        <f ca="1">IFERROR(__xludf.DUMMYFUNCTION("""COMPUTED_VALUE"""),94.11)</f>
        <v>94.11</v>
      </c>
      <c r="E262" s="141">
        <f ca="1">IFERROR(__xludf.DUMMYFUNCTION("""COMPUTED_VALUE"""),92.8)</f>
        <v>92.8</v>
      </c>
      <c r="F262" s="141">
        <f ca="1">IFERROR(__xludf.DUMMYFUNCTION("""COMPUTED_VALUE"""),93.07)</f>
        <v>93.07</v>
      </c>
      <c r="G262" s="143">
        <f ca="1">IFERROR(__xludf.DUMMYFUNCTION("""COMPUTED_VALUE"""),6034196)</f>
        <v>6034196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IFERROR(__xludf.DUMMYFUNCTION("""COMPUTED_VALUE"""),91.52)</f>
        <v>91.52</v>
      </c>
      <c r="D263" s="141">
        <f ca="1">IFERROR(__xludf.DUMMYFUNCTION("""COMPUTED_VALUE"""),92.58)</f>
        <v>92.58</v>
      </c>
      <c r="E263" s="141">
        <f ca="1">IFERROR(__xludf.DUMMYFUNCTION("""COMPUTED_VALUE"""),91.19)</f>
        <v>91.19</v>
      </c>
      <c r="F263" s="141">
        <f ca="1">IFERROR(__xludf.DUMMYFUNCTION("""COMPUTED_VALUE"""),92.54)</f>
        <v>92.54</v>
      </c>
      <c r="G263" s="143">
        <f ca="1">IFERROR(__xludf.DUMMYFUNCTION("""COMPUTED_VALUE"""),5290571)</f>
        <v>5290571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IFERROR(__xludf.DUMMYFUNCTION("""COMPUTED_VALUE"""),92.91)</f>
        <v>92.91</v>
      </c>
      <c r="D264" s="141">
        <f ca="1">IFERROR(__xludf.DUMMYFUNCTION("""COMPUTED_VALUE"""),93.69)</f>
        <v>93.69</v>
      </c>
      <c r="E264" s="141">
        <f ca="1">IFERROR(__xludf.DUMMYFUNCTION("""COMPUTED_VALUE"""),92.89)</f>
        <v>92.89</v>
      </c>
      <c r="F264" s="141">
        <f ca="1">IFERROR(__xludf.DUMMYFUNCTION("""COMPUTED_VALUE"""),93.52)</f>
        <v>93.52</v>
      </c>
      <c r="G264" s="143">
        <f ca="1">IFERROR(__xludf.DUMMYFUNCTION("""COMPUTED_VALUE"""),5665057)</f>
        <v>5665057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IFERROR(__xludf.DUMMYFUNCTION("""COMPUTED_VALUE"""),94.11)</f>
        <v>94.11</v>
      </c>
      <c r="D265" s="141">
        <f ca="1">IFERROR(__xludf.DUMMYFUNCTION("""COMPUTED_VALUE"""),94.75)</f>
        <v>94.75</v>
      </c>
      <c r="E265" s="141">
        <f ca="1">IFERROR(__xludf.DUMMYFUNCTION("""COMPUTED_VALUE"""),93.57)</f>
        <v>93.57</v>
      </c>
      <c r="F265" s="141">
        <f ca="1">IFERROR(__xludf.DUMMYFUNCTION("""COMPUTED_VALUE"""),94.55)</f>
        <v>94.55</v>
      </c>
      <c r="G265" s="143">
        <f ca="1">IFERROR(__xludf.DUMMYFUNCTION("""COMPUTED_VALUE"""),3208682)</f>
        <v>3208682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IFERROR(__xludf.DUMMYFUNCTION("""COMPUTED_VALUE"""),93.07)</f>
        <v>93.07</v>
      </c>
      <c r="D266" s="141">
        <f ca="1">IFERROR(__xludf.DUMMYFUNCTION("""COMPUTED_VALUE"""),93.37)</f>
        <v>93.37</v>
      </c>
      <c r="E266" s="141">
        <f ca="1">IFERROR(__xludf.DUMMYFUNCTION("""COMPUTED_VALUE"""),92.51)</f>
        <v>92.51</v>
      </c>
      <c r="F266" s="141">
        <f ca="1">IFERROR(__xludf.DUMMYFUNCTION("""COMPUTED_VALUE"""),92.72)</f>
        <v>92.72</v>
      </c>
      <c r="G266" s="143">
        <f ca="1">IFERROR(__xludf.DUMMYFUNCTION("""COMPUTED_VALUE"""),3741616)</f>
        <v>3741616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IFERROR(__xludf.DUMMYFUNCTION("""COMPUTED_VALUE"""),94.17)</f>
        <v>94.17</v>
      </c>
      <c r="D267" s="141">
        <f ca="1">IFERROR(__xludf.DUMMYFUNCTION("""COMPUTED_VALUE"""),94.78)</f>
        <v>94.78</v>
      </c>
      <c r="E267" s="141">
        <f ca="1">IFERROR(__xludf.DUMMYFUNCTION("""COMPUTED_VALUE"""),93.75)</f>
        <v>93.75</v>
      </c>
      <c r="F267" s="141">
        <f ca="1">IFERROR(__xludf.DUMMYFUNCTION("""COMPUTED_VALUE"""),93.89)</f>
        <v>93.89</v>
      </c>
      <c r="G267" s="143">
        <f ca="1">IFERROR(__xludf.DUMMYFUNCTION("""COMPUTED_VALUE"""),4475744)</f>
        <v>4475744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IFERROR(__xludf.DUMMYFUNCTION("""COMPUTED_VALUE"""),93.9)</f>
        <v>93.9</v>
      </c>
      <c r="D268" s="141">
        <f ca="1">IFERROR(__xludf.DUMMYFUNCTION("""COMPUTED_VALUE"""),94.04)</f>
        <v>94.04</v>
      </c>
      <c r="E268" s="141">
        <f ca="1">IFERROR(__xludf.DUMMYFUNCTION("""COMPUTED_VALUE"""),92.78)</f>
        <v>92.78</v>
      </c>
      <c r="F268" s="141">
        <f ca="1">IFERROR(__xludf.DUMMYFUNCTION("""COMPUTED_VALUE"""),93.5)</f>
        <v>93.5</v>
      </c>
      <c r="G268" s="143">
        <f ca="1">IFERROR(__xludf.DUMMYFUNCTION("""COMPUTED_VALUE"""),4838238)</f>
        <v>4838238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IFERROR(__xludf.DUMMYFUNCTION("""COMPUTED_VALUE"""),92.04)</f>
        <v>92.04</v>
      </c>
      <c r="D269" s="141">
        <f ca="1">IFERROR(__xludf.DUMMYFUNCTION("""COMPUTED_VALUE"""),92.47)</f>
        <v>92.47</v>
      </c>
      <c r="E269" s="141">
        <f ca="1">IFERROR(__xludf.DUMMYFUNCTION("""COMPUTED_VALUE"""),91.62)</f>
        <v>91.62</v>
      </c>
      <c r="F269" s="141">
        <f ca="1">IFERROR(__xludf.DUMMYFUNCTION("""COMPUTED_VALUE"""),91.91)</f>
        <v>91.91</v>
      </c>
      <c r="G269" s="143">
        <f ca="1">IFERROR(__xludf.DUMMYFUNCTION("""COMPUTED_VALUE"""),3334893)</f>
        <v>3334893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IFERROR(__xludf.DUMMYFUNCTION("""COMPUTED_VALUE"""),89.24)</f>
        <v>89.24</v>
      </c>
      <c r="D270" s="141">
        <f ca="1">IFERROR(__xludf.DUMMYFUNCTION("""COMPUTED_VALUE"""),90.65)</f>
        <v>90.65</v>
      </c>
      <c r="E270" s="141">
        <f ca="1">IFERROR(__xludf.DUMMYFUNCTION("""COMPUTED_VALUE"""),89.16)</f>
        <v>89.16</v>
      </c>
      <c r="F270" s="141">
        <f ca="1">IFERROR(__xludf.DUMMYFUNCTION("""COMPUTED_VALUE"""),90.49)</f>
        <v>90.49</v>
      </c>
      <c r="G270" s="143">
        <f ca="1">IFERROR(__xludf.DUMMYFUNCTION("""COMPUTED_VALUE"""),8287545)</f>
        <v>8287545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IFERROR(__xludf.DUMMYFUNCTION("""COMPUTED_VALUE"""),90.88)</f>
        <v>90.88</v>
      </c>
      <c r="D271" s="141">
        <f ca="1">IFERROR(__xludf.DUMMYFUNCTION("""COMPUTED_VALUE"""),91.21)</f>
        <v>91.21</v>
      </c>
      <c r="E271" s="141">
        <f ca="1">IFERROR(__xludf.DUMMYFUNCTION("""COMPUTED_VALUE"""),90.38)</f>
        <v>90.38</v>
      </c>
      <c r="F271" s="141">
        <f ca="1">IFERROR(__xludf.DUMMYFUNCTION("""COMPUTED_VALUE"""),90.43)</f>
        <v>90.43</v>
      </c>
      <c r="G271" s="143">
        <f ca="1">IFERROR(__xludf.DUMMYFUNCTION("""COMPUTED_VALUE"""),3362686)</f>
        <v>3362686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IFERROR(__xludf.DUMMYFUNCTION("""COMPUTED_VALUE"""),92.08)</f>
        <v>92.08</v>
      </c>
      <c r="D272" s="141">
        <f ca="1">IFERROR(__xludf.DUMMYFUNCTION("""COMPUTED_VALUE"""),92.97)</f>
        <v>92.97</v>
      </c>
      <c r="E272" s="141">
        <f ca="1">IFERROR(__xludf.DUMMYFUNCTION("""COMPUTED_VALUE"""),91.71)</f>
        <v>91.71</v>
      </c>
      <c r="F272" s="141">
        <f ca="1">IFERROR(__xludf.DUMMYFUNCTION("""COMPUTED_VALUE"""),92.74)</f>
        <v>92.74</v>
      </c>
      <c r="G272" s="143">
        <f ca="1">IFERROR(__xludf.DUMMYFUNCTION("""COMPUTED_VALUE"""),6375560)</f>
        <v>6375560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IFERROR(__xludf.DUMMYFUNCTION("""COMPUTED_VALUE"""),91.88)</f>
        <v>91.88</v>
      </c>
      <c r="D273" s="141">
        <f ca="1">IFERROR(__xludf.DUMMYFUNCTION("""COMPUTED_VALUE"""),92.55)</f>
        <v>92.55</v>
      </c>
      <c r="E273" s="141">
        <f ca="1">IFERROR(__xludf.DUMMYFUNCTION("""COMPUTED_VALUE"""),91.88)</f>
        <v>91.88</v>
      </c>
      <c r="F273" s="141">
        <f ca="1">IFERROR(__xludf.DUMMYFUNCTION("""COMPUTED_VALUE"""),92.19)</f>
        <v>92.19</v>
      </c>
      <c r="G273" s="143">
        <f ca="1">IFERROR(__xludf.DUMMYFUNCTION("""COMPUTED_VALUE"""),3433638)</f>
        <v>3433638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IFERROR(__xludf.DUMMYFUNCTION("""COMPUTED_VALUE"""),91.47)</f>
        <v>91.47</v>
      </c>
      <c r="D274" s="141">
        <f ca="1">IFERROR(__xludf.DUMMYFUNCTION("""COMPUTED_VALUE"""),91.87)</f>
        <v>91.87</v>
      </c>
      <c r="E274" s="141">
        <f ca="1">IFERROR(__xludf.DUMMYFUNCTION("""COMPUTED_VALUE"""),90.64)</f>
        <v>90.64</v>
      </c>
      <c r="F274" s="141">
        <f ca="1">IFERROR(__xludf.DUMMYFUNCTION("""COMPUTED_VALUE"""),91.1)</f>
        <v>91.1</v>
      </c>
      <c r="G274" s="143">
        <f ca="1">IFERROR(__xludf.DUMMYFUNCTION("""COMPUTED_VALUE"""),4430550)</f>
        <v>4430550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IFERROR(__xludf.DUMMYFUNCTION("""COMPUTED_VALUE"""),91.46)</f>
        <v>91.46</v>
      </c>
      <c r="D275" s="141">
        <f ca="1">IFERROR(__xludf.DUMMYFUNCTION("""COMPUTED_VALUE"""),91.92)</f>
        <v>91.92</v>
      </c>
      <c r="E275" s="141">
        <f ca="1">IFERROR(__xludf.DUMMYFUNCTION("""COMPUTED_VALUE"""),91.06)</f>
        <v>91.06</v>
      </c>
      <c r="F275" s="141">
        <f ca="1">IFERROR(__xludf.DUMMYFUNCTION("""COMPUTED_VALUE"""),91.21)</f>
        <v>91.21</v>
      </c>
      <c r="G275" s="143">
        <f ca="1">IFERROR(__xludf.DUMMYFUNCTION("""COMPUTED_VALUE"""),3092111)</f>
        <v>3092111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IFERROR(__xludf.DUMMYFUNCTION("""COMPUTED_VALUE"""),92.24)</f>
        <v>92.24</v>
      </c>
      <c r="D276" s="141">
        <f ca="1">IFERROR(__xludf.DUMMYFUNCTION("""COMPUTED_VALUE"""),92.4)</f>
        <v>92.4</v>
      </c>
      <c r="E276" s="141">
        <f ca="1">IFERROR(__xludf.DUMMYFUNCTION("""COMPUTED_VALUE"""),90.87)</f>
        <v>90.87</v>
      </c>
      <c r="F276" s="141">
        <f ca="1">IFERROR(__xludf.DUMMYFUNCTION("""COMPUTED_VALUE"""),91.51)</f>
        <v>91.51</v>
      </c>
      <c r="G276" s="143">
        <f ca="1">IFERROR(__xludf.DUMMYFUNCTION("""COMPUTED_VALUE"""),2493135)</f>
        <v>2493135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IFERROR(__xludf.DUMMYFUNCTION("""COMPUTED_VALUE"""),89.36)</f>
        <v>89.36</v>
      </c>
      <c r="D277" s="141">
        <f ca="1">IFERROR(__xludf.DUMMYFUNCTION("""COMPUTED_VALUE"""),90.33)</f>
        <v>90.33</v>
      </c>
      <c r="E277" s="141">
        <f ca="1">IFERROR(__xludf.DUMMYFUNCTION("""COMPUTED_VALUE"""),89.29)</f>
        <v>89.29</v>
      </c>
      <c r="F277" s="141">
        <f ca="1">IFERROR(__xludf.DUMMYFUNCTION("""COMPUTED_VALUE"""),89.83)</f>
        <v>89.83</v>
      </c>
      <c r="G277" s="143">
        <f ca="1">IFERROR(__xludf.DUMMYFUNCTION("""COMPUTED_VALUE"""),5323501)</f>
        <v>5323501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IFERROR(__xludf.DUMMYFUNCTION("""COMPUTED_VALUE"""),89.94)</f>
        <v>89.94</v>
      </c>
      <c r="D278" s="141">
        <f ca="1">IFERROR(__xludf.DUMMYFUNCTION("""COMPUTED_VALUE"""),91.16)</f>
        <v>91.16</v>
      </c>
      <c r="E278" s="141">
        <f ca="1">IFERROR(__xludf.DUMMYFUNCTION("""COMPUTED_VALUE"""),89.09)</f>
        <v>89.09</v>
      </c>
      <c r="F278" s="141">
        <f ca="1">IFERROR(__xludf.DUMMYFUNCTION("""COMPUTED_VALUE"""),89.35)</f>
        <v>89.35</v>
      </c>
      <c r="G278" s="143">
        <f ca="1">IFERROR(__xludf.DUMMYFUNCTION("""COMPUTED_VALUE"""),5485806)</f>
        <v>5485806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19" priority="5" operator="lessThan">
      <formula>0</formula>
    </cfRule>
    <cfRule type="cellIs" dxfId="118" priority="6" operator="greaterThan">
      <formula>0</formula>
    </cfRule>
  </conditionalFormatting>
  <conditionalFormatting sqref="F28:F1000">
    <cfRule type="expression" dxfId="117" priority="1">
      <formula>AND(F28=MAX(F$28:F$1000),F28&gt;0)</formula>
    </cfRule>
    <cfRule type="expression" dxfId="116" priority="2">
      <formula>AND(F28=MIN(F$28:F$1000),F28&gt;0)</formula>
    </cfRule>
  </conditionalFormatting>
  <conditionalFormatting sqref="F29:F1000">
    <cfRule type="expression" dxfId="115" priority="3">
      <formula>F29&gt;F27</formula>
    </cfRule>
    <cfRule type="expression" dxfId="114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600-000000000000}">
      <formula1>"1 Month,3 Months,6 Months,12 Months,36 Months"</formula1>
    </dataValidation>
  </dataValidations>
  <hyperlinks>
    <hyperlink ref="G2" r:id="rId1" xr:uid="{00000000-0004-0000-0600-000000000000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142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Russell 2000 ETF")</f>
        <v>iShares Russell 2000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IFERROR(__xludf.DUMMYFUNCTION("GOOGLEFINANCE(B18,""price"")"),288.57)</f>
        <v>288.57</v>
      </c>
      <c r="C10" s="322"/>
      <c r="D10" s="100">
        <f ca="1">IFERROR(__xludf.DUMMYFUNCTION("IFERROR(GOOGLEFINANCE(B18,""change""),""-"")"),-4.8)</f>
        <v>-4.8</v>
      </c>
      <c r="E10" s="103">
        <f ca="1">IFERROR(__xludf.DUMMYFUNCTION("IFERROR(GOOGLEFINANCE(B18,""changepct"")/100,""-"")"),-0.0163999999999999)</f>
        <v>-1.6399999999999901E-2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IFERROR(__xludf.DUMMYFUNCTION("IFERROR(GOOGLEFINANCE(B18,""marketcap""),""-"")"),81059315057)</f>
        <v>81059315057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iwm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IFERROR(__xludf.DUMMYFUNCTION("""COMPUTED_VALUE"""),223.66)</f>
        <v>223.66</v>
      </c>
      <c r="D28" s="141">
        <f ca="1">IFERROR(__xludf.DUMMYFUNCTION("""COMPUTED_VALUE"""),224.93)</f>
        <v>224.93</v>
      </c>
      <c r="E28" s="141">
        <f ca="1">IFERROR(__xludf.DUMMYFUNCTION("""COMPUTED_VALUE"""),220.12)</f>
        <v>220.12</v>
      </c>
      <c r="F28" s="141">
        <f ca="1">IFERROR(__xludf.DUMMYFUNCTION("""COMPUTED_VALUE"""),221.56)</f>
        <v>221.56</v>
      </c>
      <c r="G28" s="143">
        <f ca="1">IFERROR(__xludf.DUMMYFUNCTION("""COMPUTED_VALUE"""),48924406)</f>
        <v>48924406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IFERROR(__xludf.DUMMYFUNCTION("""COMPUTED_VALUE"""),220.46)</f>
        <v>220.46</v>
      </c>
      <c r="D29" s="141">
        <f ca="1">IFERROR(__xludf.DUMMYFUNCTION("""COMPUTED_VALUE"""),222.02)</f>
        <v>222.02</v>
      </c>
      <c r="E29" s="141">
        <f ca="1">IFERROR(__xludf.DUMMYFUNCTION("""COMPUTED_VALUE"""),218.88)</f>
        <v>218.88</v>
      </c>
      <c r="F29" s="141">
        <f ca="1">IFERROR(__xludf.DUMMYFUNCTION("""COMPUTED_VALUE"""),219.39)</f>
        <v>219.39</v>
      </c>
      <c r="G29" s="143">
        <f ca="1">IFERROR(__xludf.DUMMYFUNCTION("""COMPUTED_VALUE"""),42913929)</f>
        <v>42913929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IFERROR(__xludf.DUMMYFUNCTION("""COMPUTED_VALUE"""),216.22)</f>
        <v>216.22</v>
      </c>
      <c r="D30" s="141">
        <f ca="1">IFERROR(__xludf.DUMMYFUNCTION("""COMPUTED_VALUE"""),216.56)</f>
        <v>216.56</v>
      </c>
      <c r="E30" s="141">
        <f ca="1">IFERROR(__xludf.DUMMYFUNCTION("""COMPUTED_VALUE"""),212.34)</f>
        <v>212.34</v>
      </c>
      <c r="F30" s="141">
        <f ca="1">IFERROR(__xludf.DUMMYFUNCTION("""COMPUTED_VALUE"""),214.92)</f>
        <v>214.92</v>
      </c>
      <c r="G30" s="143">
        <f ca="1">IFERROR(__xludf.DUMMYFUNCTION("""COMPUTED_VALUE"""),63854124)</f>
        <v>63854124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IFERROR(__xludf.DUMMYFUNCTION("""COMPUTED_VALUE"""),216.55)</f>
        <v>216.55</v>
      </c>
      <c r="D31" s="141">
        <f ca="1">IFERROR(__xludf.DUMMYFUNCTION("""COMPUTED_VALUE"""),219.74)</f>
        <v>219.74</v>
      </c>
      <c r="E31" s="141">
        <f ca="1">IFERROR(__xludf.DUMMYFUNCTION("""COMPUTED_VALUE"""),216.08)</f>
        <v>216.08</v>
      </c>
      <c r="F31" s="141">
        <f ca="1">IFERROR(__xludf.DUMMYFUNCTION("""COMPUTED_VALUE"""),219.73)</f>
        <v>219.73</v>
      </c>
      <c r="G31" s="143">
        <f ca="1">IFERROR(__xludf.DUMMYFUNCTION("""COMPUTED_VALUE"""),34989623)</f>
        <v>34989623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IFERROR(__xludf.DUMMYFUNCTION("""COMPUTED_VALUE"""),220.56)</f>
        <v>220.56</v>
      </c>
      <c r="D32" s="141">
        <f ca="1">IFERROR(__xludf.DUMMYFUNCTION("""COMPUTED_VALUE"""),221.26)</f>
        <v>221.26</v>
      </c>
      <c r="E32" s="141">
        <f ca="1">IFERROR(__xludf.DUMMYFUNCTION("""COMPUTED_VALUE"""),218.24)</f>
        <v>218.24</v>
      </c>
      <c r="F32" s="141">
        <f ca="1">IFERROR(__xludf.DUMMYFUNCTION("""COMPUTED_VALUE"""),220.85)</f>
        <v>220.85</v>
      </c>
      <c r="G32" s="143">
        <f ca="1">IFERROR(__xludf.DUMMYFUNCTION("""COMPUTED_VALUE"""),31337056)</f>
        <v>31337056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IFERROR(__xludf.DUMMYFUNCTION("""COMPUTED_VALUE"""),220.95)</f>
        <v>220.95</v>
      </c>
      <c r="D33" s="141">
        <f ca="1">IFERROR(__xludf.DUMMYFUNCTION("""COMPUTED_VALUE"""),220.99)</f>
        <v>220.99</v>
      </c>
      <c r="E33" s="141">
        <f ca="1">IFERROR(__xludf.DUMMYFUNCTION("""COMPUTED_VALUE"""),219.38)</f>
        <v>219.38</v>
      </c>
      <c r="F33" s="141">
        <f ca="1">IFERROR(__xludf.DUMMYFUNCTION("""COMPUTED_VALUE"""),220.56)</f>
        <v>220.56</v>
      </c>
      <c r="G33" s="143">
        <f ca="1">IFERROR(__xludf.DUMMYFUNCTION("""COMPUTED_VALUE"""),23142100)</f>
        <v>23142100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IFERROR(__xludf.DUMMYFUNCTION("""COMPUTED_VALUE"""),222.76)</f>
        <v>222.76</v>
      </c>
      <c r="D34" s="141">
        <f ca="1">IFERROR(__xludf.DUMMYFUNCTION("""COMPUTED_VALUE"""),222.84)</f>
        <v>222.84</v>
      </c>
      <c r="E34" s="141">
        <f ca="1">IFERROR(__xludf.DUMMYFUNCTION("""COMPUTED_VALUE"""),218.51)</f>
        <v>218.51</v>
      </c>
      <c r="F34" s="141">
        <f ca="1">IFERROR(__xludf.DUMMYFUNCTION("""COMPUTED_VALUE"""),219.84)</f>
        <v>219.84</v>
      </c>
      <c r="G34" s="143">
        <f ca="1">IFERROR(__xludf.DUMMYFUNCTION("""COMPUTED_VALUE"""),37088008)</f>
        <v>37088008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IFERROR(__xludf.DUMMYFUNCTION("""COMPUTED_VALUE"""),221.07)</f>
        <v>221.07</v>
      </c>
      <c r="D35" s="141">
        <f ca="1">IFERROR(__xludf.DUMMYFUNCTION("""COMPUTED_VALUE"""),221.57)</f>
        <v>221.57</v>
      </c>
      <c r="E35" s="141">
        <f ca="1">IFERROR(__xludf.DUMMYFUNCTION("""COMPUTED_VALUE"""),219.74)</f>
        <v>219.74</v>
      </c>
      <c r="F35" s="141">
        <f ca="1">IFERROR(__xludf.DUMMYFUNCTION("""COMPUTED_VALUE"""),220.32)</f>
        <v>220.32</v>
      </c>
      <c r="G35" s="143">
        <f ca="1">IFERROR(__xludf.DUMMYFUNCTION("""COMPUTED_VALUE"""),28318098)</f>
        <v>28318098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IFERROR(__xludf.DUMMYFUNCTION("""COMPUTED_VALUE"""),220.77)</f>
        <v>220.77</v>
      </c>
      <c r="D36" s="141">
        <f ca="1">IFERROR(__xludf.DUMMYFUNCTION("""COMPUTED_VALUE"""),221.68)</f>
        <v>221.68</v>
      </c>
      <c r="E36" s="141">
        <f ca="1">IFERROR(__xludf.DUMMYFUNCTION("""COMPUTED_VALUE"""),219.81)</f>
        <v>219.81</v>
      </c>
      <c r="F36" s="141">
        <f ca="1">IFERROR(__xludf.DUMMYFUNCTION("""COMPUTED_VALUE"""),220.27)</f>
        <v>220.27</v>
      </c>
      <c r="G36" s="143">
        <f ca="1">IFERROR(__xludf.DUMMYFUNCTION("""COMPUTED_VALUE"""),25212844)</f>
        <v>25212844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IFERROR(__xludf.DUMMYFUNCTION("""COMPUTED_VALUE"""),221.85)</f>
        <v>221.85</v>
      </c>
      <c r="D37" s="141">
        <f ca="1">IFERROR(__xludf.DUMMYFUNCTION("""COMPUTED_VALUE"""),226.98)</f>
        <v>226.98</v>
      </c>
      <c r="E37" s="141">
        <f ca="1">IFERROR(__xludf.DUMMYFUNCTION("""COMPUTED_VALUE"""),221.15)</f>
        <v>221.15</v>
      </c>
      <c r="F37" s="141">
        <f ca="1">IFERROR(__xludf.DUMMYFUNCTION("""COMPUTED_VALUE"""),226.81)</f>
        <v>226.81</v>
      </c>
      <c r="G37" s="143">
        <f ca="1">IFERROR(__xludf.DUMMYFUNCTION("""COMPUTED_VALUE"""),43991900)</f>
        <v>43991900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IFERROR(__xludf.DUMMYFUNCTION("""COMPUTED_VALUE"""),228.26)</f>
        <v>228.26</v>
      </c>
      <c r="D38" s="141">
        <f ca="1">IFERROR(__xludf.DUMMYFUNCTION("""COMPUTED_VALUE"""),231.46)</f>
        <v>231.46</v>
      </c>
      <c r="E38" s="141">
        <f ca="1">IFERROR(__xludf.DUMMYFUNCTION("""COMPUTED_VALUE"""),227.83)</f>
        <v>227.83</v>
      </c>
      <c r="F38" s="141">
        <f ca="1">IFERROR(__xludf.DUMMYFUNCTION("""COMPUTED_VALUE"""),231.22)</f>
        <v>231.22</v>
      </c>
      <c r="G38" s="143">
        <f ca="1">IFERROR(__xludf.DUMMYFUNCTION("""COMPUTED_VALUE"""),41705784)</f>
        <v>41705784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IFERROR(__xludf.DUMMYFUNCTION("""COMPUTED_VALUE"""),228.44)</f>
        <v>228.44</v>
      </c>
      <c r="D39" s="141">
        <f ca="1">IFERROR(__xludf.DUMMYFUNCTION("""COMPUTED_VALUE"""),228.8)</f>
        <v>228.8</v>
      </c>
      <c r="E39" s="141">
        <f ca="1">IFERROR(__xludf.DUMMYFUNCTION("""COMPUTED_VALUE"""),226.17)</f>
        <v>226.17</v>
      </c>
      <c r="F39" s="141">
        <f ca="1">IFERROR(__xludf.DUMMYFUNCTION("""COMPUTED_VALUE"""),228.24)</f>
        <v>228.24</v>
      </c>
      <c r="G39" s="143">
        <f ca="1">IFERROR(__xludf.DUMMYFUNCTION("""COMPUTED_VALUE"""),55945507)</f>
        <v>55945507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IFERROR(__xludf.DUMMYFUNCTION("""COMPUTED_VALUE"""),228.64)</f>
        <v>228.64</v>
      </c>
      <c r="D40" s="141">
        <f ca="1">IFERROR(__xludf.DUMMYFUNCTION("""COMPUTED_VALUE"""),228.78)</f>
        <v>228.78</v>
      </c>
      <c r="E40" s="141">
        <f ca="1">IFERROR(__xludf.DUMMYFUNCTION("""COMPUTED_VALUE"""),226.04)</f>
        <v>226.04</v>
      </c>
      <c r="F40" s="141">
        <f ca="1">IFERROR(__xludf.DUMMYFUNCTION("""COMPUTED_VALUE"""),227.13)</f>
        <v>227.13</v>
      </c>
      <c r="G40" s="143">
        <f ca="1">IFERROR(__xludf.DUMMYFUNCTION("""COMPUTED_VALUE"""),33571448)</f>
        <v>33571448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IFERROR(__xludf.DUMMYFUNCTION("""COMPUTED_VALUE"""),227.21)</f>
        <v>227.21</v>
      </c>
      <c r="D41" s="141">
        <f ca="1">IFERROR(__xludf.DUMMYFUNCTION("""COMPUTED_VALUE"""),228.46)</f>
        <v>228.46</v>
      </c>
      <c r="E41" s="141">
        <f ca="1">IFERROR(__xludf.DUMMYFUNCTION("""COMPUTED_VALUE"""),226.94)</f>
        <v>226.94</v>
      </c>
      <c r="F41" s="141">
        <f ca="1">IFERROR(__xludf.DUMMYFUNCTION("""COMPUTED_VALUE"""),227.96)</f>
        <v>227.96</v>
      </c>
      <c r="G41" s="143">
        <f ca="1">IFERROR(__xludf.DUMMYFUNCTION("""COMPUTED_VALUE"""),20144107)</f>
        <v>20144107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IFERROR(__xludf.DUMMYFUNCTION("""COMPUTED_VALUE"""),228.02)</f>
        <v>228.02</v>
      </c>
      <c r="D42" s="141">
        <f ca="1">IFERROR(__xludf.DUMMYFUNCTION("""COMPUTED_VALUE"""),228.98)</f>
        <v>228.98</v>
      </c>
      <c r="E42" s="141">
        <f ca="1">IFERROR(__xludf.DUMMYFUNCTION("""COMPUTED_VALUE"""),225.69)</f>
        <v>225.69</v>
      </c>
      <c r="F42" s="141">
        <f ca="1">IFERROR(__xludf.DUMMYFUNCTION("""COMPUTED_VALUE"""),226.21)</f>
        <v>226.21</v>
      </c>
      <c r="G42" s="143">
        <f ca="1">IFERROR(__xludf.DUMMYFUNCTION("""COMPUTED_VALUE"""),25000687)</f>
        <v>25000687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IFERROR(__xludf.DUMMYFUNCTION("""COMPUTED_VALUE"""),225.93)</f>
        <v>225.93</v>
      </c>
      <c r="D43" s="141">
        <f ca="1">IFERROR(__xludf.DUMMYFUNCTION("""COMPUTED_VALUE"""),226.38)</f>
        <v>226.38</v>
      </c>
      <c r="E43" s="141">
        <f ca="1">IFERROR(__xludf.DUMMYFUNCTION("""COMPUTED_VALUE"""),223.69)</f>
        <v>223.69</v>
      </c>
      <c r="F43" s="141">
        <f ca="1">IFERROR(__xludf.DUMMYFUNCTION("""COMPUTED_VALUE"""),225.41)</f>
        <v>225.41</v>
      </c>
      <c r="G43" s="143">
        <f ca="1">IFERROR(__xludf.DUMMYFUNCTION("""COMPUTED_VALUE"""),29229749)</f>
        <v>29229749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IFERROR(__xludf.DUMMYFUNCTION("""COMPUTED_VALUE"""),224.41)</f>
        <v>224.41</v>
      </c>
      <c r="D44" s="141">
        <f ca="1">IFERROR(__xludf.DUMMYFUNCTION("""COMPUTED_VALUE"""),226.32)</f>
        <v>226.32</v>
      </c>
      <c r="E44" s="141">
        <f ca="1">IFERROR(__xludf.DUMMYFUNCTION("""COMPUTED_VALUE"""),223.78)</f>
        <v>223.78</v>
      </c>
      <c r="F44" s="141">
        <f ca="1">IFERROR(__xludf.DUMMYFUNCTION("""COMPUTED_VALUE"""),225.97)</f>
        <v>225.97</v>
      </c>
      <c r="G44" s="143">
        <f ca="1">IFERROR(__xludf.DUMMYFUNCTION("""COMPUTED_VALUE"""),24539360)</f>
        <v>24539360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IFERROR(__xludf.DUMMYFUNCTION("""COMPUTED_VALUE"""),227.37)</f>
        <v>227.37</v>
      </c>
      <c r="D45" s="141">
        <f ca="1">IFERROR(__xludf.DUMMYFUNCTION("""COMPUTED_VALUE"""),235.42)</f>
        <v>235.42</v>
      </c>
      <c r="E45" s="141">
        <f ca="1">IFERROR(__xludf.DUMMYFUNCTION("""COMPUTED_VALUE"""),227.18)</f>
        <v>227.18</v>
      </c>
      <c r="F45" s="141">
        <f ca="1">IFERROR(__xludf.DUMMYFUNCTION("""COMPUTED_VALUE"""),234.83)</f>
        <v>234.83</v>
      </c>
      <c r="G45" s="143">
        <f ca="1">IFERROR(__xludf.DUMMYFUNCTION("""COMPUTED_VALUE"""),58205537)</f>
        <v>58205537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IFERROR(__xludf.DUMMYFUNCTION("""COMPUTED_VALUE"""),234.14)</f>
        <v>234.14</v>
      </c>
      <c r="D46" s="141">
        <f ca="1">IFERROR(__xludf.DUMMYFUNCTION("""COMPUTED_VALUE"""),234.3)</f>
        <v>234.3</v>
      </c>
      <c r="E46" s="141">
        <f ca="1">IFERROR(__xludf.DUMMYFUNCTION("""COMPUTED_VALUE"""),232.36)</f>
        <v>232.36</v>
      </c>
      <c r="F46" s="141">
        <f ca="1">IFERROR(__xludf.DUMMYFUNCTION("""COMPUTED_VALUE"""),232.36)</f>
        <v>232.36</v>
      </c>
      <c r="G46" s="143">
        <f ca="1">IFERROR(__xludf.DUMMYFUNCTION("""COMPUTED_VALUE"""),28453657)</f>
        <v>28453657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IFERROR(__xludf.DUMMYFUNCTION("""COMPUTED_VALUE"""),232.83)</f>
        <v>232.83</v>
      </c>
      <c r="D47" s="141">
        <f ca="1">IFERROR(__xludf.DUMMYFUNCTION("""COMPUTED_VALUE"""),234.87)</f>
        <v>234.87</v>
      </c>
      <c r="E47" s="141">
        <f ca="1">IFERROR(__xludf.DUMMYFUNCTION("""COMPUTED_VALUE"""),232.59)</f>
        <v>232.59</v>
      </c>
      <c r="F47" s="141">
        <f ca="1">IFERROR(__xludf.DUMMYFUNCTION("""COMPUTED_VALUE"""),234.28)</f>
        <v>234.28</v>
      </c>
      <c r="G47" s="143">
        <f ca="1">IFERROR(__xludf.DUMMYFUNCTION("""COMPUTED_VALUE"""),25121535)</f>
        <v>25121535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IFERROR(__xludf.DUMMYFUNCTION("""COMPUTED_VALUE"""),233.74)</f>
        <v>233.74</v>
      </c>
      <c r="D48" s="141">
        <f ca="1">IFERROR(__xludf.DUMMYFUNCTION("""COMPUTED_VALUE"""),236.12)</f>
        <v>236.12</v>
      </c>
      <c r="E48" s="141">
        <f ca="1">IFERROR(__xludf.DUMMYFUNCTION("""COMPUTED_VALUE"""),233.56)</f>
        <v>233.56</v>
      </c>
      <c r="F48" s="141">
        <f ca="1">IFERROR(__xludf.DUMMYFUNCTION("""COMPUTED_VALUE"""),235.94)</f>
        <v>235.94</v>
      </c>
      <c r="G48" s="143">
        <f ca="1">IFERROR(__xludf.DUMMYFUNCTION("""COMPUTED_VALUE"""),25395394)</f>
        <v>25395394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IFERROR(__xludf.DUMMYFUNCTION("""COMPUTED_VALUE"""),236.96)</f>
        <v>236.96</v>
      </c>
      <c r="D49" s="141">
        <f ca="1">IFERROR(__xludf.DUMMYFUNCTION("""COMPUTED_VALUE"""),236.97)</f>
        <v>236.97</v>
      </c>
      <c r="E49" s="141">
        <f ca="1">IFERROR(__xludf.DUMMYFUNCTION("""COMPUTED_VALUE"""),235.35)</f>
        <v>235.35</v>
      </c>
      <c r="F49" s="141">
        <f ca="1">IFERROR(__xludf.DUMMYFUNCTION("""COMPUTED_VALUE"""),236.22)</f>
        <v>236.22</v>
      </c>
      <c r="G49" s="143">
        <f ca="1">IFERROR(__xludf.DUMMYFUNCTION("""COMPUTED_VALUE"""),25011198)</f>
        <v>25011198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IFERROR(__xludf.DUMMYFUNCTION("""COMPUTED_VALUE"""),236.74)</f>
        <v>236.74</v>
      </c>
      <c r="D50" s="141">
        <f ca="1">IFERROR(__xludf.DUMMYFUNCTION("""COMPUTED_VALUE"""),237.02)</f>
        <v>237.02</v>
      </c>
      <c r="E50" s="141">
        <f ca="1">IFERROR(__xludf.DUMMYFUNCTION("""COMPUTED_VALUE"""),234.37)</f>
        <v>234.37</v>
      </c>
      <c r="F50" s="141">
        <f ca="1">IFERROR(__xludf.DUMMYFUNCTION("""COMPUTED_VALUE"""),235.17)</f>
        <v>235.17</v>
      </c>
      <c r="G50" s="143">
        <f ca="1">IFERROR(__xludf.DUMMYFUNCTION("""COMPUTED_VALUE"""),29254768)</f>
        <v>29254768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IFERROR(__xludf.DUMMYFUNCTION("""COMPUTED_VALUE"""),231.99)</f>
        <v>231.99</v>
      </c>
      <c r="D51" s="141">
        <f ca="1">IFERROR(__xludf.DUMMYFUNCTION("""COMPUTED_VALUE"""),234.4)</f>
        <v>234.4</v>
      </c>
      <c r="E51" s="141">
        <f ca="1">IFERROR(__xludf.DUMMYFUNCTION("""COMPUTED_VALUE"""),231.47)</f>
        <v>231.47</v>
      </c>
      <c r="F51" s="141">
        <f ca="1">IFERROR(__xludf.DUMMYFUNCTION("""COMPUTED_VALUE"""),233.9)</f>
        <v>233.9</v>
      </c>
      <c r="G51" s="143">
        <f ca="1">IFERROR(__xludf.DUMMYFUNCTION("""COMPUTED_VALUE"""),33108624)</f>
        <v>33108624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IFERROR(__xludf.DUMMYFUNCTION("""COMPUTED_VALUE"""),233.27)</f>
        <v>233.27</v>
      </c>
      <c r="D52" s="141">
        <f ca="1">IFERROR(__xludf.DUMMYFUNCTION("""COMPUTED_VALUE"""),235.26)</f>
        <v>235.26</v>
      </c>
      <c r="E52" s="141">
        <f ca="1">IFERROR(__xludf.DUMMYFUNCTION("""COMPUTED_VALUE"""),232.46)</f>
        <v>232.46</v>
      </c>
      <c r="F52" s="141">
        <f ca="1">IFERROR(__xludf.DUMMYFUNCTION("""COMPUTED_VALUE"""),233.67)</f>
        <v>233.67</v>
      </c>
      <c r="G52" s="143">
        <f ca="1">IFERROR(__xludf.DUMMYFUNCTION("""COMPUTED_VALUE"""),33252351)</f>
        <v>33252351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IFERROR(__xludf.DUMMYFUNCTION("""COMPUTED_VALUE"""),234.23)</f>
        <v>234.23</v>
      </c>
      <c r="D53" s="141">
        <f ca="1">IFERROR(__xludf.DUMMYFUNCTION("""COMPUTED_VALUE"""),236.67)</f>
        <v>236.67</v>
      </c>
      <c r="E53" s="141">
        <f ca="1">IFERROR(__xludf.DUMMYFUNCTION("""COMPUTED_VALUE"""),233.58)</f>
        <v>233.58</v>
      </c>
      <c r="F53" s="141">
        <f ca="1">IFERROR(__xludf.DUMMYFUNCTION("""COMPUTED_VALUE"""),236.59)</f>
        <v>236.59</v>
      </c>
      <c r="G53" s="143">
        <f ca="1">IFERROR(__xludf.DUMMYFUNCTION("""COMPUTED_VALUE"""),30323833)</f>
        <v>30323833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IFERROR(__xludf.DUMMYFUNCTION("""COMPUTED_VALUE"""),237.72)</f>
        <v>237.72</v>
      </c>
      <c r="D54" s="141">
        <f ca="1">IFERROR(__xludf.DUMMYFUNCTION("""COMPUTED_VALUE"""),239.68)</f>
        <v>239.68</v>
      </c>
      <c r="E54" s="141">
        <f ca="1">IFERROR(__xludf.DUMMYFUNCTION("""COMPUTED_VALUE"""),234.95)</f>
        <v>234.95</v>
      </c>
      <c r="F54" s="141">
        <f ca="1">IFERROR(__xludf.DUMMYFUNCTION("""COMPUTED_VALUE"""),237.77)</f>
        <v>237.77</v>
      </c>
      <c r="G54" s="143">
        <f ca="1">IFERROR(__xludf.DUMMYFUNCTION("""COMPUTED_VALUE"""),47542498)</f>
        <v>47542498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IFERROR(__xludf.DUMMYFUNCTION("""COMPUTED_VALUE"""),238.51)</f>
        <v>238.51</v>
      </c>
      <c r="D55" s="141">
        <f ca="1">IFERROR(__xludf.DUMMYFUNCTION("""COMPUTED_VALUE"""),238.56)</f>
        <v>238.56</v>
      </c>
      <c r="E55" s="141">
        <f ca="1">IFERROR(__xludf.DUMMYFUNCTION("""COMPUTED_VALUE"""),236.39)</f>
        <v>236.39</v>
      </c>
      <c r="F55" s="141">
        <f ca="1">IFERROR(__xludf.DUMMYFUNCTION("""COMPUTED_VALUE"""),238.25)</f>
        <v>238.25</v>
      </c>
      <c r="G55" s="143">
        <f ca="1">IFERROR(__xludf.DUMMYFUNCTION("""COMPUTED_VALUE"""),31487732)</f>
        <v>31487732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IFERROR(__xludf.DUMMYFUNCTION("""COMPUTED_VALUE"""),237.9)</f>
        <v>237.9</v>
      </c>
      <c r="D56" s="141">
        <f ca="1">IFERROR(__xludf.DUMMYFUNCTION("""COMPUTED_VALUE"""),237.96)</f>
        <v>237.96</v>
      </c>
      <c r="E56" s="141">
        <f ca="1">IFERROR(__xludf.DUMMYFUNCTION("""COMPUTED_VALUE"""),235.42)</f>
        <v>235.42</v>
      </c>
      <c r="F56" s="141">
        <f ca="1">IFERROR(__xludf.DUMMYFUNCTION("""COMPUTED_VALUE"""),236.85)</f>
        <v>236.85</v>
      </c>
      <c r="G56" s="143">
        <f ca="1">IFERROR(__xludf.DUMMYFUNCTION("""COMPUTED_VALUE"""),35395784)</f>
        <v>35395784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IFERROR(__xludf.DUMMYFUNCTION("""COMPUTED_VALUE"""),237.31)</f>
        <v>237.31</v>
      </c>
      <c r="D57" s="141">
        <f ca="1">IFERROR(__xludf.DUMMYFUNCTION("""COMPUTED_VALUE"""),238.27)</f>
        <v>238.27</v>
      </c>
      <c r="E57" s="141">
        <f ca="1">IFERROR(__xludf.DUMMYFUNCTION("""COMPUTED_VALUE"""),235.46)</f>
        <v>235.46</v>
      </c>
      <c r="F57" s="141">
        <f ca="1">IFERROR(__xludf.DUMMYFUNCTION("""COMPUTED_VALUE"""),236.43)</f>
        <v>236.43</v>
      </c>
      <c r="G57" s="143">
        <f ca="1">IFERROR(__xludf.DUMMYFUNCTION("""COMPUTED_VALUE"""),33910156)</f>
        <v>33910156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IFERROR(__xludf.DUMMYFUNCTION("""COMPUTED_VALUE"""),236.85)</f>
        <v>236.85</v>
      </c>
      <c r="D58" s="141">
        <f ca="1">IFERROR(__xludf.DUMMYFUNCTION("""COMPUTED_VALUE"""),240.93)</f>
        <v>240.93</v>
      </c>
      <c r="E58" s="141">
        <f ca="1">IFERROR(__xludf.DUMMYFUNCTION("""COMPUTED_VALUE"""),236.24)</f>
        <v>236.24</v>
      </c>
      <c r="F58" s="141">
        <f ca="1">IFERROR(__xludf.DUMMYFUNCTION("""COMPUTED_VALUE"""),240.8)</f>
        <v>240.8</v>
      </c>
      <c r="G58" s="143">
        <f ca="1">IFERROR(__xludf.DUMMYFUNCTION("""COMPUTED_VALUE"""),43629818)</f>
        <v>43629818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IFERROR(__xludf.DUMMYFUNCTION("""COMPUTED_VALUE"""),240.2)</f>
        <v>240.2</v>
      </c>
      <c r="D59" s="141">
        <f ca="1">IFERROR(__xludf.DUMMYFUNCTION("""COMPUTED_VALUE"""),240.32)</f>
        <v>240.32</v>
      </c>
      <c r="E59" s="141">
        <f ca="1">IFERROR(__xludf.DUMMYFUNCTION("""COMPUTED_VALUE"""),238.2)</f>
        <v>238.2</v>
      </c>
      <c r="F59" s="141">
        <f ca="1">IFERROR(__xludf.DUMMYFUNCTION("""COMPUTED_VALUE"""),238.34)</f>
        <v>238.34</v>
      </c>
      <c r="G59" s="143">
        <f ca="1">IFERROR(__xludf.DUMMYFUNCTION("""COMPUTED_VALUE"""),46097640)</f>
        <v>46097640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IFERROR(__xludf.DUMMYFUNCTION("""COMPUTED_VALUE"""),239.23)</f>
        <v>239.23</v>
      </c>
      <c r="D60" s="141">
        <f ca="1">IFERROR(__xludf.DUMMYFUNCTION("""COMPUTED_VALUE"""),240.04)</f>
        <v>240.04</v>
      </c>
      <c r="E60" s="141">
        <f ca="1">IFERROR(__xludf.DUMMYFUNCTION("""COMPUTED_VALUE"""),238.55)</f>
        <v>238.55</v>
      </c>
      <c r="F60" s="141">
        <f ca="1">IFERROR(__xludf.DUMMYFUNCTION("""COMPUTED_VALUE"""),239.35)</f>
        <v>239.35</v>
      </c>
      <c r="G60" s="143">
        <f ca="1">IFERROR(__xludf.DUMMYFUNCTION("""COMPUTED_VALUE"""),33014031)</f>
        <v>33014031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IFERROR(__xludf.DUMMYFUNCTION("""COMPUTED_VALUE"""),238.45)</f>
        <v>238.45</v>
      </c>
      <c r="D61" s="141">
        <f ca="1">IFERROR(__xludf.DUMMYFUNCTION("""COMPUTED_VALUE"""),238.93)</f>
        <v>238.93</v>
      </c>
      <c r="E61" s="141">
        <f ca="1">IFERROR(__xludf.DUMMYFUNCTION("""COMPUTED_VALUE"""),236.76)</f>
        <v>236.76</v>
      </c>
      <c r="F61" s="141">
        <f ca="1">IFERROR(__xludf.DUMMYFUNCTION("""COMPUTED_VALUE"""),238.28)</f>
        <v>238.28</v>
      </c>
      <c r="G61" s="143">
        <f ca="1">IFERROR(__xludf.DUMMYFUNCTION("""COMPUTED_VALUE"""),37059322)</f>
        <v>37059322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IFERROR(__xludf.DUMMYFUNCTION("""COMPUTED_VALUE"""),238.82)</f>
        <v>238.82</v>
      </c>
      <c r="D62" s="141">
        <f ca="1">IFERROR(__xludf.DUMMYFUNCTION("""COMPUTED_VALUE"""),244.28)</f>
        <v>244.28</v>
      </c>
      <c r="E62" s="141">
        <f ca="1">IFERROR(__xludf.DUMMYFUNCTION("""COMPUTED_VALUE"""),237.02)</f>
        <v>237.02</v>
      </c>
      <c r="F62" s="141">
        <f ca="1">IFERROR(__xludf.DUMMYFUNCTION("""COMPUTED_VALUE"""),238.89)</f>
        <v>238.89</v>
      </c>
      <c r="G62" s="143">
        <f ca="1">IFERROR(__xludf.DUMMYFUNCTION("""COMPUTED_VALUE"""),79955604)</f>
        <v>79955604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IFERROR(__xludf.DUMMYFUNCTION("""COMPUTED_VALUE"""),240.8)</f>
        <v>240.8</v>
      </c>
      <c r="D63" s="141">
        <f ca="1">IFERROR(__xludf.DUMMYFUNCTION("""COMPUTED_VALUE"""),245.15)</f>
        <v>245.15</v>
      </c>
      <c r="E63" s="141">
        <f ca="1">IFERROR(__xludf.DUMMYFUNCTION("""COMPUTED_VALUE"""),240.13)</f>
        <v>240.13</v>
      </c>
      <c r="F63" s="141">
        <f ca="1">IFERROR(__xludf.DUMMYFUNCTION("""COMPUTED_VALUE"""),244.84)</f>
        <v>244.84</v>
      </c>
      <c r="G63" s="143">
        <f ca="1">IFERROR(__xludf.DUMMYFUNCTION("""COMPUTED_VALUE"""),49167670)</f>
        <v>49167670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IFERROR(__xludf.DUMMYFUNCTION("""COMPUTED_VALUE"""),245.57)</f>
        <v>245.57</v>
      </c>
      <c r="D64" s="141">
        <f ca="1">IFERROR(__xludf.DUMMYFUNCTION("""COMPUTED_VALUE"""),245.57)</f>
        <v>245.57</v>
      </c>
      <c r="E64" s="141">
        <f ca="1">IFERROR(__xludf.DUMMYFUNCTION("""COMPUTED_VALUE"""),242.51)</f>
        <v>242.51</v>
      </c>
      <c r="F64" s="141">
        <f ca="1">IFERROR(__xludf.DUMMYFUNCTION("""COMPUTED_VALUE"""),242.98)</f>
        <v>242.98</v>
      </c>
      <c r="G64" s="143">
        <f ca="1">IFERROR(__xludf.DUMMYFUNCTION("""COMPUTED_VALUE"""),56092037)</f>
        <v>56092037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IFERROR(__xludf.DUMMYFUNCTION("""COMPUTED_VALUE"""),242.24)</f>
        <v>242.24</v>
      </c>
      <c r="D65" s="141">
        <f ca="1">IFERROR(__xludf.DUMMYFUNCTION("""COMPUTED_VALUE"""),244.79)</f>
        <v>244.79</v>
      </c>
      <c r="E65" s="141">
        <f ca="1">IFERROR(__xludf.DUMMYFUNCTION("""COMPUTED_VALUE"""),241.11)</f>
        <v>241.11</v>
      </c>
      <c r="F65" s="141">
        <f ca="1">IFERROR(__xludf.DUMMYFUNCTION("""COMPUTED_VALUE"""),244.39)</f>
        <v>244.39</v>
      </c>
      <c r="G65" s="143">
        <f ca="1">IFERROR(__xludf.DUMMYFUNCTION("""COMPUTED_VALUE"""),53572930)</f>
        <v>53572930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IFERROR(__xludf.DUMMYFUNCTION("""COMPUTED_VALUE"""),245.01)</f>
        <v>245.01</v>
      </c>
      <c r="D66" s="141">
        <f ca="1">IFERROR(__xludf.DUMMYFUNCTION("""COMPUTED_VALUE"""),247.18)</f>
        <v>247.18</v>
      </c>
      <c r="E66" s="141">
        <f ca="1">IFERROR(__xludf.DUMMYFUNCTION("""COMPUTED_VALUE"""),243.44)</f>
        <v>243.44</v>
      </c>
      <c r="F66" s="141">
        <f ca="1">IFERROR(__xludf.DUMMYFUNCTION("""COMPUTED_VALUE"""),243.84)</f>
        <v>243.84</v>
      </c>
      <c r="G66" s="143">
        <f ca="1">IFERROR(__xludf.DUMMYFUNCTION("""COMPUTED_VALUE"""),41854513)</f>
        <v>41854513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IFERROR(__xludf.DUMMYFUNCTION("""COMPUTED_VALUE"""),243.9)</f>
        <v>243.9</v>
      </c>
      <c r="D67" s="141">
        <f ca="1">IFERROR(__xludf.DUMMYFUNCTION("""COMPUTED_VALUE"""),244.61)</f>
        <v>244.61</v>
      </c>
      <c r="E67" s="141">
        <f ca="1">IFERROR(__xludf.DUMMYFUNCTION("""COMPUTED_VALUE"""),241.56)</f>
        <v>241.56</v>
      </c>
      <c r="F67" s="141">
        <f ca="1">IFERROR(__xludf.DUMMYFUNCTION("""COMPUTED_VALUE"""),241.6)</f>
        <v>241.6</v>
      </c>
      <c r="G67" s="143">
        <f ca="1">IFERROR(__xludf.DUMMYFUNCTION("""COMPUTED_VALUE"""),36002182)</f>
        <v>36002182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IFERROR(__xludf.DUMMYFUNCTION("""COMPUTED_VALUE"""),238.98)</f>
        <v>238.98</v>
      </c>
      <c r="D68" s="141">
        <f ca="1">IFERROR(__xludf.DUMMYFUNCTION("""COMPUTED_VALUE"""),239.99)</f>
        <v>239.99</v>
      </c>
      <c r="E68" s="141">
        <f ca="1">IFERROR(__xludf.DUMMYFUNCTION("""COMPUTED_VALUE"""),237.55)</f>
        <v>237.55</v>
      </c>
      <c r="F68" s="141">
        <f ca="1">IFERROR(__xludf.DUMMYFUNCTION("""COMPUTED_VALUE"""),239.29)</f>
        <v>239.29</v>
      </c>
      <c r="G68" s="143">
        <f ca="1">IFERROR(__xludf.DUMMYFUNCTION("""COMPUTED_VALUE"""),37209480)</f>
        <v>37209480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IFERROR(__xludf.DUMMYFUNCTION("""COMPUTED_VALUE"""),239.62)</f>
        <v>239.62</v>
      </c>
      <c r="D69" s="141">
        <f ca="1">IFERROR(__xludf.DUMMYFUNCTION("""COMPUTED_VALUE"""),241.68)</f>
        <v>241.68</v>
      </c>
      <c r="E69" s="141">
        <f ca="1">IFERROR(__xludf.DUMMYFUNCTION("""COMPUTED_VALUE"""),239.33)</f>
        <v>239.33</v>
      </c>
      <c r="F69" s="141">
        <f ca="1">IFERROR(__xludf.DUMMYFUNCTION("""COMPUTED_VALUE"""),241.34)</f>
        <v>241.34</v>
      </c>
      <c r="G69" s="143">
        <f ca="1">IFERROR(__xludf.DUMMYFUNCTION("""COMPUTED_VALUE"""),28942766)</f>
        <v>28942766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IFERROR(__xludf.DUMMYFUNCTION("""COMPUTED_VALUE"""),242.84)</f>
        <v>242.84</v>
      </c>
      <c r="D70" s="141">
        <f ca="1">IFERROR(__xludf.DUMMYFUNCTION("""COMPUTED_VALUE"""),242.93)</f>
        <v>242.93</v>
      </c>
      <c r="E70" s="141">
        <f ca="1">IFERROR(__xludf.DUMMYFUNCTION("""COMPUTED_VALUE"""),240.81)</f>
        <v>240.81</v>
      </c>
      <c r="F70" s="141">
        <f ca="1">IFERROR(__xludf.DUMMYFUNCTION("""COMPUTED_VALUE"""),241.62)</f>
        <v>241.62</v>
      </c>
      <c r="G70" s="143">
        <f ca="1">IFERROR(__xludf.DUMMYFUNCTION("""COMPUTED_VALUE"""),26391483)</f>
        <v>26391483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IFERROR(__xludf.DUMMYFUNCTION("""COMPUTED_VALUE"""),241.11)</f>
        <v>241.11</v>
      </c>
      <c r="D71" s="141">
        <f ca="1">IFERROR(__xludf.DUMMYFUNCTION("""COMPUTED_VALUE"""),242.13)</f>
        <v>242.13</v>
      </c>
      <c r="E71" s="141">
        <f ca="1">IFERROR(__xludf.DUMMYFUNCTION("""COMPUTED_VALUE"""),239.4)</f>
        <v>239.4</v>
      </c>
      <c r="F71" s="141">
        <f ca="1">IFERROR(__xludf.DUMMYFUNCTION("""COMPUTED_VALUE"""),241.96)</f>
        <v>241.96</v>
      </c>
      <c r="G71" s="143">
        <f ca="1">IFERROR(__xludf.DUMMYFUNCTION("""COMPUTED_VALUE"""),33447721)</f>
        <v>33447721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IFERROR(__xludf.DUMMYFUNCTION("""COMPUTED_VALUE"""),240.57)</f>
        <v>240.57</v>
      </c>
      <c r="D72" s="141">
        <f ca="1">IFERROR(__xludf.DUMMYFUNCTION("""COMPUTED_VALUE"""),243.04)</f>
        <v>243.04</v>
      </c>
      <c r="E72" s="141">
        <f ca="1">IFERROR(__xludf.DUMMYFUNCTION("""COMPUTED_VALUE"""),240.55)</f>
        <v>240.55</v>
      </c>
      <c r="F72" s="141">
        <f ca="1">IFERROR(__xludf.DUMMYFUNCTION("""COMPUTED_VALUE"""),242.49)</f>
        <v>242.49</v>
      </c>
      <c r="G72" s="143">
        <f ca="1">IFERROR(__xludf.DUMMYFUNCTION("""COMPUTED_VALUE"""),28519998)</f>
        <v>28519998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IFERROR(__xludf.DUMMYFUNCTION("""COMPUTED_VALUE"""),243)</f>
        <v>243</v>
      </c>
      <c r="D73" s="141">
        <f ca="1">IFERROR(__xludf.DUMMYFUNCTION("""COMPUTED_VALUE"""),244.09)</f>
        <v>244.09</v>
      </c>
      <c r="E73" s="141">
        <f ca="1">IFERROR(__xludf.DUMMYFUNCTION("""COMPUTED_VALUE"""),241.47)</f>
        <v>241.47</v>
      </c>
      <c r="F73" s="141">
        <f ca="1">IFERROR(__xludf.DUMMYFUNCTION("""COMPUTED_VALUE"""),244.02)</f>
        <v>244.02</v>
      </c>
      <c r="G73" s="143">
        <f ca="1">IFERROR(__xludf.DUMMYFUNCTION("""COMPUTED_VALUE"""),28687401)</f>
        <v>28687401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IFERROR(__xludf.DUMMYFUNCTION("""COMPUTED_VALUE"""),245.35)</f>
        <v>245.35</v>
      </c>
      <c r="D74" s="141">
        <f ca="1">IFERROR(__xludf.DUMMYFUNCTION("""COMPUTED_VALUE"""),248.09)</f>
        <v>248.09</v>
      </c>
      <c r="E74" s="141">
        <f ca="1">IFERROR(__xludf.DUMMYFUNCTION("""COMPUTED_VALUE"""),245.03)</f>
        <v>245.03</v>
      </c>
      <c r="F74" s="141">
        <f ca="1">IFERROR(__xludf.DUMMYFUNCTION("""COMPUTED_VALUE"""),245.83)</f>
        <v>245.83</v>
      </c>
      <c r="G74" s="143">
        <f ca="1">IFERROR(__xludf.DUMMYFUNCTION("""COMPUTED_VALUE"""),34579610)</f>
        <v>34579610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IFERROR(__xludf.DUMMYFUNCTION("""COMPUTED_VALUE"""),247.73)</f>
        <v>247.73</v>
      </c>
      <c r="D75" s="141">
        <f ca="1">IFERROR(__xludf.DUMMYFUNCTION("""COMPUTED_VALUE"""),248.48)</f>
        <v>248.48</v>
      </c>
      <c r="E75" s="141">
        <f ca="1">IFERROR(__xludf.DUMMYFUNCTION("""COMPUTED_VALUE"""),246.07)</f>
        <v>246.07</v>
      </c>
      <c r="F75" s="141">
        <f ca="1">IFERROR(__xludf.DUMMYFUNCTION("""COMPUTED_VALUE"""),246.81)</f>
        <v>246.81</v>
      </c>
      <c r="G75" s="143">
        <f ca="1">IFERROR(__xludf.DUMMYFUNCTION("""COMPUTED_VALUE"""),31507374)</f>
        <v>31507374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IFERROR(__xludf.DUMMYFUNCTION("""COMPUTED_VALUE"""),247.36)</f>
        <v>247.36</v>
      </c>
      <c r="D76" s="141">
        <f ca="1">IFERROR(__xludf.DUMMYFUNCTION("""COMPUTED_VALUE"""),247.64)</f>
        <v>247.64</v>
      </c>
      <c r="E76" s="141">
        <f ca="1">IFERROR(__xludf.DUMMYFUNCTION("""COMPUTED_VALUE"""),243.19)</f>
        <v>243.19</v>
      </c>
      <c r="F76" s="141">
        <f ca="1">IFERROR(__xludf.DUMMYFUNCTION("""COMPUTED_VALUE"""),244.16)</f>
        <v>244.16</v>
      </c>
      <c r="G76" s="143">
        <f ca="1">IFERROR(__xludf.DUMMYFUNCTION("""COMPUTED_VALUE"""),31766601)</f>
        <v>31766601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IFERROR(__xludf.DUMMYFUNCTION("""COMPUTED_VALUE"""),245.28)</f>
        <v>245.28</v>
      </c>
      <c r="D77" s="141">
        <f ca="1">IFERROR(__xludf.DUMMYFUNCTION("""COMPUTED_VALUE"""),246.96)</f>
        <v>246.96</v>
      </c>
      <c r="E77" s="141">
        <f ca="1">IFERROR(__xludf.DUMMYFUNCTION("""COMPUTED_VALUE"""),243.8)</f>
        <v>243.8</v>
      </c>
      <c r="F77" s="141">
        <f ca="1">IFERROR(__xludf.DUMMYFUNCTION("""COMPUTED_VALUE"""),246.72)</f>
        <v>246.72</v>
      </c>
      <c r="G77" s="143">
        <f ca="1">IFERROR(__xludf.DUMMYFUNCTION("""COMPUTED_VALUE"""),25824957)</f>
        <v>25824957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IFERROR(__xludf.DUMMYFUNCTION("""COMPUTED_VALUE"""),246.31)</f>
        <v>246.31</v>
      </c>
      <c r="D78" s="141">
        <f ca="1">IFERROR(__xludf.DUMMYFUNCTION("""COMPUTED_VALUE"""),247.25)</f>
        <v>247.25</v>
      </c>
      <c r="E78" s="141">
        <f ca="1">IFERROR(__xludf.DUMMYFUNCTION("""COMPUTED_VALUE"""),244.01)</f>
        <v>244.01</v>
      </c>
      <c r="F78" s="141">
        <f ca="1">IFERROR(__xludf.DUMMYFUNCTION("""COMPUTED_VALUE"""),245.13)</f>
        <v>245.13</v>
      </c>
      <c r="G78" s="143">
        <f ca="1">IFERROR(__xludf.DUMMYFUNCTION("""COMPUTED_VALUE"""),26243148)</f>
        <v>26243148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IFERROR(__xludf.DUMMYFUNCTION("""COMPUTED_VALUE"""),245.75)</f>
        <v>245.75</v>
      </c>
      <c r="D79" s="141">
        <f ca="1">IFERROR(__xludf.DUMMYFUNCTION("""COMPUTED_VALUE"""),246.89)</f>
        <v>246.89</v>
      </c>
      <c r="E79" s="141">
        <f ca="1">IFERROR(__xludf.DUMMYFUNCTION("""COMPUTED_VALUE"""),237.56)</f>
        <v>237.56</v>
      </c>
      <c r="F79" s="141">
        <f ca="1">IFERROR(__xludf.DUMMYFUNCTION("""COMPUTED_VALUE"""),237.79)</f>
        <v>237.79</v>
      </c>
      <c r="G79" s="143">
        <f ca="1">IFERROR(__xludf.DUMMYFUNCTION("""COMPUTED_VALUE"""),70569415)</f>
        <v>70569415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IFERROR(__xludf.DUMMYFUNCTION("""COMPUTED_VALUE"""),241.83)</f>
        <v>241.83</v>
      </c>
      <c r="D80" s="141">
        <f ca="1">IFERROR(__xludf.DUMMYFUNCTION("""COMPUTED_VALUE"""),244.63)</f>
        <v>244.63</v>
      </c>
      <c r="E80" s="141">
        <f ca="1">IFERROR(__xludf.DUMMYFUNCTION("""COMPUTED_VALUE"""),241.4)</f>
        <v>241.4</v>
      </c>
      <c r="F80" s="141">
        <f ca="1">IFERROR(__xludf.DUMMYFUNCTION("""COMPUTED_VALUE"""),244.41)</f>
        <v>244.41</v>
      </c>
      <c r="G80" s="143">
        <f ca="1">IFERROR(__xludf.DUMMYFUNCTION("""COMPUTED_VALUE"""),36298626)</f>
        <v>36298626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IFERROR(__xludf.DUMMYFUNCTION("""COMPUTED_VALUE"""),241.23)</f>
        <v>241.23</v>
      </c>
      <c r="D81" s="141">
        <f ca="1">IFERROR(__xludf.DUMMYFUNCTION("""COMPUTED_VALUE"""),249.6)</f>
        <v>249.6</v>
      </c>
      <c r="E81" s="141">
        <f ca="1">IFERROR(__xludf.DUMMYFUNCTION("""COMPUTED_VALUE"""),240.36)</f>
        <v>240.36</v>
      </c>
      <c r="F81" s="141">
        <f ca="1">IFERROR(__xludf.DUMMYFUNCTION("""COMPUTED_VALUE"""),247.9)</f>
        <v>247.9</v>
      </c>
      <c r="G81" s="143">
        <f ca="1">IFERROR(__xludf.DUMMYFUNCTION("""COMPUTED_VALUE"""),45320805)</f>
        <v>45320805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IFERROR(__xludf.DUMMYFUNCTION("""COMPUTED_VALUE"""),250.36)</f>
        <v>250.36</v>
      </c>
      <c r="D82" s="141">
        <f ca="1">IFERROR(__xludf.DUMMYFUNCTION("""COMPUTED_VALUE"""),252.77)</f>
        <v>252.77</v>
      </c>
      <c r="E82" s="141">
        <f ca="1">IFERROR(__xludf.DUMMYFUNCTION("""COMPUTED_VALUE"""),247.06)</f>
        <v>247.06</v>
      </c>
      <c r="F82" s="141">
        <f ca="1">IFERROR(__xludf.DUMMYFUNCTION("""COMPUTED_VALUE"""),250.33)</f>
        <v>250.33</v>
      </c>
      <c r="G82" s="143">
        <f ca="1">IFERROR(__xludf.DUMMYFUNCTION("""COMPUTED_VALUE"""),45369046)</f>
        <v>45369046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IFERROR(__xludf.DUMMYFUNCTION("""COMPUTED_VALUE"""),250.97)</f>
        <v>250.97</v>
      </c>
      <c r="D83" s="141">
        <f ca="1">IFERROR(__xludf.DUMMYFUNCTION("""COMPUTED_VALUE"""),251.26)</f>
        <v>251.26</v>
      </c>
      <c r="E83" s="141">
        <f ca="1">IFERROR(__xludf.DUMMYFUNCTION("""COMPUTED_VALUE"""),244)</f>
        <v>244</v>
      </c>
      <c r="F83" s="141">
        <f ca="1">IFERROR(__xludf.DUMMYFUNCTION("""COMPUTED_VALUE"""),245.06)</f>
        <v>245.06</v>
      </c>
      <c r="G83" s="143">
        <f ca="1">IFERROR(__xludf.DUMMYFUNCTION("""COMPUTED_VALUE"""),52740394)</f>
        <v>52740394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IFERROR(__xludf.DUMMYFUNCTION("""COMPUTED_VALUE"""),243.32)</f>
        <v>243.32</v>
      </c>
      <c r="D84" s="141">
        <f ca="1">IFERROR(__xludf.DUMMYFUNCTION("""COMPUTED_VALUE"""),245.16)</f>
        <v>245.16</v>
      </c>
      <c r="E84" s="141">
        <f ca="1">IFERROR(__xludf.DUMMYFUNCTION("""COMPUTED_VALUE"""),241.47)</f>
        <v>241.47</v>
      </c>
      <c r="F84" s="141">
        <f ca="1">IFERROR(__xludf.DUMMYFUNCTION("""COMPUTED_VALUE"""),243.41)</f>
        <v>243.41</v>
      </c>
      <c r="G84" s="143">
        <f ca="1">IFERROR(__xludf.DUMMYFUNCTION("""COMPUTED_VALUE"""),55379514)</f>
        <v>55379514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IFERROR(__xludf.DUMMYFUNCTION("""COMPUTED_VALUE"""),246.62)</f>
        <v>246.62</v>
      </c>
      <c r="D85" s="141">
        <f ca="1">IFERROR(__xludf.DUMMYFUNCTION("""COMPUTED_VALUE"""),248.33)</f>
        <v>248.33</v>
      </c>
      <c r="E85" s="141">
        <f ca="1">IFERROR(__xludf.DUMMYFUNCTION("""COMPUTED_VALUE"""),246.14)</f>
        <v>246.14</v>
      </c>
      <c r="F85" s="141">
        <f ca="1">IFERROR(__xludf.DUMMYFUNCTION("""COMPUTED_VALUE"""),248.16)</f>
        <v>248.16</v>
      </c>
      <c r="G85" s="143">
        <f ca="1">IFERROR(__xludf.DUMMYFUNCTION("""COMPUTED_VALUE"""),32545025)</f>
        <v>32545025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IFERROR(__xludf.DUMMYFUNCTION("""COMPUTED_VALUE"""),247.43)</f>
        <v>247.43</v>
      </c>
      <c r="D86" s="141">
        <f ca="1">IFERROR(__xludf.DUMMYFUNCTION("""COMPUTED_VALUE"""),248.37)</f>
        <v>248.37</v>
      </c>
      <c r="E86" s="141">
        <f ca="1">IFERROR(__xludf.DUMMYFUNCTION("""COMPUTED_VALUE"""),245.51)</f>
        <v>245.51</v>
      </c>
      <c r="F86" s="141">
        <f ca="1">IFERROR(__xludf.DUMMYFUNCTION("""COMPUTED_VALUE"""),246.99)</f>
        <v>246.99</v>
      </c>
      <c r="G86" s="143">
        <f ca="1">IFERROR(__xludf.DUMMYFUNCTION("""COMPUTED_VALUE"""),26337895)</f>
        <v>26337895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IFERROR(__xludf.DUMMYFUNCTION("""COMPUTED_VALUE"""),246.03)</f>
        <v>246.03</v>
      </c>
      <c r="D87" s="141">
        <f ca="1">IFERROR(__xludf.DUMMYFUNCTION("""COMPUTED_VALUE"""),246.86)</f>
        <v>246.86</v>
      </c>
      <c r="E87" s="141">
        <f ca="1">IFERROR(__xludf.DUMMYFUNCTION("""COMPUTED_VALUE"""),240.77)</f>
        <v>240.77</v>
      </c>
      <c r="F87" s="141">
        <f ca="1">IFERROR(__xludf.DUMMYFUNCTION("""COMPUTED_VALUE"""),243.34)</f>
        <v>243.34</v>
      </c>
      <c r="G87" s="143">
        <f ca="1">IFERROR(__xludf.DUMMYFUNCTION("""COMPUTED_VALUE"""),46578446)</f>
        <v>46578446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IFERROR(__xludf.DUMMYFUNCTION("""COMPUTED_VALUE"""),244.29)</f>
        <v>244.29</v>
      </c>
      <c r="D88" s="141">
        <f ca="1">IFERROR(__xludf.DUMMYFUNCTION("""COMPUTED_VALUE"""),247.12)</f>
        <v>247.12</v>
      </c>
      <c r="E88" s="141">
        <f ca="1">IFERROR(__xludf.DUMMYFUNCTION("""COMPUTED_VALUE"""),243.68)</f>
        <v>243.68</v>
      </c>
      <c r="F88" s="141">
        <f ca="1">IFERROR(__xludf.DUMMYFUNCTION("""COMPUTED_VALUE"""),246.42)</f>
        <v>246.42</v>
      </c>
      <c r="G88" s="143">
        <f ca="1">IFERROR(__xludf.DUMMYFUNCTION("""COMPUTED_VALUE"""),28591002)</f>
        <v>28591002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IFERROR(__xludf.DUMMYFUNCTION("""COMPUTED_VALUE"""),249.8)</f>
        <v>249.8</v>
      </c>
      <c r="D89" s="141">
        <f ca="1">IFERROR(__xludf.DUMMYFUNCTION("""COMPUTED_VALUE"""),251.11)</f>
        <v>251.11</v>
      </c>
      <c r="E89" s="141">
        <f ca="1">IFERROR(__xludf.DUMMYFUNCTION("""COMPUTED_VALUE"""),248.97)</f>
        <v>248.97</v>
      </c>
      <c r="F89" s="141">
        <f ca="1">IFERROR(__xludf.DUMMYFUNCTION("""COMPUTED_VALUE"""),249.43)</f>
        <v>249.43</v>
      </c>
      <c r="G89" s="143">
        <f ca="1">IFERROR(__xludf.DUMMYFUNCTION("""COMPUTED_VALUE"""),26627005)</f>
        <v>26627005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IFERROR(__xludf.DUMMYFUNCTION("""COMPUTED_VALUE"""),251.78)</f>
        <v>251.78</v>
      </c>
      <c r="D90" s="141">
        <f ca="1">IFERROR(__xludf.DUMMYFUNCTION("""COMPUTED_VALUE"""),252.21)</f>
        <v>252.21</v>
      </c>
      <c r="E90" s="141">
        <f ca="1">IFERROR(__xludf.DUMMYFUNCTION("""COMPUTED_VALUE"""),249.5)</f>
        <v>249.5</v>
      </c>
      <c r="F90" s="141">
        <f ca="1">IFERROR(__xludf.DUMMYFUNCTION("""COMPUTED_VALUE"""),250.3)</f>
        <v>250.3</v>
      </c>
      <c r="G90" s="143">
        <f ca="1">IFERROR(__xludf.DUMMYFUNCTION("""COMPUTED_VALUE"""),31798148)</f>
        <v>31798148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IFERROR(__xludf.DUMMYFUNCTION("""COMPUTED_VALUE"""),249.55)</f>
        <v>249.55</v>
      </c>
      <c r="D91" s="141">
        <f ca="1">IFERROR(__xludf.DUMMYFUNCTION("""COMPUTED_VALUE"""),250.9)</f>
        <v>250.9</v>
      </c>
      <c r="E91" s="141">
        <f ca="1">IFERROR(__xludf.DUMMYFUNCTION("""COMPUTED_VALUE"""),248.11)</f>
        <v>248.11</v>
      </c>
      <c r="F91" s="141">
        <f ca="1">IFERROR(__xludf.DUMMYFUNCTION("""COMPUTED_VALUE"""),248.96)</f>
        <v>248.96</v>
      </c>
      <c r="G91" s="143">
        <f ca="1">IFERROR(__xludf.DUMMYFUNCTION("""COMPUTED_VALUE"""),28075893)</f>
        <v>28075893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IFERROR(__xludf.DUMMYFUNCTION("""COMPUTED_VALUE"""),248.84)</f>
        <v>248.84</v>
      </c>
      <c r="D92" s="141">
        <f ca="1">IFERROR(__xludf.DUMMYFUNCTION("""COMPUTED_VALUE"""),251.14)</f>
        <v>251.14</v>
      </c>
      <c r="E92" s="141">
        <f ca="1">IFERROR(__xludf.DUMMYFUNCTION("""COMPUTED_VALUE"""),244.69)</f>
        <v>244.69</v>
      </c>
      <c r="F92" s="141">
        <f ca="1">IFERROR(__xludf.DUMMYFUNCTION("""COMPUTED_VALUE"""),246.84)</f>
        <v>246.84</v>
      </c>
      <c r="G92" s="143">
        <f ca="1">IFERROR(__xludf.DUMMYFUNCTION("""COMPUTED_VALUE"""),55951795)</f>
        <v>55951795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IFERROR(__xludf.DUMMYFUNCTION("""COMPUTED_VALUE"""),245.27)</f>
        <v>245.27</v>
      </c>
      <c r="D93" s="141">
        <f ca="1">IFERROR(__xludf.DUMMYFUNCTION("""COMPUTED_VALUE"""),248.14)</f>
        <v>248.14</v>
      </c>
      <c r="E93" s="141">
        <f ca="1">IFERROR(__xludf.DUMMYFUNCTION("""COMPUTED_VALUE"""),244.63)</f>
        <v>244.63</v>
      </c>
      <c r="F93" s="141">
        <f ca="1">IFERROR(__xludf.DUMMYFUNCTION("""COMPUTED_VALUE"""),244.85)</f>
        <v>244.85</v>
      </c>
      <c r="G93" s="143">
        <f ca="1">IFERROR(__xludf.DUMMYFUNCTION("""COMPUTED_VALUE"""),44538747)</f>
        <v>44538747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IFERROR(__xludf.DUMMYFUNCTION("""COMPUTED_VALUE"""),244.99)</f>
        <v>244.99</v>
      </c>
      <c r="D94" s="141">
        <f ca="1">IFERROR(__xludf.DUMMYFUNCTION("""COMPUTED_VALUE"""),246.79)</f>
        <v>246.79</v>
      </c>
      <c r="E94" s="141">
        <f ca="1">IFERROR(__xludf.DUMMYFUNCTION("""COMPUTED_VALUE"""),243.69)</f>
        <v>243.69</v>
      </c>
      <c r="F94" s="141">
        <f ca="1">IFERROR(__xludf.DUMMYFUNCTION("""COMPUTED_VALUE"""),246.23)</f>
        <v>246.23</v>
      </c>
      <c r="G94" s="143">
        <f ca="1">IFERROR(__xludf.DUMMYFUNCTION("""COMPUTED_VALUE"""),37214671)</f>
        <v>37214671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IFERROR(__xludf.DUMMYFUNCTION("""COMPUTED_VALUE"""),246.16)</f>
        <v>246.16</v>
      </c>
      <c r="D95" s="141">
        <f ca="1">IFERROR(__xludf.DUMMYFUNCTION("""COMPUTED_VALUE"""),246.26)</f>
        <v>246.26</v>
      </c>
      <c r="E95" s="141">
        <f ca="1">IFERROR(__xludf.DUMMYFUNCTION("""COMPUTED_VALUE"""),242.49)</f>
        <v>242.49</v>
      </c>
      <c r="F95" s="141">
        <f ca="1">IFERROR(__xludf.DUMMYFUNCTION("""COMPUTED_VALUE"""),245.44)</f>
        <v>245.44</v>
      </c>
      <c r="G95" s="143">
        <f ca="1">IFERROR(__xludf.DUMMYFUNCTION("""COMPUTED_VALUE"""),28887904)</f>
        <v>28887904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IFERROR(__xludf.DUMMYFUNCTION("""COMPUTED_VALUE"""),241.79)</f>
        <v>241.79</v>
      </c>
      <c r="D96" s="141">
        <f ca="1">IFERROR(__xludf.DUMMYFUNCTION("""COMPUTED_VALUE"""),244.06)</f>
        <v>244.06</v>
      </c>
      <c r="E96" s="141">
        <f ca="1">IFERROR(__xludf.DUMMYFUNCTION("""COMPUTED_VALUE"""),241)</f>
        <v>241</v>
      </c>
      <c r="F96" s="141">
        <f ca="1">IFERROR(__xludf.DUMMYFUNCTION("""COMPUTED_VALUE"""),241.2)</f>
        <v>241.2</v>
      </c>
      <c r="G96" s="143">
        <f ca="1">IFERROR(__xludf.DUMMYFUNCTION("""COMPUTED_VALUE"""),34468704)</f>
        <v>34468704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IFERROR(__xludf.DUMMYFUNCTION("""COMPUTED_VALUE"""),241.96)</f>
        <v>241.96</v>
      </c>
      <c r="D97" s="141">
        <f ca="1">IFERROR(__xludf.DUMMYFUNCTION("""COMPUTED_VALUE"""),245.73)</f>
        <v>245.73</v>
      </c>
      <c r="E97" s="141">
        <f ca="1">IFERROR(__xludf.DUMMYFUNCTION("""COMPUTED_VALUE"""),241.64)</f>
        <v>241.64</v>
      </c>
      <c r="F97" s="141">
        <f ca="1">IFERROR(__xludf.DUMMYFUNCTION("""COMPUTED_VALUE"""),244.68)</f>
        <v>244.68</v>
      </c>
      <c r="G97" s="143">
        <f ca="1">IFERROR(__xludf.DUMMYFUNCTION("""COMPUTED_VALUE"""),38229168)</f>
        <v>38229168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IFERROR(__xludf.DUMMYFUNCTION("""COMPUTED_VALUE"""),244.26)</f>
        <v>244.26</v>
      </c>
      <c r="D98" s="141">
        <f ca="1">IFERROR(__xludf.DUMMYFUNCTION("""COMPUTED_VALUE"""),244.79)</f>
        <v>244.79</v>
      </c>
      <c r="E98" s="141">
        <f ca="1">IFERROR(__xludf.DUMMYFUNCTION("""COMPUTED_VALUE"""),240)</f>
        <v>240</v>
      </c>
      <c r="F98" s="141">
        <f ca="1">IFERROR(__xludf.DUMMYFUNCTION("""COMPUTED_VALUE"""),240.35)</f>
        <v>240.35</v>
      </c>
      <c r="G98" s="143">
        <f ca="1">IFERROR(__xludf.DUMMYFUNCTION("""COMPUTED_VALUE"""),40601196)</f>
        <v>40601196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IFERROR(__xludf.DUMMYFUNCTION("""COMPUTED_VALUE"""),238.41)</f>
        <v>238.41</v>
      </c>
      <c r="D99" s="141">
        <f ca="1">IFERROR(__xludf.DUMMYFUNCTION("""COMPUTED_VALUE"""),241.66)</f>
        <v>241.66</v>
      </c>
      <c r="E99" s="141">
        <f ca="1">IFERROR(__xludf.DUMMYFUNCTION("""COMPUTED_VALUE"""),236.27)</f>
        <v>236.27</v>
      </c>
      <c r="F99" s="141">
        <f ca="1">IFERROR(__xludf.DUMMYFUNCTION("""COMPUTED_VALUE"""),241.61)</f>
        <v>241.61</v>
      </c>
      <c r="G99" s="143">
        <f ca="1">IFERROR(__xludf.DUMMYFUNCTION("""COMPUTED_VALUE"""),54978865)</f>
        <v>54978865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IFERROR(__xludf.DUMMYFUNCTION("""COMPUTED_VALUE"""),245.01)</f>
        <v>245.01</v>
      </c>
      <c r="D100" s="141">
        <f ca="1">IFERROR(__xludf.DUMMYFUNCTION("""COMPUTED_VALUE"""),245.24)</f>
        <v>245.24</v>
      </c>
      <c r="E100" s="141">
        <f ca="1">IFERROR(__xludf.DUMMYFUNCTION("""COMPUTED_VALUE"""),242.25)</f>
        <v>242.25</v>
      </c>
      <c r="F100" s="141">
        <f ca="1">IFERROR(__xludf.DUMMYFUNCTION("""COMPUTED_VALUE"""),244.03)</f>
        <v>244.03</v>
      </c>
      <c r="G100" s="143">
        <f ca="1">IFERROR(__xludf.DUMMYFUNCTION("""COMPUTED_VALUE"""),31238018)</f>
        <v>31238018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IFERROR(__xludf.DUMMYFUNCTION("""COMPUTED_VALUE"""),243.37)</f>
        <v>243.37</v>
      </c>
      <c r="D101" s="141">
        <f ca="1">IFERROR(__xludf.DUMMYFUNCTION("""COMPUTED_VALUE"""),244.74)</f>
        <v>244.74</v>
      </c>
      <c r="E101" s="141">
        <f ca="1">IFERROR(__xludf.DUMMYFUNCTION("""COMPUTED_VALUE"""),242.52)</f>
        <v>242.52</v>
      </c>
      <c r="F101" s="141">
        <f ca="1">IFERROR(__xludf.DUMMYFUNCTION("""COMPUTED_VALUE"""),244.24)</f>
        <v>244.24</v>
      </c>
      <c r="G101" s="143">
        <f ca="1">IFERROR(__xludf.DUMMYFUNCTION("""COMPUTED_VALUE"""),27357866)</f>
        <v>27357866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IFERROR(__xludf.DUMMYFUNCTION("""COMPUTED_VALUE"""),244.84)</f>
        <v>244.84</v>
      </c>
      <c r="D102" s="141">
        <f ca="1">IFERROR(__xludf.DUMMYFUNCTION("""COMPUTED_VALUE"""),246.38)</f>
        <v>246.38</v>
      </c>
      <c r="E102" s="141">
        <f ca="1">IFERROR(__xludf.DUMMYFUNCTION("""COMPUTED_VALUE"""),243.33)</f>
        <v>243.33</v>
      </c>
      <c r="F102" s="141">
        <f ca="1">IFERROR(__xludf.DUMMYFUNCTION("""COMPUTED_VALUE"""),243.64)</f>
        <v>243.64</v>
      </c>
      <c r="G102" s="143">
        <f ca="1">IFERROR(__xludf.DUMMYFUNCTION("""COMPUTED_VALUE"""),34543226)</f>
        <v>34543226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IFERROR(__xludf.DUMMYFUNCTION("""COMPUTED_VALUE"""),241.84)</f>
        <v>241.84</v>
      </c>
      <c r="D103" s="141">
        <f ca="1">IFERROR(__xludf.DUMMYFUNCTION("""COMPUTED_VALUE"""),242.68)</f>
        <v>242.68</v>
      </c>
      <c r="E103" s="141">
        <f ca="1">IFERROR(__xludf.DUMMYFUNCTION("""COMPUTED_VALUE"""),235.84)</f>
        <v>235.84</v>
      </c>
      <c r="F103" s="141">
        <f ca="1">IFERROR(__xludf.DUMMYFUNCTION("""COMPUTED_VALUE"""),236.79)</f>
        <v>236.79</v>
      </c>
      <c r="G103" s="143">
        <f ca="1">IFERROR(__xludf.DUMMYFUNCTION("""COMPUTED_VALUE"""),65709950)</f>
        <v>65709950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IFERROR(__xludf.DUMMYFUNCTION("""COMPUTED_VALUE"""),233.34)</f>
        <v>233.34</v>
      </c>
      <c r="D104" s="141">
        <f ca="1">IFERROR(__xludf.DUMMYFUNCTION("""COMPUTED_VALUE"""),238.73)</f>
        <v>238.73</v>
      </c>
      <c r="E104" s="141">
        <f ca="1">IFERROR(__xludf.DUMMYFUNCTION("""COMPUTED_VALUE"""),233.27)</f>
        <v>233.27</v>
      </c>
      <c r="F104" s="141">
        <f ca="1">IFERROR(__xludf.DUMMYFUNCTION("""COMPUTED_VALUE"""),237.48)</f>
        <v>237.48</v>
      </c>
      <c r="G104" s="143">
        <f ca="1">IFERROR(__xludf.DUMMYFUNCTION("""COMPUTED_VALUE"""),58344442)</f>
        <v>58344442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IFERROR(__xludf.DUMMYFUNCTION("""COMPUTED_VALUE"""),236.46)</f>
        <v>236.46</v>
      </c>
      <c r="D105" s="141">
        <f ca="1">IFERROR(__xludf.DUMMYFUNCTION("""COMPUTED_VALUE"""),237.84)</f>
        <v>237.84</v>
      </c>
      <c r="E105" s="141">
        <f ca="1">IFERROR(__xludf.DUMMYFUNCTION("""COMPUTED_VALUE"""),231.76)</f>
        <v>231.76</v>
      </c>
      <c r="F105" s="141">
        <f ca="1">IFERROR(__xludf.DUMMYFUNCTION("""COMPUTED_VALUE"""),232.76)</f>
        <v>232.76</v>
      </c>
      <c r="G105" s="143">
        <f ca="1">IFERROR(__xludf.DUMMYFUNCTION("""COMPUTED_VALUE"""),55765896)</f>
        <v>55765896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IFERROR(__xludf.DUMMYFUNCTION("""COMPUTED_VALUE"""),231.31)</f>
        <v>231.31</v>
      </c>
      <c r="D106" s="141">
        <f ca="1">IFERROR(__xludf.DUMMYFUNCTION("""COMPUTED_VALUE"""),235.08)</f>
        <v>235.08</v>
      </c>
      <c r="E106" s="141">
        <f ca="1">IFERROR(__xludf.DUMMYFUNCTION("""COMPUTED_VALUE"""),230.96)</f>
        <v>230.96</v>
      </c>
      <c r="F106" s="141">
        <f ca="1">IFERROR(__xludf.DUMMYFUNCTION("""COMPUTED_VALUE"""),233.47)</f>
        <v>233.47</v>
      </c>
      <c r="G106" s="143">
        <f ca="1">IFERROR(__xludf.DUMMYFUNCTION("""COMPUTED_VALUE"""),63092497)</f>
        <v>63092497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IFERROR(__xludf.DUMMYFUNCTION("""COMPUTED_VALUE"""),233.8)</f>
        <v>233.8</v>
      </c>
      <c r="D107" s="141">
        <f ca="1">IFERROR(__xludf.DUMMYFUNCTION("""COMPUTED_VALUE"""),236.37)</f>
        <v>236.37</v>
      </c>
      <c r="E107" s="141">
        <f ca="1">IFERROR(__xludf.DUMMYFUNCTION("""COMPUTED_VALUE"""),232.43)</f>
        <v>232.43</v>
      </c>
      <c r="F107" s="141">
        <f ca="1">IFERROR(__xludf.DUMMYFUNCTION("""COMPUTED_VALUE"""),233.43)</f>
        <v>233.43</v>
      </c>
      <c r="G107" s="143">
        <f ca="1">IFERROR(__xludf.DUMMYFUNCTION("""COMPUTED_VALUE"""),57280548)</f>
        <v>57280548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IFERROR(__xludf.DUMMYFUNCTION("""COMPUTED_VALUE"""),237.24)</f>
        <v>237.24</v>
      </c>
      <c r="D108" s="141">
        <f ca="1">IFERROR(__xludf.DUMMYFUNCTION("""COMPUTED_VALUE"""),239.1)</f>
        <v>239.1</v>
      </c>
      <c r="E108" s="141">
        <f ca="1">IFERROR(__xludf.DUMMYFUNCTION("""COMPUTED_VALUE"""),228.9)</f>
        <v>228.9</v>
      </c>
      <c r="F108" s="141">
        <f ca="1">IFERROR(__xludf.DUMMYFUNCTION("""COMPUTED_VALUE"""),229.11)</f>
        <v>229.11</v>
      </c>
      <c r="G108" s="143">
        <f ca="1">IFERROR(__xludf.DUMMYFUNCTION("""COMPUTED_VALUE"""),95483018)</f>
        <v>95483018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IFERROR(__xludf.DUMMYFUNCTION("""COMPUTED_VALUE"""),229.96)</f>
        <v>229.96</v>
      </c>
      <c r="D109" s="141">
        <f ca="1">IFERROR(__xludf.DUMMYFUNCTION("""COMPUTED_VALUE"""),237.11)</f>
        <v>237.11</v>
      </c>
      <c r="E109" s="141">
        <f ca="1">IFERROR(__xludf.DUMMYFUNCTION("""COMPUTED_VALUE"""),229.58)</f>
        <v>229.58</v>
      </c>
      <c r="F109" s="141">
        <f ca="1">IFERROR(__xludf.DUMMYFUNCTION("""COMPUTED_VALUE"""),235.6)</f>
        <v>235.6</v>
      </c>
      <c r="G109" s="143">
        <f ca="1">IFERROR(__xludf.DUMMYFUNCTION("""COMPUTED_VALUE"""),99504106)</f>
        <v>99504106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IFERROR(__xludf.DUMMYFUNCTION("""COMPUTED_VALUE"""),235.96)</f>
        <v>235.96</v>
      </c>
      <c r="D110" s="141">
        <f ca="1">IFERROR(__xludf.DUMMYFUNCTION("""COMPUTED_VALUE"""),240.39)</f>
        <v>240.39</v>
      </c>
      <c r="E110" s="141">
        <f ca="1">IFERROR(__xludf.DUMMYFUNCTION("""COMPUTED_VALUE"""),235.48)</f>
        <v>235.48</v>
      </c>
      <c r="F110" s="141">
        <f ca="1">IFERROR(__xludf.DUMMYFUNCTION("""COMPUTED_VALUE"""),239.9)</f>
        <v>239.9</v>
      </c>
      <c r="G110" s="143">
        <f ca="1">IFERROR(__xludf.DUMMYFUNCTION("""COMPUTED_VALUE"""),36135317)</f>
        <v>36135317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IFERROR(__xludf.DUMMYFUNCTION("""COMPUTED_VALUE"""),240.74)</f>
        <v>240.74</v>
      </c>
      <c r="D111" s="141">
        <f ca="1">IFERROR(__xludf.DUMMYFUNCTION("""COMPUTED_VALUE"""),245.55)</f>
        <v>245.55</v>
      </c>
      <c r="E111" s="141">
        <f ca="1">IFERROR(__xludf.DUMMYFUNCTION("""COMPUTED_VALUE"""),240.04)</f>
        <v>240.04</v>
      </c>
      <c r="F111" s="141">
        <f ca="1">IFERROR(__xludf.DUMMYFUNCTION("""COMPUTED_VALUE"""),245.13)</f>
        <v>245.13</v>
      </c>
      <c r="G111" s="143">
        <f ca="1">IFERROR(__xludf.DUMMYFUNCTION("""COMPUTED_VALUE"""),46160790)</f>
        <v>46160790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IFERROR(__xludf.DUMMYFUNCTION("""COMPUTED_VALUE"""),245.05)</f>
        <v>245.05</v>
      </c>
      <c r="D112" s="141">
        <f ca="1">IFERROR(__xludf.DUMMYFUNCTION("""COMPUTED_VALUE"""),248.83)</f>
        <v>248.83</v>
      </c>
      <c r="E112" s="141">
        <f ca="1">IFERROR(__xludf.DUMMYFUNCTION("""COMPUTED_VALUE"""),244.77)</f>
        <v>244.77</v>
      </c>
      <c r="F112" s="141">
        <f ca="1">IFERROR(__xludf.DUMMYFUNCTION("""COMPUTED_VALUE"""),247.3)</f>
        <v>247.3</v>
      </c>
      <c r="G112" s="143">
        <f ca="1">IFERROR(__xludf.DUMMYFUNCTION("""COMPUTED_VALUE"""),34636590)</f>
        <v>34636590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IFERROR(__xludf.DUMMYFUNCTION("""COMPUTED_VALUE"""),248.01)</f>
        <v>248.01</v>
      </c>
      <c r="D113" s="141">
        <f ca="1">IFERROR(__xludf.DUMMYFUNCTION("""COMPUTED_VALUE"""),248.81)</f>
        <v>248.81</v>
      </c>
      <c r="E113" s="141">
        <f ca="1">IFERROR(__xludf.DUMMYFUNCTION("""COMPUTED_VALUE"""),247.07)</f>
        <v>247.07</v>
      </c>
      <c r="F113" s="141">
        <f ca="1">IFERROR(__xludf.DUMMYFUNCTION("""COMPUTED_VALUE"""),248.75)</f>
        <v>248.75</v>
      </c>
      <c r="G113" s="143">
        <f ca="1">IFERROR(__xludf.DUMMYFUNCTION("""COMPUTED_VALUE"""),18911812)</f>
        <v>18911812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IFERROR(__xludf.DUMMYFUNCTION("""COMPUTED_VALUE"""),245.57)</f>
        <v>245.57</v>
      </c>
      <c r="D114" s="141">
        <f ca="1">IFERROR(__xludf.DUMMYFUNCTION("""COMPUTED_VALUE"""),247.69)</f>
        <v>247.69</v>
      </c>
      <c r="E114" s="141">
        <f ca="1">IFERROR(__xludf.DUMMYFUNCTION("""COMPUTED_VALUE"""),245.34)</f>
        <v>245.34</v>
      </c>
      <c r="F114" s="141">
        <f ca="1">IFERROR(__xludf.DUMMYFUNCTION("""COMPUTED_VALUE"""),245.62)</f>
        <v>245.62</v>
      </c>
      <c r="G114" s="143">
        <f ca="1">IFERROR(__xludf.DUMMYFUNCTION("""COMPUTED_VALUE"""),36919964)</f>
        <v>36919964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IFERROR(__xludf.DUMMYFUNCTION("""COMPUTED_VALUE"""),247.37)</f>
        <v>247.37</v>
      </c>
      <c r="D115" s="141">
        <f ca="1">IFERROR(__xludf.DUMMYFUNCTION("""COMPUTED_VALUE"""),247.37)</f>
        <v>247.37</v>
      </c>
      <c r="E115" s="141">
        <f ca="1">IFERROR(__xludf.DUMMYFUNCTION("""COMPUTED_VALUE"""),245.12)</f>
        <v>245.12</v>
      </c>
      <c r="F115" s="141">
        <f ca="1">IFERROR(__xludf.DUMMYFUNCTION("""COMPUTED_VALUE"""),245.17)</f>
        <v>245.17</v>
      </c>
      <c r="G115" s="143">
        <f ca="1">IFERROR(__xludf.DUMMYFUNCTION("""COMPUTED_VALUE"""),31918469)</f>
        <v>31918469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IFERROR(__xludf.DUMMYFUNCTION("""COMPUTED_VALUE"""),245.97)</f>
        <v>245.97</v>
      </c>
      <c r="D116" s="141">
        <f ca="1">IFERROR(__xludf.DUMMYFUNCTION("""COMPUTED_VALUE"""),249.84)</f>
        <v>249.84</v>
      </c>
      <c r="E116" s="141">
        <f ca="1">IFERROR(__xludf.DUMMYFUNCTION("""COMPUTED_VALUE"""),245.48)</f>
        <v>245.48</v>
      </c>
      <c r="F116" s="141">
        <f ca="1">IFERROR(__xludf.DUMMYFUNCTION("""COMPUTED_VALUE"""),249.63)</f>
        <v>249.63</v>
      </c>
      <c r="G116" s="143">
        <f ca="1">IFERROR(__xludf.DUMMYFUNCTION("""COMPUTED_VALUE"""),32846272)</f>
        <v>32846272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IFERROR(__xludf.DUMMYFUNCTION("""COMPUTED_VALUE"""),248.97)</f>
        <v>248.97</v>
      </c>
      <c r="D117" s="141">
        <f ca="1">IFERROR(__xludf.DUMMYFUNCTION("""COMPUTED_VALUE"""),252.66)</f>
        <v>252.66</v>
      </c>
      <c r="E117" s="141">
        <f ca="1">IFERROR(__xludf.DUMMYFUNCTION("""COMPUTED_VALUE"""),248.54)</f>
        <v>248.54</v>
      </c>
      <c r="F117" s="141">
        <f ca="1">IFERROR(__xludf.DUMMYFUNCTION("""COMPUTED_VALUE"""),251.82)</f>
        <v>251.82</v>
      </c>
      <c r="G117" s="143">
        <f ca="1">IFERROR(__xludf.DUMMYFUNCTION("""COMPUTED_VALUE"""),40245796)</f>
        <v>40245796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IFERROR(__xludf.DUMMYFUNCTION("""COMPUTED_VALUE"""),251.49)</f>
        <v>251.49</v>
      </c>
      <c r="D118" s="141">
        <f ca="1">IFERROR(__xludf.DUMMYFUNCTION("""COMPUTED_VALUE"""),252.66)</f>
        <v>252.66</v>
      </c>
      <c r="E118" s="141">
        <f ca="1">IFERROR(__xludf.DUMMYFUNCTION("""COMPUTED_VALUE"""),250.28)</f>
        <v>250.28</v>
      </c>
      <c r="F118" s="141">
        <f ca="1">IFERROR(__xludf.DUMMYFUNCTION("""COMPUTED_VALUE"""),250.77)</f>
        <v>250.77</v>
      </c>
      <c r="G118" s="143">
        <f ca="1">IFERROR(__xludf.DUMMYFUNCTION("""COMPUTED_VALUE"""),36956621)</f>
        <v>36956621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IFERROR(__xludf.DUMMYFUNCTION("""COMPUTED_VALUE"""),252.7)</f>
        <v>252.7</v>
      </c>
      <c r="D119" s="141">
        <f ca="1">IFERROR(__xludf.DUMMYFUNCTION("""COMPUTED_VALUE"""),252.77)</f>
        <v>252.77</v>
      </c>
      <c r="E119" s="141">
        <f ca="1">IFERROR(__xludf.DUMMYFUNCTION("""COMPUTED_VALUE"""),250.18)</f>
        <v>250.18</v>
      </c>
      <c r="F119" s="141">
        <f ca="1">IFERROR(__xludf.DUMMYFUNCTION("""COMPUTED_VALUE"""),250.87)</f>
        <v>250.87</v>
      </c>
      <c r="G119" s="143">
        <f ca="1">IFERROR(__xludf.DUMMYFUNCTION("""COMPUTED_VALUE"""),29100029)</f>
        <v>29100029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IFERROR(__xludf.DUMMYFUNCTION("""COMPUTED_VALUE"""),250.25)</f>
        <v>250.25</v>
      </c>
      <c r="D120" s="141">
        <f ca="1">IFERROR(__xludf.DUMMYFUNCTION("""COMPUTED_VALUE"""),252.95)</f>
        <v>252.95</v>
      </c>
      <c r="E120" s="141">
        <f ca="1">IFERROR(__xludf.DUMMYFUNCTION("""COMPUTED_VALUE"""),250.1)</f>
        <v>250.1</v>
      </c>
      <c r="F120" s="141">
        <f ca="1">IFERROR(__xludf.DUMMYFUNCTION("""COMPUTED_VALUE"""),251.39)</f>
        <v>251.39</v>
      </c>
      <c r="G120" s="143">
        <f ca="1">IFERROR(__xludf.DUMMYFUNCTION("""COMPUTED_VALUE"""),30170111)</f>
        <v>30170111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IFERROR(__xludf.DUMMYFUNCTION("""COMPUTED_VALUE"""),250.9)</f>
        <v>250.9</v>
      </c>
      <c r="D121" s="141">
        <f ca="1">IFERROR(__xludf.DUMMYFUNCTION("""COMPUTED_VALUE"""),256.57)</f>
        <v>256.57</v>
      </c>
      <c r="E121" s="141">
        <f ca="1">IFERROR(__xludf.DUMMYFUNCTION("""COMPUTED_VALUE"""),250.54)</f>
        <v>250.54</v>
      </c>
      <c r="F121" s="141">
        <f ca="1">IFERROR(__xludf.DUMMYFUNCTION("""COMPUTED_VALUE"""),254.81)</f>
        <v>254.81</v>
      </c>
      <c r="G121" s="143">
        <f ca="1">IFERROR(__xludf.DUMMYFUNCTION("""COMPUTED_VALUE"""),51105179)</f>
        <v>51105179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IFERROR(__xludf.DUMMYFUNCTION("""COMPUTED_VALUE"""),254.64)</f>
        <v>254.64</v>
      </c>
      <c r="D122" s="141">
        <f ca="1">IFERROR(__xludf.DUMMYFUNCTION("""COMPUTED_VALUE"""),258.01)</f>
        <v>258.01</v>
      </c>
      <c r="E122" s="141">
        <f ca="1">IFERROR(__xludf.DUMMYFUNCTION("""COMPUTED_VALUE"""),254.32)</f>
        <v>254.32</v>
      </c>
      <c r="F122" s="141">
        <f ca="1">IFERROR(__xludf.DUMMYFUNCTION("""COMPUTED_VALUE"""),257.8)</f>
        <v>257.8</v>
      </c>
      <c r="G122" s="143">
        <f ca="1">IFERROR(__xludf.DUMMYFUNCTION("""COMPUTED_VALUE"""),41345164)</f>
        <v>41345164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IFERROR(__xludf.DUMMYFUNCTION("""COMPUTED_VALUE"""),257.95)</f>
        <v>257.95</v>
      </c>
      <c r="D123" s="141">
        <f ca="1">IFERROR(__xludf.DUMMYFUNCTION("""COMPUTED_VALUE"""),258.2)</f>
        <v>258.2</v>
      </c>
      <c r="E123" s="141">
        <f ca="1">IFERROR(__xludf.DUMMYFUNCTION("""COMPUTED_VALUE"""),253.44)</f>
        <v>253.44</v>
      </c>
      <c r="F123" s="141">
        <f ca="1">IFERROR(__xludf.DUMMYFUNCTION("""COMPUTED_VALUE"""),253.85)</f>
        <v>253.85</v>
      </c>
      <c r="G123" s="143">
        <f ca="1">IFERROR(__xludf.DUMMYFUNCTION("""COMPUTED_VALUE"""),57657743)</f>
        <v>57657743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IFERROR(__xludf.DUMMYFUNCTION("""COMPUTED_VALUE"""),255.55)</f>
        <v>255.55</v>
      </c>
      <c r="D124" s="141">
        <f ca="1">IFERROR(__xludf.DUMMYFUNCTION("""COMPUTED_VALUE"""),255.69)</f>
        <v>255.69</v>
      </c>
      <c r="E124" s="141">
        <f ca="1">IFERROR(__xludf.DUMMYFUNCTION("""COMPUTED_VALUE"""),251.74)</f>
        <v>251.74</v>
      </c>
      <c r="F124" s="141">
        <f ca="1">IFERROR(__xludf.DUMMYFUNCTION("""COMPUTED_VALUE"""),251.93)</f>
        <v>251.93</v>
      </c>
      <c r="G124" s="143">
        <f ca="1">IFERROR(__xludf.DUMMYFUNCTION("""COMPUTED_VALUE"""),43120086)</f>
        <v>43120086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IFERROR(__xludf.DUMMYFUNCTION("""COMPUTED_VALUE"""),250.34)</f>
        <v>250.34</v>
      </c>
      <c r="D125" s="141">
        <f ca="1">IFERROR(__xludf.DUMMYFUNCTION("""COMPUTED_VALUE"""),252.16)</f>
        <v>252.16</v>
      </c>
      <c r="E125" s="141">
        <f ca="1">IFERROR(__xludf.DUMMYFUNCTION("""COMPUTED_VALUE"""),248.47)</f>
        <v>248.47</v>
      </c>
      <c r="F125" s="141">
        <f ca="1">IFERROR(__xludf.DUMMYFUNCTION("""COMPUTED_VALUE"""),249.9)</f>
        <v>249.9</v>
      </c>
      <c r="G125" s="143">
        <f ca="1">IFERROR(__xludf.DUMMYFUNCTION("""COMPUTED_VALUE"""),43115263)</f>
        <v>43115263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IFERROR(__xludf.DUMMYFUNCTION("""COMPUTED_VALUE"""),250.37)</f>
        <v>250.37</v>
      </c>
      <c r="D126" s="141">
        <f ca="1">IFERROR(__xludf.DUMMYFUNCTION("""COMPUTED_VALUE"""),252.16)</f>
        <v>252.16</v>
      </c>
      <c r="E126" s="141">
        <f ca="1">IFERROR(__xludf.DUMMYFUNCTION("""COMPUTED_VALUE"""),246.7)</f>
        <v>246.7</v>
      </c>
      <c r="F126" s="141">
        <f ca="1">IFERROR(__xludf.DUMMYFUNCTION("""COMPUTED_VALUE"""),247.24)</f>
        <v>247.24</v>
      </c>
      <c r="G126" s="143">
        <f ca="1">IFERROR(__xludf.DUMMYFUNCTION("""COMPUTED_VALUE"""),38132440)</f>
        <v>38132440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IFERROR(__xludf.DUMMYFUNCTION("""COMPUTED_VALUE"""),250.18)</f>
        <v>250.18</v>
      </c>
      <c r="D127" s="141">
        <f ca="1">IFERROR(__xludf.DUMMYFUNCTION("""COMPUTED_VALUE"""),251.36)</f>
        <v>251.36</v>
      </c>
      <c r="E127" s="141">
        <f ca="1">IFERROR(__xludf.DUMMYFUNCTION("""COMPUTED_VALUE"""),248.21)</f>
        <v>248.21</v>
      </c>
      <c r="F127" s="141">
        <f ca="1">IFERROR(__xludf.DUMMYFUNCTION("""COMPUTED_VALUE"""),248.71)</f>
        <v>248.71</v>
      </c>
      <c r="G127" s="143">
        <f ca="1">IFERROR(__xludf.DUMMYFUNCTION("""COMPUTED_VALUE"""),39067968)</f>
        <v>39067968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IFERROR(__xludf.DUMMYFUNCTION("""COMPUTED_VALUE"""),249.28)</f>
        <v>249.28</v>
      </c>
      <c r="D128" s="141">
        <f ca="1">IFERROR(__xludf.DUMMYFUNCTION("""COMPUTED_VALUE"""),251.4)</f>
        <v>251.4</v>
      </c>
      <c r="E128" s="141">
        <f ca="1">IFERROR(__xludf.DUMMYFUNCTION("""COMPUTED_VALUE"""),249.06)</f>
        <v>249.06</v>
      </c>
      <c r="F128" s="141">
        <f ca="1">IFERROR(__xludf.DUMMYFUNCTION("""COMPUTED_VALUE"""),250.79)</f>
        <v>250.79</v>
      </c>
      <c r="G128" s="143">
        <f ca="1">IFERROR(__xludf.DUMMYFUNCTION("""COMPUTED_VALUE"""),43610403)</f>
        <v>43610403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IFERROR(__xludf.DUMMYFUNCTION("""COMPUTED_VALUE"""),252.28)</f>
        <v>252.28</v>
      </c>
      <c r="D129" s="141">
        <f ca="1">IFERROR(__xludf.DUMMYFUNCTION("""COMPUTED_VALUE"""),255.12)</f>
        <v>255.12</v>
      </c>
      <c r="E129" s="141">
        <f ca="1">IFERROR(__xludf.DUMMYFUNCTION("""COMPUTED_VALUE"""),252.2)</f>
        <v>252.2</v>
      </c>
      <c r="F129" s="141">
        <f ca="1">IFERROR(__xludf.DUMMYFUNCTION("""COMPUTED_VALUE"""),253.58)</f>
        <v>253.58</v>
      </c>
      <c r="G129" s="143">
        <f ca="1">IFERROR(__xludf.DUMMYFUNCTION("""COMPUTED_VALUE"""),40497273)</f>
        <v>40497273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IFERROR(__xludf.DUMMYFUNCTION("""COMPUTED_VALUE"""),252.42)</f>
        <v>252.42</v>
      </c>
      <c r="D130" s="141">
        <f ca="1">IFERROR(__xludf.DUMMYFUNCTION("""COMPUTED_VALUE"""),253.22)</f>
        <v>253.22</v>
      </c>
      <c r="E130" s="141">
        <f ca="1">IFERROR(__xludf.DUMMYFUNCTION("""COMPUTED_VALUE"""),251.46)</f>
        <v>251.46</v>
      </c>
      <c r="F130" s="141">
        <f ca="1">IFERROR(__xludf.DUMMYFUNCTION("""COMPUTED_VALUE"""),252.08)</f>
        <v>252.08</v>
      </c>
      <c r="G130" s="143">
        <f ca="1">IFERROR(__xludf.DUMMYFUNCTION("""COMPUTED_VALUE"""),24973497)</f>
        <v>24973497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IFERROR(__xludf.DUMMYFUNCTION("""COMPUTED_VALUE"""),251.97)</f>
        <v>251.97</v>
      </c>
      <c r="D131" s="141">
        <f ca="1">IFERROR(__xludf.DUMMYFUNCTION("""COMPUTED_VALUE"""),252.86)</f>
        <v>252.86</v>
      </c>
      <c r="E131" s="141">
        <f ca="1">IFERROR(__xludf.DUMMYFUNCTION("""COMPUTED_VALUE"""),251.12)</f>
        <v>251.12</v>
      </c>
      <c r="F131" s="141">
        <f ca="1">IFERROR(__xludf.DUMMYFUNCTION("""COMPUTED_VALUE"""),252.71)</f>
        <v>252.71</v>
      </c>
      <c r="G131" s="143">
        <f ca="1">IFERROR(__xludf.DUMMYFUNCTION("""COMPUTED_VALUE"""),12102974)</f>
        <v>12102974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IFERROR(__xludf.DUMMYFUNCTION("""COMPUTED_VALUE"""),252.58)</f>
        <v>252.58</v>
      </c>
      <c r="D132" s="141">
        <f ca="1">IFERROR(__xludf.DUMMYFUNCTION("""COMPUTED_VALUE"""),252.75)</f>
        <v>252.75</v>
      </c>
      <c r="E132" s="141">
        <f ca="1">IFERROR(__xludf.DUMMYFUNCTION("""COMPUTED_VALUE"""),250.4)</f>
        <v>250.4</v>
      </c>
      <c r="F132" s="141">
        <f ca="1">IFERROR(__xludf.DUMMYFUNCTION("""COMPUTED_VALUE"""),251.42)</f>
        <v>251.42</v>
      </c>
      <c r="G132" s="143">
        <f ca="1">IFERROR(__xludf.DUMMYFUNCTION("""COMPUTED_VALUE"""),17429945)</f>
        <v>17429945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IFERROR(__xludf.DUMMYFUNCTION("""COMPUTED_VALUE"""),250.26)</f>
        <v>250.26</v>
      </c>
      <c r="D133" s="141">
        <f ca="1">IFERROR(__xludf.DUMMYFUNCTION("""COMPUTED_VALUE"""),251.5)</f>
        <v>251.5</v>
      </c>
      <c r="E133" s="141">
        <f ca="1">IFERROR(__xludf.DUMMYFUNCTION("""COMPUTED_VALUE"""),249.35)</f>
        <v>249.35</v>
      </c>
      <c r="F133" s="141">
        <f ca="1">IFERROR(__xludf.DUMMYFUNCTION("""COMPUTED_VALUE"""),249.88)</f>
        <v>249.88</v>
      </c>
      <c r="G133" s="143">
        <f ca="1">IFERROR(__xludf.DUMMYFUNCTION("""COMPUTED_VALUE"""),25218779)</f>
        <v>25218779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IFERROR(__xludf.DUMMYFUNCTION("""COMPUTED_VALUE"""),249.97)</f>
        <v>249.97</v>
      </c>
      <c r="D134" s="141">
        <f ca="1">IFERROR(__xludf.DUMMYFUNCTION("""COMPUTED_VALUE"""),250.15)</f>
        <v>250.15</v>
      </c>
      <c r="E134" s="141">
        <f ca="1">IFERROR(__xludf.DUMMYFUNCTION("""COMPUTED_VALUE"""),247.95)</f>
        <v>247.95</v>
      </c>
      <c r="F134" s="141">
        <f ca="1">IFERROR(__xludf.DUMMYFUNCTION("""COMPUTED_VALUE"""),248.03)</f>
        <v>248.03</v>
      </c>
      <c r="G134" s="143">
        <f ca="1">IFERROR(__xludf.DUMMYFUNCTION("""COMPUTED_VALUE"""),22123639)</f>
        <v>22123639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IFERROR(__xludf.DUMMYFUNCTION("""COMPUTED_VALUE"""),248.18)</f>
        <v>248.18</v>
      </c>
      <c r="D135" s="141">
        <f ca="1">IFERROR(__xludf.DUMMYFUNCTION("""COMPUTED_VALUE"""),248.28)</f>
        <v>248.28</v>
      </c>
      <c r="E135" s="141">
        <f ca="1">IFERROR(__xludf.DUMMYFUNCTION("""COMPUTED_VALUE"""),246.01)</f>
        <v>246.01</v>
      </c>
      <c r="F135" s="141">
        <f ca="1">IFERROR(__xludf.DUMMYFUNCTION("""COMPUTED_VALUE"""),246.16)</f>
        <v>246.16</v>
      </c>
      <c r="G135" s="143">
        <f ca="1">IFERROR(__xludf.DUMMYFUNCTION("""COMPUTED_VALUE"""),35351972)</f>
        <v>35351972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IFERROR(__xludf.DUMMYFUNCTION("""COMPUTED_VALUE"""),247.63)</f>
        <v>247.63</v>
      </c>
      <c r="D136" s="141">
        <f ca="1">IFERROR(__xludf.DUMMYFUNCTION("""COMPUTED_VALUE"""),249.09)</f>
        <v>249.09</v>
      </c>
      <c r="E136" s="141">
        <f ca="1">IFERROR(__xludf.DUMMYFUNCTION("""COMPUTED_VALUE"""),245.86)</f>
        <v>245.86</v>
      </c>
      <c r="F136" s="141">
        <f ca="1">IFERROR(__xludf.DUMMYFUNCTION("""COMPUTED_VALUE"""),248.78)</f>
        <v>248.78</v>
      </c>
      <c r="G136" s="143">
        <f ca="1">IFERROR(__xludf.DUMMYFUNCTION("""COMPUTED_VALUE"""),40007650)</f>
        <v>40007650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IFERROR(__xludf.DUMMYFUNCTION("""COMPUTED_VALUE"""),249.79)</f>
        <v>249.79</v>
      </c>
      <c r="D137" s="141">
        <f ca="1">IFERROR(__xludf.DUMMYFUNCTION("""COMPUTED_VALUE"""),253.55)</f>
        <v>253.55</v>
      </c>
      <c r="E137" s="141">
        <f ca="1">IFERROR(__xludf.DUMMYFUNCTION("""COMPUTED_VALUE"""),249.57)</f>
        <v>249.57</v>
      </c>
      <c r="F137" s="141">
        <f ca="1">IFERROR(__xludf.DUMMYFUNCTION("""COMPUTED_VALUE"""),252.73)</f>
        <v>252.73</v>
      </c>
      <c r="G137" s="143">
        <f ca="1">IFERROR(__xludf.DUMMYFUNCTION("""COMPUTED_VALUE"""),37428056)</f>
        <v>37428056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IFERROR(__xludf.DUMMYFUNCTION("""COMPUTED_VALUE"""),252.24)</f>
        <v>252.24</v>
      </c>
      <c r="D138" s="141">
        <f ca="1">IFERROR(__xludf.DUMMYFUNCTION("""COMPUTED_VALUE"""),256.25)</f>
        <v>256.25</v>
      </c>
      <c r="E138" s="141">
        <f ca="1">IFERROR(__xludf.DUMMYFUNCTION("""COMPUTED_VALUE"""),251.52)</f>
        <v>251.52</v>
      </c>
      <c r="F138" s="141">
        <f ca="1">IFERROR(__xludf.DUMMYFUNCTION("""COMPUTED_VALUE"""),256.08)</f>
        <v>256.08</v>
      </c>
      <c r="G138" s="143">
        <f ca="1">IFERROR(__xludf.DUMMYFUNCTION("""COMPUTED_VALUE"""),40677781)</f>
        <v>40677781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IFERROR(__xludf.DUMMYFUNCTION("""COMPUTED_VALUE"""),256.4)</f>
        <v>256.39999999999998</v>
      </c>
      <c r="D139" s="141">
        <f ca="1">IFERROR(__xludf.DUMMYFUNCTION("""COMPUTED_VALUE"""),256.8)</f>
        <v>256.8</v>
      </c>
      <c r="E139" s="141">
        <f ca="1">IFERROR(__xludf.DUMMYFUNCTION("""COMPUTED_VALUE"""),253.97)</f>
        <v>253.97</v>
      </c>
      <c r="F139" s="141">
        <f ca="1">IFERROR(__xludf.DUMMYFUNCTION("""COMPUTED_VALUE"""),255.48)</f>
        <v>255.48</v>
      </c>
      <c r="G139" s="143">
        <f ca="1">IFERROR(__xludf.DUMMYFUNCTION("""COMPUTED_VALUE"""),33052026)</f>
        <v>33052026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IFERROR(__xludf.DUMMYFUNCTION("""COMPUTED_VALUE"""),254.7)</f>
        <v>254.7</v>
      </c>
      <c r="D140" s="141">
        <f ca="1">IFERROR(__xludf.DUMMYFUNCTION("""COMPUTED_VALUE"""),258.93)</f>
        <v>258.93</v>
      </c>
      <c r="E140" s="141">
        <f ca="1">IFERROR(__xludf.DUMMYFUNCTION("""COMPUTED_VALUE"""),254.36)</f>
        <v>254.36</v>
      </c>
      <c r="F140" s="141">
        <f ca="1">IFERROR(__xludf.DUMMYFUNCTION("""COMPUTED_VALUE"""),258.27)</f>
        <v>258.27</v>
      </c>
      <c r="G140" s="143">
        <f ca="1">IFERROR(__xludf.DUMMYFUNCTION("""COMPUTED_VALUE"""),37957029)</f>
        <v>37957029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IFERROR(__xludf.DUMMYFUNCTION("""COMPUTED_VALUE"""),259.58)</f>
        <v>259.58</v>
      </c>
      <c r="D141" s="141">
        <f ca="1">IFERROR(__xludf.DUMMYFUNCTION("""COMPUTED_VALUE"""),261.56)</f>
        <v>261.56</v>
      </c>
      <c r="E141" s="141">
        <f ca="1">IFERROR(__xludf.DUMMYFUNCTION("""COMPUTED_VALUE"""),258.09)</f>
        <v>258.08999999999997</v>
      </c>
      <c r="F141" s="141">
        <f ca="1">IFERROR(__xludf.DUMMYFUNCTION("""COMPUTED_VALUE"""),260.23)</f>
        <v>260.23</v>
      </c>
      <c r="G141" s="143">
        <f ca="1">IFERROR(__xludf.DUMMYFUNCTION("""COMPUTED_VALUE"""),36301546)</f>
        <v>36301546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IFERROR(__xludf.DUMMYFUNCTION("""COMPUTED_VALUE"""),259.28)</f>
        <v>259.27999999999997</v>
      </c>
      <c r="D142" s="141">
        <f ca="1">IFERROR(__xludf.DUMMYFUNCTION("""COMPUTED_VALUE"""),261.66)</f>
        <v>261.66000000000003</v>
      </c>
      <c r="E142" s="141">
        <f ca="1">IFERROR(__xludf.DUMMYFUNCTION("""COMPUTED_VALUE"""),258.24)</f>
        <v>258.24</v>
      </c>
      <c r="F142" s="141">
        <f ca="1">IFERROR(__xludf.DUMMYFUNCTION("""COMPUTED_VALUE"""),261.5)</f>
        <v>261.5</v>
      </c>
      <c r="G142" s="143">
        <f ca="1">IFERROR(__xludf.DUMMYFUNCTION("""COMPUTED_VALUE"""),28423355)</f>
        <v>28423355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IFERROR(__xludf.DUMMYFUNCTION("""COMPUTED_VALUE"""),262.4)</f>
        <v>262.39999999999998</v>
      </c>
      <c r="D143" s="141">
        <f ca="1">IFERROR(__xludf.DUMMYFUNCTION("""COMPUTED_VALUE"""),262.89)</f>
        <v>262.89</v>
      </c>
      <c r="E143" s="141">
        <f ca="1">IFERROR(__xludf.DUMMYFUNCTION("""COMPUTED_VALUE"""),260.46)</f>
        <v>260.45999999999998</v>
      </c>
      <c r="F143" s="141">
        <f ca="1">IFERROR(__xludf.DUMMYFUNCTION("""COMPUTED_VALUE"""),261.35)</f>
        <v>261.35000000000002</v>
      </c>
      <c r="G143" s="143">
        <f ca="1">IFERROR(__xludf.DUMMYFUNCTION("""COMPUTED_VALUE"""),33882364)</f>
        <v>33882364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IFERROR(__xludf.DUMMYFUNCTION("""COMPUTED_VALUE"""),261.13)</f>
        <v>261.13</v>
      </c>
      <c r="D144" s="141">
        <f ca="1">IFERROR(__xludf.DUMMYFUNCTION("""COMPUTED_VALUE"""),263.46)</f>
        <v>263.45999999999998</v>
      </c>
      <c r="E144" s="141">
        <f ca="1">IFERROR(__xludf.DUMMYFUNCTION("""COMPUTED_VALUE"""),260.19)</f>
        <v>260.19</v>
      </c>
      <c r="F144" s="141">
        <f ca="1">IFERROR(__xludf.DUMMYFUNCTION("""COMPUTED_VALUE"""),263.19)</f>
        <v>263.19</v>
      </c>
      <c r="G144" s="143">
        <f ca="1">IFERROR(__xludf.DUMMYFUNCTION("""COMPUTED_VALUE"""),37164298)</f>
        <v>37164298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IFERROR(__xludf.DUMMYFUNCTION("""COMPUTED_VALUE"""),264.06)</f>
        <v>264.06</v>
      </c>
      <c r="D145" s="141">
        <f ca="1">IFERROR(__xludf.DUMMYFUNCTION("""COMPUTED_VALUE"""),267.05)</f>
        <v>267.05</v>
      </c>
      <c r="E145" s="141">
        <f ca="1">IFERROR(__xludf.DUMMYFUNCTION("""COMPUTED_VALUE"""),263.73)</f>
        <v>263.73</v>
      </c>
      <c r="F145" s="141">
        <f ca="1">IFERROR(__xludf.DUMMYFUNCTION("""COMPUTED_VALUE"""),265.51)</f>
        <v>265.51</v>
      </c>
      <c r="G145" s="143">
        <f ca="1">IFERROR(__xludf.DUMMYFUNCTION("""COMPUTED_VALUE"""),33465208)</f>
        <v>33465208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IFERROR(__xludf.DUMMYFUNCTION("""COMPUTED_VALUE"""),265.87)</f>
        <v>265.87</v>
      </c>
      <c r="D146" s="141">
        <f ca="1">IFERROR(__xludf.DUMMYFUNCTION("""COMPUTED_VALUE"""),267.21)</f>
        <v>267.20999999999998</v>
      </c>
      <c r="E146" s="141">
        <f ca="1">IFERROR(__xludf.DUMMYFUNCTION("""COMPUTED_VALUE"""),264.71)</f>
        <v>264.70999999999998</v>
      </c>
      <c r="F146" s="141">
        <f ca="1">IFERROR(__xludf.DUMMYFUNCTION("""COMPUTED_VALUE"""),265.76)</f>
        <v>265.76</v>
      </c>
      <c r="G146" s="143">
        <f ca="1">IFERROR(__xludf.DUMMYFUNCTION("""COMPUTED_VALUE"""),33844875)</f>
        <v>33844875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IFERROR(__xludf.DUMMYFUNCTION("""COMPUTED_VALUE"""),261.14)</f>
        <v>261.14</v>
      </c>
      <c r="D147" s="141">
        <f ca="1">IFERROR(__xludf.DUMMYFUNCTION("""COMPUTED_VALUE"""),265.08)</f>
        <v>265.08</v>
      </c>
      <c r="E147" s="141">
        <f ca="1">IFERROR(__xludf.DUMMYFUNCTION("""COMPUTED_VALUE"""),261.06)</f>
        <v>261.06</v>
      </c>
      <c r="F147" s="141">
        <f ca="1">IFERROR(__xludf.DUMMYFUNCTION("""COMPUTED_VALUE"""),262.58)</f>
        <v>262.58</v>
      </c>
      <c r="G147" s="143">
        <f ca="1">IFERROR(__xludf.DUMMYFUNCTION("""COMPUTED_VALUE"""),47911489)</f>
        <v>47911489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IFERROR(__xludf.DUMMYFUNCTION("""COMPUTED_VALUE"""),264.64)</f>
        <v>264.64</v>
      </c>
      <c r="D148" s="141">
        <f ca="1">IFERROR(__xludf.DUMMYFUNCTION("""COMPUTED_VALUE"""),268.59)</f>
        <v>268.58999999999997</v>
      </c>
      <c r="E148" s="141">
        <f ca="1">IFERROR(__xludf.DUMMYFUNCTION("""COMPUTED_VALUE"""),262.92)</f>
        <v>262.92</v>
      </c>
      <c r="F148" s="141">
        <f ca="1">IFERROR(__xludf.DUMMYFUNCTION("""COMPUTED_VALUE"""),267.79)</f>
        <v>267.79000000000002</v>
      </c>
      <c r="G148" s="143">
        <f ca="1">IFERROR(__xludf.DUMMYFUNCTION("""COMPUTED_VALUE"""),59952798)</f>
        <v>59952798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IFERROR(__xludf.DUMMYFUNCTION("""COMPUTED_VALUE"""),269.83)</f>
        <v>269.83</v>
      </c>
      <c r="D149" s="141">
        <f ca="1">IFERROR(__xludf.DUMMYFUNCTION("""COMPUTED_VALUE"""),271.6)</f>
        <v>271.60000000000002</v>
      </c>
      <c r="E149" s="141">
        <f ca="1">IFERROR(__xludf.DUMMYFUNCTION("""COMPUTED_VALUE"""),269.42)</f>
        <v>269.42</v>
      </c>
      <c r="F149" s="141">
        <f ca="1">IFERROR(__xludf.DUMMYFUNCTION("""COMPUTED_VALUE"""),269.79)</f>
        <v>269.79000000000002</v>
      </c>
      <c r="G149" s="143">
        <f ca="1">IFERROR(__xludf.DUMMYFUNCTION("""COMPUTED_VALUE"""),35110779)</f>
        <v>35110779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IFERROR(__xludf.DUMMYFUNCTION("""COMPUTED_VALUE"""),269.04)</f>
        <v>269.04000000000002</v>
      </c>
      <c r="D150" s="141">
        <f ca="1">IFERROR(__xludf.DUMMYFUNCTION("""COMPUTED_VALUE"""),269.05)</f>
        <v>269.05</v>
      </c>
      <c r="E150" s="141">
        <f ca="1">IFERROR(__xludf.DUMMYFUNCTION("""COMPUTED_VALUE"""),264.46)</f>
        <v>264.45999999999998</v>
      </c>
      <c r="F150" s="141">
        <f ca="1">IFERROR(__xludf.DUMMYFUNCTION("""COMPUTED_VALUE"""),264.81)</f>
        <v>264.81</v>
      </c>
      <c r="G150" s="143">
        <f ca="1">IFERROR(__xludf.DUMMYFUNCTION("""COMPUTED_VALUE"""),42636691)</f>
        <v>42636691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IFERROR(__xludf.DUMMYFUNCTION("""COMPUTED_VALUE"""),265.07)</f>
        <v>265.07</v>
      </c>
      <c r="D151" s="141">
        <f ca="1">IFERROR(__xludf.DUMMYFUNCTION("""COMPUTED_VALUE"""),266.69)</f>
        <v>266.69</v>
      </c>
      <c r="E151" s="141">
        <f ca="1">IFERROR(__xludf.DUMMYFUNCTION("""COMPUTED_VALUE"""),263.49)</f>
        <v>263.49</v>
      </c>
      <c r="F151" s="141">
        <f ca="1">IFERROR(__xludf.DUMMYFUNCTION("""COMPUTED_VALUE"""),263.98)</f>
        <v>263.98</v>
      </c>
      <c r="G151" s="143">
        <f ca="1">IFERROR(__xludf.DUMMYFUNCTION("""COMPUTED_VALUE"""),32119332)</f>
        <v>32119332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IFERROR(__xludf.DUMMYFUNCTION("""COMPUTED_VALUE"""),264.05)</f>
        <v>264.05</v>
      </c>
      <c r="D152" s="141">
        <f ca="1">IFERROR(__xludf.DUMMYFUNCTION("""COMPUTED_VALUE"""),264.86)</f>
        <v>264.86</v>
      </c>
      <c r="E152" s="141">
        <f ca="1">IFERROR(__xludf.DUMMYFUNCTION("""COMPUTED_VALUE"""),262.66)</f>
        <v>262.66000000000003</v>
      </c>
      <c r="F152" s="141">
        <f ca="1">IFERROR(__xludf.DUMMYFUNCTION("""COMPUTED_VALUE"""),264.73)</f>
        <v>264.73</v>
      </c>
      <c r="G152" s="143">
        <f ca="1">IFERROR(__xludf.DUMMYFUNCTION("""COMPUTED_VALUE"""),26975518)</f>
        <v>26975518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IFERROR(__xludf.DUMMYFUNCTION("""COMPUTED_VALUE"""),265.98)</f>
        <v>265.98</v>
      </c>
      <c r="D153" s="141">
        <f ca="1">IFERROR(__xludf.DUMMYFUNCTION("""COMPUTED_VALUE"""),266.68)</f>
        <v>266.68</v>
      </c>
      <c r="E153" s="141">
        <f ca="1">IFERROR(__xludf.DUMMYFUNCTION("""COMPUTED_VALUE"""),262.56)</f>
        <v>262.56</v>
      </c>
      <c r="F153" s="141">
        <f ca="1">IFERROR(__xludf.DUMMYFUNCTION("""COMPUTED_VALUE"""),263.3)</f>
        <v>263.3</v>
      </c>
      <c r="G153" s="143">
        <f ca="1">IFERROR(__xludf.DUMMYFUNCTION("""COMPUTED_VALUE"""),37139119)</f>
        <v>37139119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IFERROR(__xludf.DUMMYFUNCTION("""COMPUTED_VALUE"""),264.07)</f>
        <v>264.07</v>
      </c>
      <c r="D154" s="141">
        <f ca="1">IFERROR(__xludf.DUMMYFUNCTION("""COMPUTED_VALUE"""),265.06)</f>
        <v>265.06</v>
      </c>
      <c r="E154" s="141">
        <f ca="1">IFERROR(__xludf.DUMMYFUNCTION("""COMPUTED_VALUE"""),259.41)</f>
        <v>259.41000000000003</v>
      </c>
      <c r="F154" s="141">
        <f ca="1">IFERROR(__xludf.DUMMYFUNCTION("""COMPUTED_VALUE"""),263.37)</f>
        <v>263.37</v>
      </c>
      <c r="G154" s="143">
        <f ca="1">IFERROR(__xludf.DUMMYFUNCTION("""COMPUTED_VALUE"""),43922928)</f>
        <v>43922928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IFERROR(__xludf.DUMMYFUNCTION("""COMPUTED_VALUE"""),261.07)</f>
        <v>261.07</v>
      </c>
      <c r="D155" s="141">
        <f ca="1">IFERROR(__xludf.DUMMYFUNCTION("""COMPUTED_VALUE"""),262.98)</f>
        <v>262.98</v>
      </c>
      <c r="E155" s="141">
        <f ca="1">IFERROR(__xludf.DUMMYFUNCTION("""COMPUTED_VALUE"""),257.94)</f>
        <v>257.94</v>
      </c>
      <c r="F155" s="141">
        <f ca="1">IFERROR(__xludf.DUMMYFUNCTION("""COMPUTED_VALUE"""),259.65)</f>
        <v>259.64999999999998</v>
      </c>
      <c r="G155" s="143">
        <f ca="1">IFERROR(__xludf.DUMMYFUNCTION("""COMPUTED_VALUE"""),59164154)</f>
        <v>59164154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IFERROR(__xludf.DUMMYFUNCTION("""COMPUTED_VALUE"""),258.48)</f>
        <v>258.48</v>
      </c>
      <c r="D156" s="141">
        <f ca="1">IFERROR(__xludf.DUMMYFUNCTION("""COMPUTED_VALUE"""),263.77)</f>
        <v>263.77</v>
      </c>
      <c r="E156" s="141">
        <f ca="1">IFERROR(__xludf.DUMMYFUNCTION("""COMPUTED_VALUE"""),258.35)</f>
        <v>258.35000000000002</v>
      </c>
      <c r="F156" s="141">
        <f ca="1">IFERROR(__xludf.DUMMYFUNCTION("""COMPUTED_VALUE"""),262.18)</f>
        <v>262.18</v>
      </c>
      <c r="G156" s="143">
        <f ca="1">IFERROR(__xludf.DUMMYFUNCTION("""COMPUTED_VALUE"""),42896193)</f>
        <v>42896193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IFERROR(__xludf.DUMMYFUNCTION("""COMPUTED_VALUE"""),263.06)</f>
        <v>263.06</v>
      </c>
      <c r="D157" s="141">
        <f ca="1">IFERROR(__xludf.DUMMYFUNCTION("""COMPUTED_VALUE"""),265.06)</f>
        <v>265.06</v>
      </c>
      <c r="E157" s="141">
        <f ca="1">IFERROR(__xludf.DUMMYFUNCTION("""COMPUTED_VALUE"""),258.55)</f>
        <v>258.55</v>
      </c>
      <c r="F157" s="141">
        <f ca="1">IFERROR(__xludf.DUMMYFUNCTION("""COMPUTED_VALUE"""),262.78)</f>
        <v>262.77999999999997</v>
      </c>
      <c r="G157" s="143">
        <f ca="1">IFERROR(__xludf.DUMMYFUNCTION("""COMPUTED_VALUE"""),54588013)</f>
        <v>54588013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IFERROR(__xludf.DUMMYFUNCTION("""COMPUTED_VALUE"""),264.16)</f>
        <v>264.16000000000003</v>
      </c>
      <c r="D158" s="141">
        <f ca="1">IFERROR(__xludf.DUMMYFUNCTION("""COMPUTED_VALUE"""),264.65)</f>
        <v>264.64999999999998</v>
      </c>
      <c r="E158" s="141">
        <f ca="1">IFERROR(__xludf.DUMMYFUNCTION("""COMPUTED_VALUE"""),257.14)</f>
        <v>257.14</v>
      </c>
      <c r="F158" s="141">
        <f ca="1">IFERROR(__xludf.DUMMYFUNCTION("""COMPUTED_VALUE"""),260.52)</f>
        <v>260.52</v>
      </c>
      <c r="G158" s="143">
        <f ca="1">IFERROR(__xludf.DUMMYFUNCTION("""COMPUTED_VALUE"""),48826545)</f>
        <v>48826545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IFERROR(__xludf.DUMMYFUNCTION("""COMPUTED_VALUE"""),258.5)</f>
        <v>258.5</v>
      </c>
      <c r="D159" s="141">
        <f ca="1">IFERROR(__xludf.DUMMYFUNCTION("""COMPUTED_VALUE"""),261.62)</f>
        <v>261.62</v>
      </c>
      <c r="E159" s="141">
        <f ca="1">IFERROR(__xludf.DUMMYFUNCTION("""COMPUTED_VALUE"""),255.05)</f>
        <v>255.05</v>
      </c>
      <c r="F159" s="141">
        <f ca="1">IFERROR(__xludf.DUMMYFUNCTION("""COMPUTED_VALUE"""),255.83)</f>
        <v>255.83</v>
      </c>
      <c r="G159" s="143">
        <f ca="1">IFERROR(__xludf.DUMMYFUNCTION("""COMPUTED_VALUE"""),48279639)</f>
        <v>48279639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IFERROR(__xludf.DUMMYFUNCTION("""COMPUTED_VALUE"""),259.74)</f>
        <v>259.74</v>
      </c>
      <c r="D160" s="141">
        <f ca="1">IFERROR(__xludf.DUMMYFUNCTION("""COMPUTED_VALUE"""),265.72)</f>
        <v>265.72000000000003</v>
      </c>
      <c r="E160" s="141">
        <f ca="1">IFERROR(__xludf.DUMMYFUNCTION("""COMPUTED_VALUE"""),259.58)</f>
        <v>259.58</v>
      </c>
      <c r="F160" s="141">
        <f ca="1">IFERROR(__xludf.DUMMYFUNCTION("""COMPUTED_VALUE"""),265.02)</f>
        <v>265.02</v>
      </c>
      <c r="G160" s="143">
        <f ca="1">IFERROR(__xludf.DUMMYFUNCTION("""COMPUTED_VALUE"""),43354860)</f>
        <v>43354860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IFERROR(__xludf.DUMMYFUNCTION("""COMPUTED_VALUE"""),264.84)</f>
        <v>264.83999999999997</v>
      </c>
      <c r="D161" s="141">
        <f ca="1">IFERROR(__xludf.DUMMYFUNCTION("""COMPUTED_VALUE"""),267.67)</f>
        <v>267.67</v>
      </c>
      <c r="E161" s="141">
        <f ca="1">IFERROR(__xludf.DUMMYFUNCTION("""COMPUTED_VALUE"""),263.34)</f>
        <v>263.33999999999997</v>
      </c>
      <c r="F161" s="141">
        <f ca="1">IFERROR(__xludf.DUMMYFUNCTION("""COMPUTED_VALUE"""),266.88)</f>
        <v>266.88</v>
      </c>
      <c r="G161" s="143">
        <f ca="1">IFERROR(__xludf.DUMMYFUNCTION("""COMPUTED_VALUE"""),29064849)</f>
        <v>29064849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IFERROR(__xludf.DUMMYFUNCTION("""COMPUTED_VALUE"""),267.23)</f>
        <v>267.23</v>
      </c>
      <c r="D162" s="141">
        <f ca="1">IFERROR(__xludf.DUMMYFUNCTION("""COMPUTED_VALUE"""),268.52)</f>
        <v>268.52</v>
      </c>
      <c r="E162" s="141">
        <f ca="1">IFERROR(__xludf.DUMMYFUNCTION("""COMPUTED_VALUE"""),265.88)</f>
        <v>265.88</v>
      </c>
      <c r="F162" s="141">
        <f ca="1">IFERROR(__xludf.DUMMYFUNCTION("""COMPUTED_VALUE"""),266.16)</f>
        <v>266.16000000000003</v>
      </c>
      <c r="G162" s="143">
        <f ca="1">IFERROR(__xludf.DUMMYFUNCTION("""COMPUTED_VALUE"""),24661655)</f>
        <v>24661655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IFERROR(__xludf.DUMMYFUNCTION("""COMPUTED_VALUE"""),268.47)</f>
        <v>268.47000000000003</v>
      </c>
      <c r="D163" s="141">
        <f ca="1">IFERROR(__xludf.DUMMYFUNCTION("""COMPUTED_VALUE"""),268.96)</f>
        <v>268.95999999999998</v>
      </c>
      <c r="E163" s="141">
        <f ca="1">IFERROR(__xludf.DUMMYFUNCTION("""COMPUTED_VALUE"""),262.1)</f>
        <v>262.10000000000002</v>
      </c>
      <c r="F163" s="141">
        <f ca="1">IFERROR(__xludf.DUMMYFUNCTION("""COMPUTED_VALUE"""),264.95)</f>
        <v>264.95</v>
      </c>
      <c r="G163" s="143">
        <f ca="1">IFERROR(__xludf.DUMMYFUNCTION("""COMPUTED_VALUE"""),41829428)</f>
        <v>41829428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IFERROR(__xludf.DUMMYFUNCTION("""COMPUTED_VALUE"""),267.02)</f>
        <v>267.02</v>
      </c>
      <c r="D164" s="141">
        <f ca="1">IFERROR(__xludf.DUMMYFUNCTION("""COMPUTED_VALUE"""),267.46)</f>
        <v>267.45999999999998</v>
      </c>
      <c r="E164" s="141">
        <f ca="1">IFERROR(__xludf.DUMMYFUNCTION("""COMPUTED_VALUE"""),258.39)</f>
        <v>258.39</v>
      </c>
      <c r="F164" s="141">
        <f ca="1">IFERROR(__xludf.DUMMYFUNCTION("""COMPUTED_VALUE"""),259.54)</f>
        <v>259.54000000000002</v>
      </c>
      <c r="G164" s="143">
        <f ca="1">IFERROR(__xludf.DUMMYFUNCTION("""COMPUTED_VALUE"""),47628169)</f>
        <v>47628169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IFERROR(__xludf.DUMMYFUNCTION("""COMPUTED_VALUE"""),260.6)</f>
        <v>260.60000000000002</v>
      </c>
      <c r="D165" s="141">
        <f ca="1">IFERROR(__xludf.DUMMYFUNCTION("""COMPUTED_VALUE"""),265.17)</f>
        <v>265.17</v>
      </c>
      <c r="E165" s="141">
        <f ca="1">IFERROR(__xludf.DUMMYFUNCTION("""COMPUTED_VALUE"""),258.51)</f>
        <v>258.51</v>
      </c>
      <c r="F165" s="141">
        <f ca="1">IFERROR(__xludf.DUMMYFUNCTION("""COMPUTED_VALUE"""),262.96)</f>
        <v>262.95999999999998</v>
      </c>
      <c r="G165" s="143">
        <f ca="1">IFERROR(__xludf.DUMMYFUNCTION("""COMPUTED_VALUE"""),45360322)</f>
        <v>45360322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IFERROR(__xludf.DUMMYFUNCTION("""COMPUTED_VALUE"""),262.38)</f>
        <v>262.38</v>
      </c>
      <c r="D166" s="141">
        <f ca="1">IFERROR(__xludf.DUMMYFUNCTION("""COMPUTED_VALUE"""),264.36)</f>
        <v>264.36</v>
      </c>
      <c r="E166" s="141">
        <f ca="1">IFERROR(__xludf.DUMMYFUNCTION("""COMPUTED_VALUE"""),259.06)</f>
        <v>259.06</v>
      </c>
      <c r="F166" s="141">
        <f ca="1">IFERROR(__xludf.DUMMYFUNCTION("""COMPUTED_VALUE"""),263.04)</f>
        <v>263.04000000000002</v>
      </c>
      <c r="G166" s="143">
        <f ca="1">IFERROR(__xludf.DUMMYFUNCTION("""COMPUTED_VALUE"""),33734782)</f>
        <v>33734782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IFERROR(__xludf.DUMMYFUNCTION("""COMPUTED_VALUE"""),263.03)</f>
        <v>263.02999999999997</v>
      </c>
      <c r="D167" s="141">
        <f ca="1">IFERROR(__xludf.DUMMYFUNCTION("""COMPUTED_VALUE"""),266.91)</f>
        <v>266.91000000000003</v>
      </c>
      <c r="E167" s="141">
        <f ca="1">IFERROR(__xludf.DUMMYFUNCTION("""COMPUTED_VALUE"""),261.85)</f>
        <v>261.85000000000002</v>
      </c>
      <c r="F167" s="141">
        <f ca="1">IFERROR(__xludf.DUMMYFUNCTION("""COMPUTED_VALUE"""),263.99)</f>
        <v>263.99</v>
      </c>
      <c r="G167" s="143">
        <f ca="1">IFERROR(__xludf.DUMMYFUNCTION("""COMPUTED_VALUE"""),36034689)</f>
        <v>36034689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IFERROR(__xludf.DUMMYFUNCTION("""COMPUTED_VALUE"""),262.57)</f>
        <v>262.57</v>
      </c>
      <c r="D168" s="141">
        <f ca="1">IFERROR(__xludf.DUMMYFUNCTION("""COMPUTED_VALUE"""),264.64)</f>
        <v>264.64</v>
      </c>
      <c r="E168" s="141">
        <f ca="1">IFERROR(__xludf.DUMMYFUNCTION("""COMPUTED_VALUE"""),261.08)</f>
        <v>261.08</v>
      </c>
      <c r="F168" s="141">
        <f ca="1">IFERROR(__xludf.DUMMYFUNCTION("""COMPUTED_VALUE"""),264.6)</f>
        <v>264.60000000000002</v>
      </c>
      <c r="G168" s="143">
        <f ca="1">IFERROR(__xludf.DUMMYFUNCTION("""COMPUTED_VALUE"""),31005952)</f>
        <v>31005952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IFERROR(__xludf.DUMMYFUNCTION("""COMPUTED_VALUE"""),262.85)</f>
        <v>262.85000000000002</v>
      </c>
      <c r="D169" s="141">
        <f ca="1">IFERROR(__xludf.DUMMYFUNCTION("""COMPUTED_VALUE"""),267.33)</f>
        <v>267.33</v>
      </c>
      <c r="E169" s="141">
        <f ca="1">IFERROR(__xludf.DUMMYFUNCTION("""COMPUTED_VALUE"""),262.14)</f>
        <v>262.14</v>
      </c>
      <c r="F169" s="141">
        <f ca="1">IFERROR(__xludf.DUMMYFUNCTION("""COMPUTED_VALUE"""),264.61)</f>
        <v>264.61</v>
      </c>
      <c r="G169" s="143">
        <f ca="1">IFERROR(__xludf.DUMMYFUNCTION("""COMPUTED_VALUE"""),47126576)</f>
        <v>47126576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IFERROR(__xludf.DUMMYFUNCTION("""COMPUTED_VALUE"""),263.4)</f>
        <v>263.39999999999998</v>
      </c>
      <c r="D170" s="141">
        <f ca="1">IFERROR(__xludf.DUMMYFUNCTION("""COMPUTED_VALUE"""),264.37)</f>
        <v>264.37</v>
      </c>
      <c r="E170" s="141">
        <f ca="1">IFERROR(__xludf.DUMMYFUNCTION("""COMPUTED_VALUE"""),258.1)</f>
        <v>258.10000000000002</v>
      </c>
      <c r="F170" s="141">
        <f ca="1">IFERROR(__xludf.DUMMYFUNCTION("""COMPUTED_VALUE"""),260.49)</f>
        <v>260.49</v>
      </c>
      <c r="G170" s="143">
        <f ca="1">IFERROR(__xludf.DUMMYFUNCTION("""COMPUTED_VALUE"""),43754856)</f>
        <v>43754856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IFERROR(__xludf.DUMMYFUNCTION("""COMPUTED_VALUE"""),260.4)</f>
        <v>260.39999999999998</v>
      </c>
      <c r="D171" s="141">
        <f ca="1">IFERROR(__xludf.DUMMYFUNCTION("""COMPUTED_VALUE"""),264.14)</f>
        <v>264.14</v>
      </c>
      <c r="E171" s="141">
        <f ca="1">IFERROR(__xludf.DUMMYFUNCTION("""COMPUTED_VALUE"""),259.86)</f>
        <v>259.86</v>
      </c>
      <c r="F171" s="141">
        <f ca="1">IFERROR(__xludf.DUMMYFUNCTION("""COMPUTED_VALUE"""),263.33)</f>
        <v>263.33</v>
      </c>
      <c r="G171" s="143">
        <f ca="1">IFERROR(__xludf.DUMMYFUNCTION("""COMPUTED_VALUE"""),34690058)</f>
        <v>34690058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IFERROR(__xludf.DUMMYFUNCTION("""COMPUTED_VALUE"""),265.25)</f>
        <v>265.25</v>
      </c>
      <c r="D172" s="141">
        <f ca="1">IFERROR(__xludf.DUMMYFUNCTION("""COMPUTED_VALUE"""),265.28)</f>
        <v>265.27999999999997</v>
      </c>
      <c r="E172" s="141">
        <f ca="1">IFERROR(__xludf.DUMMYFUNCTION("""COMPUTED_VALUE"""),262.43)</f>
        <v>262.43</v>
      </c>
      <c r="F172" s="141">
        <f ca="1">IFERROR(__xludf.DUMMYFUNCTION("""COMPUTED_VALUE"""),264.58)</f>
        <v>264.58</v>
      </c>
      <c r="G172" s="143">
        <f ca="1">IFERROR(__xludf.DUMMYFUNCTION("""COMPUTED_VALUE"""),25541006)</f>
        <v>25541006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IFERROR(__xludf.DUMMYFUNCTION("""COMPUTED_VALUE"""),265.01)</f>
        <v>265.01</v>
      </c>
      <c r="D173" s="141">
        <f ca="1">IFERROR(__xludf.DUMMYFUNCTION("""COMPUTED_VALUE"""),266.24)</f>
        <v>266.24</v>
      </c>
      <c r="E173" s="141">
        <f ca="1">IFERROR(__xludf.DUMMYFUNCTION("""COMPUTED_VALUE"""),262.12)</f>
        <v>262.12</v>
      </c>
      <c r="F173" s="141">
        <f ca="1">IFERROR(__xludf.DUMMYFUNCTION("""COMPUTED_VALUE"""),265.99)</f>
        <v>265.99</v>
      </c>
      <c r="G173" s="143">
        <f ca="1">IFERROR(__xludf.DUMMYFUNCTION("""COMPUTED_VALUE"""),39589197)</f>
        <v>39589197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IFERROR(__xludf.DUMMYFUNCTION("""COMPUTED_VALUE"""),262.1)</f>
        <v>262.10000000000002</v>
      </c>
      <c r="D174" s="141">
        <f ca="1">IFERROR(__xludf.DUMMYFUNCTION("""COMPUTED_VALUE"""),262.76)</f>
        <v>262.76</v>
      </c>
      <c r="E174" s="141">
        <f ca="1">IFERROR(__xludf.DUMMYFUNCTION("""COMPUTED_VALUE"""),259.77)</f>
        <v>259.77</v>
      </c>
      <c r="F174" s="141">
        <f ca="1">IFERROR(__xludf.DUMMYFUNCTION("""COMPUTED_VALUE"""),261.41)</f>
        <v>261.41000000000003</v>
      </c>
      <c r="G174" s="143">
        <f ca="1">IFERROR(__xludf.DUMMYFUNCTION("""COMPUTED_VALUE"""),40316609)</f>
        <v>40316609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IFERROR(__xludf.DUMMYFUNCTION("""COMPUTED_VALUE"""),257.81)</f>
        <v>257.81</v>
      </c>
      <c r="D175" s="141">
        <f ca="1">IFERROR(__xludf.DUMMYFUNCTION("""COMPUTED_VALUE"""),264.28)</f>
        <v>264.27999999999997</v>
      </c>
      <c r="E175" s="141">
        <f ca="1">IFERROR(__xludf.DUMMYFUNCTION("""COMPUTED_VALUE"""),257.79)</f>
        <v>257.79000000000002</v>
      </c>
      <c r="F175" s="141">
        <f ca="1">IFERROR(__xludf.DUMMYFUNCTION("""COMPUTED_VALUE"""),263.81)</f>
        <v>263.81</v>
      </c>
      <c r="G175" s="143">
        <f ca="1">IFERROR(__xludf.DUMMYFUNCTION("""COMPUTED_VALUE"""),53199236)</f>
        <v>53199236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IFERROR(__xludf.DUMMYFUNCTION("""COMPUTED_VALUE"""),256.8)</f>
        <v>256.8</v>
      </c>
      <c r="D176" s="141">
        <f ca="1">IFERROR(__xludf.DUMMYFUNCTION("""COMPUTED_VALUE"""),261.12)</f>
        <v>261.12</v>
      </c>
      <c r="E176" s="141">
        <f ca="1">IFERROR(__xludf.DUMMYFUNCTION("""COMPUTED_VALUE"""),253.31)</f>
        <v>253.31</v>
      </c>
      <c r="F176" s="141">
        <f ca="1">IFERROR(__xludf.DUMMYFUNCTION("""COMPUTED_VALUE"""),259.24)</f>
        <v>259.24</v>
      </c>
      <c r="G176" s="143">
        <f ca="1">IFERROR(__xludf.DUMMYFUNCTION("""COMPUTED_VALUE"""),58953883)</f>
        <v>58953883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IFERROR(__xludf.DUMMYFUNCTION("""COMPUTED_VALUE"""),261.2)</f>
        <v>261.2</v>
      </c>
      <c r="D177" s="141">
        <f ca="1">IFERROR(__xludf.DUMMYFUNCTION("""COMPUTED_VALUE"""),262.96)</f>
        <v>262.95999999999998</v>
      </c>
      <c r="E177" s="141">
        <f ca="1">IFERROR(__xludf.DUMMYFUNCTION("""COMPUTED_VALUE"""),258.82)</f>
        <v>258.82</v>
      </c>
      <c r="F177" s="141">
        <f ca="1">IFERROR(__xludf.DUMMYFUNCTION("""COMPUTED_VALUE"""),261.76)</f>
        <v>261.76</v>
      </c>
      <c r="G177" s="143">
        <f ca="1">IFERROR(__xludf.DUMMYFUNCTION("""COMPUTED_VALUE"""),37756478)</f>
        <v>37756478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IFERROR(__xludf.DUMMYFUNCTION("""COMPUTED_VALUE"""),258.99)</f>
        <v>258.99</v>
      </c>
      <c r="D178" s="141">
        <f ca="1">IFERROR(__xludf.DUMMYFUNCTION("""COMPUTED_VALUE"""),260.76)</f>
        <v>260.76</v>
      </c>
      <c r="E178" s="141">
        <f ca="1">IFERROR(__xludf.DUMMYFUNCTION("""COMPUTED_VALUE"""),254.16)</f>
        <v>254.16</v>
      </c>
      <c r="F178" s="141">
        <f ca="1">IFERROR(__xludf.DUMMYFUNCTION("""COMPUTED_VALUE"""),256.76)</f>
        <v>256.76</v>
      </c>
      <c r="G178" s="143">
        <f ca="1">IFERROR(__xludf.DUMMYFUNCTION("""COMPUTED_VALUE"""),59555725)</f>
        <v>59555725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IFERROR(__xludf.DUMMYFUNCTION("""COMPUTED_VALUE"""),251.49)</f>
        <v>251.49</v>
      </c>
      <c r="D179" s="141">
        <f ca="1">IFERROR(__xludf.DUMMYFUNCTION("""COMPUTED_VALUE"""),253.3)</f>
        <v>253.3</v>
      </c>
      <c r="E179" s="141">
        <f ca="1">IFERROR(__xludf.DUMMYFUNCTION("""COMPUTED_VALUE"""),249.94)</f>
        <v>249.94</v>
      </c>
      <c r="F179" s="141">
        <f ca="1">IFERROR(__xludf.DUMMYFUNCTION("""COMPUTED_VALUE"""),250.89)</f>
        <v>250.89</v>
      </c>
      <c r="G179" s="143">
        <f ca="1">IFERROR(__xludf.DUMMYFUNCTION("""COMPUTED_VALUE"""),63633659)</f>
        <v>63633659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IFERROR(__xludf.DUMMYFUNCTION("""COMPUTED_VALUE"""),247.59)</f>
        <v>247.59</v>
      </c>
      <c r="D180" s="141">
        <f ca="1">IFERROR(__xludf.DUMMYFUNCTION("""COMPUTED_VALUE"""),254.65)</f>
        <v>254.65</v>
      </c>
      <c r="E180" s="141">
        <f ca="1">IFERROR(__xludf.DUMMYFUNCTION("""COMPUTED_VALUE"""),244.39)</f>
        <v>244.39</v>
      </c>
      <c r="F180" s="141">
        <f ca="1">IFERROR(__xludf.DUMMYFUNCTION("""COMPUTED_VALUE"""),253.62)</f>
        <v>253.62</v>
      </c>
      <c r="G180" s="143">
        <f ca="1">IFERROR(__xludf.DUMMYFUNCTION("""COMPUTED_VALUE"""),63840112)</f>
        <v>63840112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IFERROR(__xludf.DUMMYFUNCTION("""COMPUTED_VALUE"""),252.96)</f>
        <v>252.96</v>
      </c>
      <c r="D181" s="141">
        <f ca="1">IFERROR(__xludf.DUMMYFUNCTION("""COMPUTED_VALUE"""),257.65)</f>
        <v>257.64999999999998</v>
      </c>
      <c r="E181" s="141">
        <f ca="1">IFERROR(__xludf.DUMMYFUNCTION("""COMPUTED_VALUE"""),252.4)</f>
        <v>252.4</v>
      </c>
      <c r="F181" s="141">
        <f ca="1">IFERROR(__xludf.DUMMYFUNCTION("""COMPUTED_VALUE"""),253.36)</f>
        <v>253.36</v>
      </c>
      <c r="G181" s="143">
        <f ca="1">IFERROR(__xludf.DUMMYFUNCTION("""COMPUTED_VALUE"""),55421947)</f>
        <v>55421947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IFERROR(__xludf.DUMMYFUNCTION("""COMPUTED_VALUE"""),252.34)</f>
        <v>252.34</v>
      </c>
      <c r="D182" s="141">
        <f ca="1">IFERROR(__xludf.DUMMYFUNCTION("""COMPUTED_VALUE"""),254.38)</f>
        <v>254.38</v>
      </c>
      <c r="E182" s="141">
        <f ca="1">IFERROR(__xludf.DUMMYFUNCTION("""COMPUTED_VALUE"""),250.58)</f>
        <v>250.58</v>
      </c>
      <c r="F182" s="141">
        <f ca="1">IFERROR(__xludf.DUMMYFUNCTION("""COMPUTED_VALUE"""),252.85)</f>
        <v>252.85</v>
      </c>
      <c r="G182" s="143">
        <f ca="1">IFERROR(__xludf.DUMMYFUNCTION("""COMPUTED_VALUE"""),50418072)</f>
        <v>50418072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IFERROR(__xludf.DUMMYFUNCTION("""COMPUTED_VALUE"""),248.94)</f>
        <v>248.94</v>
      </c>
      <c r="D183" s="141">
        <f ca="1">IFERROR(__xludf.DUMMYFUNCTION("""COMPUTED_VALUE"""),249.81)</f>
        <v>249.81</v>
      </c>
      <c r="E183" s="141">
        <f ca="1">IFERROR(__xludf.DUMMYFUNCTION("""COMPUTED_VALUE"""),246.58)</f>
        <v>246.58</v>
      </c>
      <c r="F183" s="141">
        <f ca="1">IFERROR(__xludf.DUMMYFUNCTION("""COMPUTED_VALUE"""),247.41)</f>
        <v>247.41</v>
      </c>
      <c r="G183" s="143">
        <f ca="1">IFERROR(__xludf.DUMMYFUNCTION("""COMPUTED_VALUE"""),61802935)</f>
        <v>61802935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IFERROR(__xludf.DUMMYFUNCTION("""COMPUTED_VALUE"""),249.26)</f>
        <v>249.26</v>
      </c>
      <c r="D184" s="141">
        <f ca="1">IFERROR(__xludf.DUMMYFUNCTION("""COMPUTED_VALUE"""),250.61)</f>
        <v>250.61</v>
      </c>
      <c r="E184" s="141">
        <f ca="1">IFERROR(__xludf.DUMMYFUNCTION("""COMPUTED_VALUE"""),245.54)</f>
        <v>245.54</v>
      </c>
      <c r="F184" s="141">
        <f ca="1">IFERROR(__xludf.DUMMYFUNCTION("""COMPUTED_VALUE"""),246.59)</f>
        <v>246.59</v>
      </c>
      <c r="G184" s="143">
        <f ca="1">IFERROR(__xludf.DUMMYFUNCTION("""COMPUTED_VALUE"""),53933299)</f>
        <v>53933299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IFERROR(__xludf.DUMMYFUNCTION("""COMPUTED_VALUE"""),249.76)</f>
        <v>249.76</v>
      </c>
      <c r="D185" s="141">
        <f ca="1">IFERROR(__xludf.DUMMYFUNCTION("""COMPUTED_VALUE"""),251.47)</f>
        <v>251.47</v>
      </c>
      <c r="E185" s="141">
        <f ca="1">IFERROR(__xludf.DUMMYFUNCTION("""COMPUTED_VALUE"""),248.31)</f>
        <v>248.31</v>
      </c>
      <c r="F185" s="141">
        <f ca="1">IFERROR(__xludf.DUMMYFUNCTION("""COMPUTED_VALUE"""),248.92)</f>
        <v>248.92</v>
      </c>
      <c r="G185" s="143">
        <f ca="1">IFERROR(__xludf.DUMMYFUNCTION("""COMPUTED_VALUE"""),48755654)</f>
        <v>48755654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IFERROR(__xludf.DUMMYFUNCTION("""COMPUTED_VALUE"""),249.87)</f>
        <v>249.87</v>
      </c>
      <c r="D186" s="141">
        <f ca="1">IFERROR(__xludf.DUMMYFUNCTION("""COMPUTED_VALUE"""),251.71)</f>
        <v>251.71</v>
      </c>
      <c r="E186" s="141">
        <f ca="1">IFERROR(__xludf.DUMMYFUNCTION("""COMPUTED_VALUE"""),248.96)</f>
        <v>248.96</v>
      </c>
      <c r="F186" s="141">
        <f ca="1">IFERROR(__xludf.DUMMYFUNCTION("""COMPUTED_VALUE"""),250.05)</f>
        <v>250.05</v>
      </c>
      <c r="G186" s="143">
        <f ca="1">IFERROR(__xludf.DUMMYFUNCTION("""COMPUTED_VALUE"""),40642766)</f>
        <v>40642766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IFERROR(__xludf.DUMMYFUNCTION("""COMPUTED_VALUE"""),248.41)</f>
        <v>248.41</v>
      </c>
      <c r="D187" s="141">
        <f ca="1">IFERROR(__xludf.DUMMYFUNCTION("""COMPUTED_VALUE"""),249.23)</f>
        <v>249.23</v>
      </c>
      <c r="E187" s="141">
        <f ca="1">IFERROR(__xludf.DUMMYFUNCTION("""COMPUTED_VALUE"""),245.88)</f>
        <v>245.88</v>
      </c>
      <c r="F187" s="141">
        <f ca="1">IFERROR(__xludf.DUMMYFUNCTION("""COMPUTED_VALUE"""),246.02)</f>
        <v>246.02</v>
      </c>
      <c r="G187" s="143">
        <f ca="1">IFERROR(__xludf.DUMMYFUNCTION("""COMPUTED_VALUE"""),43192622)</f>
        <v>43192622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IFERROR(__xludf.DUMMYFUNCTION("""COMPUTED_VALUE"""),243.03)</f>
        <v>243.03</v>
      </c>
      <c r="D188" s="141">
        <f ca="1">IFERROR(__xludf.DUMMYFUNCTION("""COMPUTED_VALUE"""),250.09)</f>
        <v>250.09</v>
      </c>
      <c r="E188" s="141">
        <f ca="1">IFERROR(__xludf.DUMMYFUNCTION("""COMPUTED_VALUE"""),242.52)</f>
        <v>242.52</v>
      </c>
      <c r="F188" s="141">
        <f ca="1">IFERROR(__xludf.DUMMYFUNCTION("""COMPUTED_VALUE"""),247.63)</f>
        <v>247.63</v>
      </c>
      <c r="G188" s="143">
        <f ca="1">IFERROR(__xludf.DUMMYFUNCTION("""COMPUTED_VALUE"""),59219537)</f>
        <v>59219537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IFERROR(__xludf.DUMMYFUNCTION("""COMPUTED_VALUE"""),246.97)</f>
        <v>246.97</v>
      </c>
      <c r="D189" s="141">
        <f ca="1">IFERROR(__xludf.DUMMYFUNCTION("""COMPUTED_VALUE"""),247.5)</f>
        <v>247.5</v>
      </c>
      <c r="E189" s="141">
        <f ca="1">IFERROR(__xludf.DUMMYFUNCTION("""COMPUTED_VALUE"""),240.33)</f>
        <v>240.33</v>
      </c>
      <c r="F189" s="141">
        <f ca="1">IFERROR(__xludf.DUMMYFUNCTION("""COMPUTED_VALUE"""),242.22)</f>
        <v>242.22</v>
      </c>
      <c r="G189" s="143">
        <f ca="1">IFERROR(__xludf.DUMMYFUNCTION("""COMPUTED_VALUE"""),76749856)</f>
        <v>76749856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IFERROR(__xludf.DUMMYFUNCTION("""COMPUTED_VALUE"""),247.17)</f>
        <v>247.17</v>
      </c>
      <c r="D190" s="141">
        <f ca="1">IFERROR(__xludf.DUMMYFUNCTION("""COMPUTED_VALUE"""),251.36)</f>
        <v>251.36</v>
      </c>
      <c r="E190" s="141">
        <f ca="1">IFERROR(__xludf.DUMMYFUNCTION("""COMPUTED_VALUE"""),246.11)</f>
        <v>246.11</v>
      </c>
      <c r="F190" s="141">
        <f ca="1">IFERROR(__xludf.DUMMYFUNCTION("""COMPUTED_VALUE"""),247.45)</f>
        <v>247.45</v>
      </c>
      <c r="G190" s="143">
        <f ca="1">IFERROR(__xludf.DUMMYFUNCTION("""COMPUTED_VALUE"""),78746582)</f>
        <v>78746582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IFERROR(__xludf.DUMMYFUNCTION("""COMPUTED_VALUE"""),245.51)</f>
        <v>245.51</v>
      </c>
      <c r="D191" s="141">
        <f ca="1">IFERROR(__xludf.DUMMYFUNCTION("""COMPUTED_VALUE"""),250.16)</f>
        <v>250.16</v>
      </c>
      <c r="E191" s="141">
        <f ca="1">IFERROR(__xludf.DUMMYFUNCTION("""COMPUTED_VALUE"""),244.6)</f>
        <v>244.6</v>
      </c>
      <c r="F191" s="141">
        <f ca="1">IFERROR(__xludf.DUMMYFUNCTION("""COMPUTED_VALUE"""),248.78)</f>
        <v>248.78</v>
      </c>
      <c r="G191" s="143">
        <f ca="1">IFERROR(__xludf.DUMMYFUNCTION("""COMPUTED_VALUE"""),45210765)</f>
        <v>45210765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IFERROR(__xludf.DUMMYFUNCTION("""COMPUTED_VALUE"""),251.74)</f>
        <v>251.74</v>
      </c>
      <c r="D192" s="141">
        <f ca="1">IFERROR(__xludf.DUMMYFUNCTION("""COMPUTED_VALUE"""),253.07)</f>
        <v>253.07</v>
      </c>
      <c r="E192" s="141">
        <f ca="1">IFERROR(__xludf.DUMMYFUNCTION("""COMPUTED_VALUE"""),249.52)</f>
        <v>249.52</v>
      </c>
      <c r="F192" s="141">
        <f ca="1">IFERROR(__xludf.DUMMYFUNCTION("""COMPUTED_VALUE"""),251.82)</f>
        <v>251.82</v>
      </c>
      <c r="G192" s="143">
        <f ca="1">IFERROR(__xludf.DUMMYFUNCTION("""COMPUTED_VALUE"""),45671742)</f>
        <v>45671742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IFERROR(__xludf.DUMMYFUNCTION("""COMPUTED_VALUE"""),248.89)</f>
        <v>248.89</v>
      </c>
      <c r="D193" s="141">
        <f ca="1">IFERROR(__xludf.DUMMYFUNCTION("""COMPUTED_VALUE"""),251.86)</f>
        <v>251.86</v>
      </c>
      <c r="E193" s="141">
        <f ca="1">IFERROR(__xludf.DUMMYFUNCTION("""COMPUTED_VALUE"""),247.16)</f>
        <v>247.16</v>
      </c>
      <c r="F193" s="141">
        <f ca="1">IFERROR(__xludf.DUMMYFUNCTION("""COMPUTED_VALUE"""),247.44)</f>
        <v>247.44</v>
      </c>
      <c r="G193" s="143">
        <f ca="1">IFERROR(__xludf.DUMMYFUNCTION("""COMPUTED_VALUE"""),46830212)</f>
        <v>46830212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IFERROR(__xludf.DUMMYFUNCTION("""COMPUTED_VALUE"""),246.01)</f>
        <v>246.01</v>
      </c>
      <c r="D194" s="141">
        <f ca="1">IFERROR(__xludf.DUMMYFUNCTION("""COMPUTED_VALUE"""),246.74)</f>
        <v>246.74</v>
      </c>
      <c r="E194" s="141">
        <f ca="1">IFERROR(__xludf.DUMMYFUNCTION("""COMPUTED_VALUE"""),242.41)</f>
        <v>242.41</v>
      </c>
      <c r="F194" s="141">
        <f ca="1">IFERROR(__xludf.DUMMYFUNCTION("""COMPUTED_VALUE"""),243.1)</f>
        <v>243.1</v>
      </c>
      <c r="G194" s="143">
        <f ca="1">IFERROR(__xludf.DUMMYFUNCTION("""COMPUTED_VALUE"""),48114404)</f>
        <v>48114404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IFERROR(__xludf.DUMMYFUNCTION("""COMPUTED_VALUE"""),245.35)</f>
        <v>245.35</v>
      </c>
      <c r="D195" s="141">
        <f ca="1">IFERROR(__xludf.DUMMYFUNCTION("""COMPUTED_VALUE"""),245.37)</f>
        <v>245.37</v>
      </c>
      <c r="E195" s="141">
        <f ca="1">IFERROR(__xludf.DUMMYFUNCTION("""COMPUTED_VALUE"""),238.69)</f>
        <v>238.69</v>
      </c>
      <c r="F195" s="141">
        <f ca="1">IFERROR(__xludf.DUMMYFUNCTION("""COMPUTED_VALUE"""),239.61)</f>
        <v>239.61</v>
      </c>
      <c r="G195" s="143">
        <f ca="1">IFERROR(__xludf.DUMMYFUNCTION("""COMPUTED_VALUE"""),51290488)</f>
        <v>51290488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IFERROR(__xludf.DUMMYFUNCTION("""COMPUTED_VALUE"""),243.04)</f>
        <v>243.04</v>
      </c>
      <c r="D196" s="141">
        <f ca="1">IFERROR(__xludf.DUMMYFUNCTION("""COMPUTED_VALUE"""),248.92)</f>
        <v>248.92</v>
      </c>
      <c r="E196" s="141">
        <f ca="1">IFERROR(__xludf.DUMMYFUNCTION("""COMPUTED_VALUE"""),242.24)</f>
        <v>242.24</v>
      </c>
      <c r="F196" s="141">
        <f ca="1">IFERROR(__xludf.DUMMYFUNCTION("""COMPUTED_VALUE"""),248)</f>
        <v>248</v>
      </c>
      <c r="G196" s="143">
        <f ca="1">IFERROR(__xludf.DUMMYFUNCTION("""COMPUTED_VALUE"""),58660823)</f>
        <v>58660823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IFERROR(__xludf.DUMMYFUNCTION("""COMPUTED_VALUE"""),249.92)</f>
        <v>249.92</v>
      </c>
      <c r="D197" s="141">
        <f ca="1">IFERROR(__xludf.DUMMYFUNCTION("""COMPUTED_VALUE"""),252.44)</f>
        <v>252.44</v>
      </c>
      <c r="E197" s="141">
        <f ca="1">IFERROR(__xludf.DUMMYFUNCTION("""COMPUTED_VALUE"""),249.11)</f>
        <v>249.11</v>
      </c>
      <c r="F197" s="141">
        <f ca="1">IFERROR(__xludf.DUMMYFUNCTION("""COMPUTED_VALUE"""),249.56)</f>
        <v>249.56</v>
      </c>
      <c r="G197" s="143">
        <f ca="1">IFERROR(__xludf.DUMMYFUNCTION("""COMPUTED_VALUE"""),51295864)</f>
        <v>51295864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IFERROR(__xludf.DUMMYFUNCTION("""COMPUTED_VALUE"""),244.94)</f>
        <v>244.94</v>
      </c>
      <c r="D198" s="141">
        <f ca="1">IFERROR(__xludf.DUMMYFUNCTION("""COMPUTED_VALUE"""),252.37)</f>
        <v>252.37</v>
      </c>
      <c r="E198" s="141">
        <f ca="1">IFERROR(__xludf.DUMMYFUNCTION("""COMPUTED_VALUE"""),244.87)</f>
        <v>244.87</v>
      </c>
      <c r="F198" s="141">
        <f ca="1">IFERROR(__xludf.DUMMYFUNCTION("""COMPUTED_VALUE"""),251.29)</f>
        <v>251.29</v>
      </c>
      <c r="G198" s="143">
        <f ca="1">IFERROR(__xludf.DUMMYFUNCTION("""COMPUTED_VALUE"""),30369203)</f>
        <v>30369203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IFERROR(__xludf.DUMMYFUNCTION("""COMPUTED_VALUE"""),250.99)</f>
        <v>250.99</v>
      </c>
      <c r="D199" s="141">
        <f ca="1">IFERROR(__xludf.DUMMYFUNCTION("""COMPUTED_VALUE"""),253.05)</f>
        <v>253.05</v>
      </c>
      <c r="E199" s="141">
        <f ca="1">IFERROR(__xludf.DUMMYFUNCTION("""COMPUTED_VALUE"""),250.25)</f>
        <v>250.25</v>
      </c>
      <c r="F199" s="141">
        <f ca="1">IFERROR(__xludf.DUMMYFUNCTION("""COMPUTED_VALUE"""),252.36)</f>
        <v>252.36</v>
      </c>
      <c r="G199" s="143">
        <f ca="1">IFERROR(__xludf.DUMMYFUNCTION("""COMPUTED_VALUE"""),22151445)</f>
        <v>22151445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IFERROR(__xludf.DUMMYFUNCTION("""COMPUTED_VALUE"""),251.21)</f>
        <v>251.21</v>
      </c>
      <c r="D200" s="141">
        <f ca="1">IFERROR(__xludf.DUMMYFUNCTION("""COMPUTED_VALUE"""),253.48)</f>
        <v>253.48</v>
      </c>
      <c r="E200" s="141">
        <f ca="1">IFERROR(__xludf.DUMMYFUNCTION("""COMPUTED_VALUE"""),249.52)</f>
        <v>249.52</v>
      </c>
      <c r="F200" s="141">
        <f ca="1">IFERROR(__xludf.DUMMYFUNCTION("""COMPUTED_VALUE"""),252.91)</f>
        <v>252.91</v>
      </c>
      <c r="G200" s="143">
        <f ca="1">IFERROR(__xludf.DUMMYFUNCTION("""COMPUTED_VALUE"""),34881919)</f>
        <v>34881919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IFERROR(__xludf.DUMMYFUNCTION("""COMPUTED_VALUE"""),261.52)</f>
        <v>261.52</v>
      </c>
      <c r="D201" s="141">
        <f ca="1">IFERROR(__xludf.DUMMYFUNCTION("""COMPUTED_VALUE"""),262.27)</f>
        <v>262.27</v>
      </c>
      <c r="E201" s="141">
        <f ca="1">IFERROR(__xludf.DUMMYFUNCTION("""COMPUTED_VALUE"""),258.41)</f>
        <v>258.41000000000003</v>
      </c>
      <c r="F201" s="141">
        <f ca="1">IFERROR(__xludf.DUMMYFUNCTION("""COMPUTED_VALUE"""),260.47)</f>
        <v>260.47000000000003</v>
      </c>
      <c r="G201" s="143">
        <f ca="1">IFERROR(__xludf.DUMMYFUNCTION("""COMPUTED_VALUE"""),46680248)</f>
        <v>46680248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IFERROR(__xludf.DUMMYFUNCTION("""COMPUTED_VALUE"""),258.78)</f>
        <v>258.77999999999997</v>
      </c>
      <c r="D202" s="141">
        <f ca="1">IFERROR(__xludf.DUMMYFUNCTION("""COMPUTED_VALUE"""),262.9)</f>
        <v>262.89999999999998</v>
      </c>
      <c r="E202" s="141">
        <f ca="1">IFERROR(__xludf.DUMMYFUNCTION("""COMPUTED_VALUE"""),258.78)</f>
        <v>258.77999999999997</v>
      </c>
      <c r="F202" s="141">
        <f ca="1">IFERROR(__xludf.DUMMYFUNCTION("""COMPUTED_VALUE"""),261.96)</f>
        <v>261.95999999999998</v>
      </c>
      <c r="G202" s="143">
        <f ca="1">IFERROR(__xludf.DUMMYFUNCTION("""COMPUTED_VALUE"""),26758383)</f>
        <v>26758383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IFERROR(__xludf.DUMMYFUNCTION("""COMPUTED_VALUE"""),262.4)</f>
        <v>262.39999999999998</v>
      </c>
      <c r="D203" s="141">
        <f ca="1">IFERROR(__xludf.DUMMYFUNCTION("""COMPUTED_VALUE"""),262.75)</f>
        <v>262.75</v>
      </c>
      <c r="E203" s="141">
        <f ca="1">IFERROR(__xludf.DUMMYFUNCTION("""COMPUTED_VALUE"""),260.34)</f>
        <v>260.33999999999997</v>
      </c>
      <c r="F203" s="141">
        <f ca="1">IFERROR(__xludf.DUMMYFUNCTION("""COMPUTED_VALUE"""),261.3)</f>
        <v>261.3</v>
      </c>
      <c r="G203" s="143">
        <f ca="1">IFERROR(__xludf.DUMMYFUNCTION("""COMPUTED_VALUE"""),22365909)</f>
        <v>22365909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IFERROR(__xludf.DUMMYFUNCTION("""COMPUTED_VALUE"""),260.24)</f>
        <v>260.24</v>
      </c>
      <c r="D204" s="141">
        <f ca="1">IFERROR(__xludf.DUMMYFUNCTION("""COMPUTED_VALUE"""),265.36)</f>
        <v>265.36</v>
      </c>
      <c r="E204" s="141">
        <f ca="1">IFERROR(__xludf.DUMMYFUNCTION("""COMPUTED_VALUE"""),260.02)</f>
        <v>260.02</v>
      </c>
      <c r="F204" s="141">
        <f ca="1">IFERROR(__xludf.DUMMYFUNCTION("""COMPUTED_VALUE"""),265.07)</f>
        <v>265.07</v>
      </c>
      <c r="G204" s="143">
        <f ca="1">IFERROR(__xludf.DUMMYFUNCTION("""COMPUTED_VALUE"""),23820001)</f>
        <v>23820001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IFERROR(__xludf.DUMMYFUNCTION("""COMPUTED_VALUE"""),267.09)</f>
        <v>267.08999999999997</v>
      </c>
      <c r="D205" s="141">
        <f ca="1">IFERROR(__xludf.DUMMYFUNCTION("""COMPUTED_VALUE"""),269.42)</f>
        <v>269.42</v>
      </c>
      <c r="E205" s="141">
        <f ca="1">IFERROR(__xludf.DUMMYFUNCTION("""COMPUTED_VALUE"""),266.28)</f>
        <v>266.27999999999997</v>
      </c>
      <c r="F205" s="141">
        <f ca="1">IFERROR(__xludf.DUMMYFUNCTION("""COMPUTED_VALUE"""),268.72)</f>
        <v>268.72000000000003</v>
      </c>
      <c r="G205" s="143">
        <f ca="1">IFERROR(__xludf.DUMMYFUNCTION("""COMPUTED_VALUE"""),24270359)</f>
        <v>24270359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IFERROR(__xludf.DUMMYFUNCTION("""COMPUTED_VALUE"""),268.78)</f>
        <v>268.77999999999997</v>
      </c>
      <c r="D206" s="141">
        <f ca="1">IFERROR(__xludf.DUMMYFUNCTION("""COMPUTED_VALUE"""),269.58)</f>
        <v>269.58</v>
      </c>
      <c r="E206" s="141">
        <f ca="1">IFERROR(__xludf.DUMMYFUNCTION("""COMPUTED_VALUE"""),267.59)</f>
        <v>267.58999999999997</v>
      </c>
      <c r="F206" s="141">
        <f ca="1">IFERROR(__xludf.DUMMYFUNCTION("""COMPUTED_VALUE"""),269.39)</f>
        <v>269.39</v>
      </c>
      <c r="G206" s="143">
        <f ca="1">IFERROR(__xludf.DUMMYFUNCTION("""COMPUTED_VALUE"""),21670618)</f>
        <v>21670618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IFERROR(__xludf.DUMMYFUNCTION("""COMPUTED_VALUE"""),269.45)</f>
        <v>269.45</v>
      </c>
      <c r="D207" s="141">
        <f ca="1">IFERROR(__xludf.DUMMYFUNCTION("""COMPUTED_VALUE"""),270.35)</f>
        <v>270.35000000000002</v>
      </c>
      <c r="E207" s="141">
        <f ca="1">IFERROR(__xludf.DUMMYFUNCTION("""COMPUTED_VALUE"""),268.05)</f>
        <v>268.05</v>
      </c>
      <c r="F207" s="141">
        <f ca="1">IFERROR(__xludf.DUMMYFUNCTION("""COMPUTED_VALUE"""),269.95)</f>
        <v>269.95</v>
      </c>
      <c r="G207" s="143">
        <f ca="1">IFERROR(__xludf.DUMMYFUNCTION("""COMPUTED_VALUE"""),30847915)</f>
        <v>30847915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IFERROR(__xludf.DUMMYFUNCTION("""COMPUTED_VALUE"""),273.74)</f>
        <v>273.74</v>
      </c>
      <c r="D208" s="141">
        <f ca="1">IFERROR(__xludf.DUMMYFUNCTION("""COMPUTED_VALUE"""),277.63)</f>
        <v>277.63</v>
      </c>
      <c r="E208" s="141">
        <f ca="1">IFERROR(__xludf.DUMMYFUNCTION("""COMPUTED_VALUE"""),273.12)</f>
        <v>273.12</v>
      </c>
      <c r="F208" s="141">
        <f ca="1">IFERROR(__xludf.DUMMYFUNCTION("""COMPUTED_VALUE"""),275.78)</f>
        <v>275.77999999999997</v>
      </c>
      <c r="G208" s="143">
        <f ca="1">IFERROR(__xludf.DUMMYFUNCTION("""COMPUTED_VALUE"""),46462704)</f>
        <v>46462704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IFERROR(__xludf.DUMMYFUNCTION("""COMPUTED_VALUE"""),274.65)</f>
        <v>274.64999999999998</v>
      </c>
      <c r="D209" s="141">
        <f ca="1">IFERROR(__xludf.DUMMYFUNCTION("""COMPUTED_VALUE"""),277.67)</f>
        <v>277.67</v>
      </c>
      <c r="E209" s="141">
        <f ca="1">IFERROR(__xludf.DUMMYFUNCTION("""COMPUTED_VALUE"""),274.53)</f>
        <v>274.52999999999997</v>
      </c>
      <c r="F209" s="141">
        <f ca="1">IFERROR(__xludf.DUMMYFUNCTION("""COMPUTED_VALUE"""),277.35)</f>
        <v>277.35000000000002</v>
      </c>
      <c r="G209" s="143">
        <f ca="1">IFERROR(__xludf.DUMMYFUNCTION("""COMPUTED_VALUE"""),22993851)</f>
        <v>22993851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IFERROR(__xludf.DUMMYFUNCTION("""COMPUTED_VALUE"""),278.18)</f>
        <v>278.18</v>
      </c>
      <c r="D210" s="141">
        <f ca="1">IFERROR(__xludf.DUMMYFUNCTION("""COMPUTED_VALUE"""),279.79)</f>
        <v>279.79000000000002</v>
      </c>
      <c r="E210" s="141">
        <f ca="1">IFERROR(__xludf.DUMMYFUNCTION("""COMPUTED_VALUE"""),273.76)</f>
        <v>273.76</v>
      </c>
      <c r="F210" s="141">
        <f ca="1">IFERROR(__xludf.DUMMYFUNCTION("""COMPUTED_VALUE"""),274.51)</f>
        <v>274.51</v>
      </c>
      <c r="G210" s="143">
        <f ca="1">IFERROR(__xludf.DUMMYFUNCTION("""COMPUTED_VALUE"""),32235227)</f>
        <v>32235227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IFERROR(__xludf.DUMMYFUNCTION("""COMPUTED_VALUE"""),277.59)</f>
        <v>277.58999999999997</v>
      </c>
      <c r="D211" s="141">
        <f ca="1">IFERROR(__xludf.DUMMYFUNCTION("""COMPUTED_VALUE"""),278.01)</f>
        <v>278.01</v>
      </c>
      <c r="E211" s="141">
        <f ca="1">IFERROR(__xludf.DUMMYFUNCTION("""COMPUTED_VALUE"""),274.9)</f>
        <v>274.89999999999998</v>
      </c>
      <c r="F211" s="141">
        <f ca="1">IFERROR(__xludf.DUMMYFUNCTION("""COMPUTED_VALUE"""),276.48)</f>
        <v>276.48</v>
      </c>
      <c r="G211" s="143">
        <f ca="1">IFERROR(__xludf.DUMMYFUNCTION("""COMPUTED_VALUE"""),20274268)</f>
        <v>20274268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IFERROR(__xludf.DUMMYFUNCTION("""COMPUTED_VALUE"""),276.73)</f>
        <v>276.73</v>
      </c>
      <c r="D212" s="141">
        <f ca="1">IFERROR(__xludf.DUMMYFUNCTION("""COMPUTED_VALUE"""),277.87)</f>
        <v>277.87</v>
      </c>
      <c r="E212" s="141">
        <f ca="1">IFERROR(__xludf.DUMMYFUNCTION("""COMPUTED_VALUE"""),271.95)</f>
        <v>271.95</v>
      </c>
      <c r="F212" s="141">
        <f ca="1">IFERROR(__xludf.DUMMYFUNCTION("""COMPUTED_VALUE"""),275.52)</f>
        <v>275.52</v>
      </c>
      <c r="G212" s="143">
        <f ca="1">IFERROR(__xludf.DUMMYFUNCTION("""COMPUTED_VALUE"""),32886591)</f>
        <v>32886591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IFERROR(__xludf.DUMMYFUNCTION("""COMPUTED_VALUE"""),276.67)</f>
        <v>276.67</v>
      </c>
      <c r="D213" s="141">
        <f ca="1">IFERROR(__xludf.DUMMYFUNCTION("""COMPUTED_VALUE"""),278.13)</f>
        <v>278.13</v>
      </c>
      <c r="E213" s="141">
        <f ca="1">IFERROR(__xludf.DUMMYFUNCTION("""COMPUTED_VALUE"""),274.23)</f>
        <v>274.23</v>
      </c>
      <c r="F213" s="141">
        <f ca="1">IFERROR(__xludf.DUMMYFUNCTION("""COMPUTED_VALUE"""),276.65)</f>
        <v>276.64999999999998</v>
      </c>
      <c r="G213" s="143">
        <f ca="1">IFERROR(__xludf.DUMMYFUNCTION("""COMPUTED_VALUE"""),21568588)</f>
        <v>21568588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IFERROR(__xludf.DUMMYFUNCTION("""COMPUTED_VALUE"""),276.82)</f>
        <v>276.82</v>
      </c>
      <c r="D214" s="141">
        <f ca="1">IFERROR(__xludf.DUMMYFUNCTION("""COMPUTED_VALUE"""),278.24)</f>
        <v>278.24</v>
      </c>
      <c r="E214" s="141">
        <f ca="1">IFERROR(__xludf.DUMMYFUNCTION("""COMPUTED_VALUE"""),276.25)</f>
        <v>276.25</v>
      </c>
      <c r="F214" s="141">
        <f ca="1">IFERROR(__xludf.DUMMYFUNCTION("""COMPUTED_VALUE"""),277.14)</f>
        <v>277.14</v>
      </c>
      <c r="G214" s="143">
        <f ca="1">IFERROR(__xludf.DUMMYFUNCTION("""COMPUTED_VALUE"""),23399409)</f>
        <v>23399409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IFERROR(__xludf.DUMMYFUNCTION("""COMPUTED_VALUE"""),276.05)</f>
        <v>276.05</v>
      </c>
      <c r="D215" s="141">
        <f ca="1">IFERROR(__xludf.DUMMYFUNCTION("""COMPUTED_VALUE"""),276.97)</f>
        <v>276.97000000000003</v>
      </c>
      <c r="E215" s="141">
        <f ca="1">IFERROR(__xludf.DUMMYFUNCTION("""COMPUTED_VALUE"""),272.92)</f>
        <v>272.92</v>
      </c>
      <c r="F215" s="141">
        <f ca="1">IFERROR(__xludf.DUMMYFUNCTION("""COMPUTED_VALUE"""),273.91)</f>
        <v>273.91000000000003</v>
      </c>
      <c r="G215" s="143">
        <f ca="1">IFERROR(__xludf.DUMMYFUNCTION("""COMPUTED_VALUE"""),24139407)</f>
        <v>24139407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IFERROR(__xludf.DUMMYFUNCTION("""COMPUTED_VALUE"""),273.92)</f>
        <v>273.92</v>
      </c>
      <c r="D216" s="141">
        <f ca="1">IFERROR(__xludf.DUMMYFUNCTION("""COMPUTED_VALUE"""),274.38)</f>
        <v>274.38</v>
      </c>
      <c r="E216" s="141">
        <f ca="1">IFERROR(__xludf.DUMMYFUNCTION("""COMPUTED_VALUE"""),270.36)</f>
        <v>270.36</v>
      </c>
      <c r="F216" s="141">
        <f ca="1">IFERROR(__xludf.DUMMYFUNCTION("""COMPUTED_VALUE"""),272.08)</f>
        <v>272.08</v>
      </c>
      <c r="G216" s="143">
        <f ca="1">IFERROR(__xludf.DUMMYFUNCTION("""COMPUTED_VALUE"""),29428948)</f>
        <v>29428948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IFERROR(__xludf.DUMMYFUNCTION("""COMPUTED_VALUE"""),273.13)</f>
        <v>273.13</v>
      </c>
      <c r="D217" s="141">
        <f ca="1">IFERROR(__xludf.DUMMYFUNCTION("""COMPUTED_VALUE"""),278.22)</f>
        <v>278.22000000000003</v>
      </c>
      <c r="E217" s="141">
        <f ca="1">IFERROR(__xludf.DUMMYFUNCTION("""COMPUTED_VALUE"""),272.44)</f>
        <v>272.44</v>
      </c>
      <c r="F217" s="141">
        <f ca="1">IFERROR(__xludf.DUMMYFUNCTION("""COMPUTED_VALUE"""),277.97)</f>
        <v>277.97000000000003</v>
      </c>
      <c r="G217" s="143">
        <f ca="1">IFERROR(__xludf.DUMMYFUNCTION("""COMPUTED_VALUE"""),29220714)</f>
        <v>29220714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IFERROR(__xludf.DUMMYFUNCTION("""COMPUTED_VALUE"""),278.66)</f>
        <v>278.66000000000003</v>
      </c>
      <c r="D218" s="141">
        <f ca="1">IFERROR(__xludf.DUMMYFUNCTION("""COMPUTED_VALUE"""),279.81)</f>
        <v>279.81</v>
      </c>
      <c r="E218" s="141">
        <f ca="1">IFERROR(__xludf.DUMMYFUNCTION("""COMPUTED_VALUE"""),276.57)</f>
        <v>276.57</v>
      </c>
      <c r="F218" s="141">
        <f ca="1">IFERROR(__xludf.DUMMYFUNCTION("""COMPUTED_VALUE"""),279.28)</f>
        <v>279.27999999999997</v>
      </c>
      <c r="G218" s="143">
        <f ca="1">IFERROR(__xludf.DUMMYFUNCTION("""COMPUTED_VALUE"""),28936704)</f>
        <v>28936704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IFERROR(__xludf.DUMMYFUNCTION("""COMPUTED_VALUE"""),278.7)</f>
        <v>278.7</v>
      </c>
      <c r="D219" s="141">
        <f ca="1">IFERROR(__xludf.DUMMYFUNCTION("""COMPUTED_VALUE"""),280.79)</f>
        <v>280.79000000000002</v>
      </c>
      <c r="E219" s="141">
        <f ca="1">IFERROR(__xludf.DUMMYFUNCTION("""COMPUTED_VALUE"""),276.1)</f>
        <v>276.10000000000002</v>
      </c>
      <c r="F219" s="141">
        <f ca="1">IFERROR(__xludf.DUMMYFUNCTION("""COMPUTED_VALUE"""),277.88)</f>
        <v>277.88</v>
      </c>
      <c r="G219" s="143">
        <f ca="1">IFERROR(__xludf.DUMMYFUNCTION("""COMPUTED_VALUE"""),28632338)</f>
        <v>28632338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IFERROR(__xludf.DUMMYFUNCTION("""COMPUTED_VALUE"""),280.13)</f>
        <v>280.13</v>
      </c>
      <c r="D220" s="141">
        <f ca="1">IFERROR(__xludf.DUMMYFUNCTION("""COMPUTED_VALUE"""),282.95)</f>
        <v>282.95</v>
      </c>
      <c r="E220" s="141">
        <f ca="1">IFERROR(__xludf.DUMMYFUNCTION("""COMPUTED_VALUE"""),280)</f>
        <v>280</v>
      </c>
      <c r="F220" s="141">
        <f ca="1">IFERROR(__xludf.DUMMYFUNCTION("""COMPUTED_VALUE"""),282.56)</f>
        <v>282.56</v>
      </c>
      <c r="G220" s="143">
        <f ca="1">IFERROR(__xludf.DUMMYFUNCTION("""COMPUTED_VALUE"""),24863176)</f>
        <v>24863176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IFERROR(__xludf.DUMMYFUNCTION("""COMPUTED_VALUE"""),285.36)</f>
        <v>285.36</v>
      </c>
      <c r="D221" s="141">
        <f ca="1">IFERROR(__xludf.DUMMYFUNCTION("""COMPUTED_VALUE"""),287.05)</f>
        <v>287.05</v>
      </c>
      <c r="E221" s="141">
        <f ca="1">IFERROR(__xludf.DUMMYFUNCTION("""COMPUTED_VALUE"""),283.36)</f>
        <v>283.36</v>
      </c>
      <c r="F221" s="141">
        <f ca="1">IFERROR(__xludf.DUMMYFUNCTION("""COMPUTED_VALUE"""),286.8)</f>
        <v>286.8</v>
      </c>
      <c r="G221" s="143">
        <f ca="1">IFERROR(__xludf.DUMMYFUNCTION("""COMPUTED_VALUE"""),23330335)</f>
        <v>23330335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IFERROR(__xludf.DUMMYFUNCTION("""COMPUTED_VALUE"""),287.53)</f>
        <v>287.52999999999997</v>
      </c>
      <c r="D222" s="141">
        <f ca="1">IFERROR(__xludf.DUMMYFUNCTION("""COMPUTED_VALUE"""),287.58)</f>
        <v>287.58</v>
      </c>
      <c r="E222" s="141">
        <f ca="1">IFERROR(__xludf.DUMMYFUNCTION("""COMPUTED_VALUE"""),281.15)</f>
        <v>281.14999999999998</v>
      </c>
      <c r="F222" s="141">
        <f ca="1">IFERROR(__xludf.DUMMYFUNCTION("""COMPUTED_VALUE"""),282.26)</f>
        <v>282.26</v>
      </c>
      <c r="G222" s="143">
        <f ca="1">IFERROR(__xludf.DUMMYFUNCTION("""COMPUTED_VALUE"""),28350394)</f>
        <v>28350394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IFERROR(__xludf.DUMMYFUNCTION("""COMPUTED_VALUE"""),284.04)</f>
        <v>284.04000000000002</v>
      </c>
      <c r="D223" s="141">
        <f ca="1">IFERROR(__xludf.DUMMYFUNCTION("""COMPUTED_VALUE"""),284.97)</f>
        <v>284.97000000000003</v>
      </c>
      <c r="E223" s="141">
        <f ca="1">IFERROR(__xludf.DUMMYFUNCTION("""COMPUTED_VALUE"""),282.61)</f>
        <v>282.61</v>
      </c>
      <c r="F223" s="141">
        <f ca="1">IFERROR(__xludf.DUMMYFUNCTION("""COMPUTED_VALUE"""),284.17)</f>
        <v>284.17</v>
      </c>
      <c r="G223" s="143">
        <f ca="1">IFERROR(__xludf.DUMMYFUNCTION("""COMPUTED_VALUE"""),22474309)</f>
        <v>22474309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IFERROR(__xludf.DUMMYFUNCTION("""COMPUTED_VALUE"""),284.92)</f>
        <v>284.92</v>
      </c>
      <c r="D224" s="141">
        <f ca="1">IFERROR(__xludf.DUMMYFUNCTION("""COMPUTED_VALUE"""),287.05)</f>
        <v>287.05</v>
      </c>
      <c r="E224" s="141">
        <f ca="1">IFERROR(__xludf.DUMMYFUNCTION("""COMPUTED_VALUE"""),284.59)</f>
        <v>284.58999999999997</v>
      </c>
      <c r="F224" s="141">
        <f ca="1">IFERROR(__xludf.DUMMYFUNCTION("""COMPUTED_VALUE"""),285.33)</f>
        <v>285.33</v>
      </c>
      <c r="G224" s="143">
        <f ca="1">IFERROR(__xludf.DUMMYFUNCTION("""COMPUTED_VALUE"""),20150350)</f>
        <v>20150350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IFERROR(__xludf.DUMMYFUNCTION("""COMPUTED_VALUE"""),284.04)</f>
        <v>284.04000000000002</v>
      </c>
      <c r="D225" s="141">
        <f ca="1">IFERROR(__xludf.DUMMYFUNCTION("""COMPUTED_VALUE"""),284.06)</f>
        <v>284.06</v>
      </c>
      <c r="E225" s="141">
        <f ca="1">IFERROR(__xludf.DUMMYFUNCTION("""COMPUTED_VALUE"""),278.28)</f>
        <v>278.27999999999997</v>
      </c>
      <c r="F225" s="141">
        <f ca="1">IFERROR(__xludf.DUMMYFUNCTION("""COMPUTED_VALUE"""),282.57)</f>
        <v>282.57</v>
      </c>
      <c r="G225" s="143">
        <f ca="1">IFERROR(__xludf.DUMMYFUNCTION("""COMPUTED_VALUE"""),27404639)</f>
        <v>27404639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IFERROR(__xludf.DUMMYFUNCTION("""COMPUTED_VALUE"""),282.92)</f>
        <v>282.92</v>
      </c>
      <c r="D226" s="141">
        <f ca="1">IFERROR(__xludf.DUMMYFUNCTION("""COMPUTED_VALUE"""),283.56)</f>
        <v>283.56</v>
      </c>
      <c r="E226" s="141">
        <f ca="1">IFERROR(__xludf.DUMMYFUNCTION("""COMPUTED_VALUE"""),279.93)</f>
        <v>279.93</v>
      </c>
      <c r="F226" s="141">
        <f ca="1">IFERROR(__xludf.DUMMYFUNCTION("""COMPUTED_VALUE"""),282.67)</f>
        <v>282.67</v>
      </c>
      <c r="G226" s="143">
        <f ca="1">IFERROR(__xludf.DUMMYFUNCTION("""COMPUTED_VALUE"""),20742271)</f>
        <v>20742271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IFERROR(__xludf.DUMMYFUNCTION("""COMPUTED_VALUE"""),283.84)</f>
        <v>283.83999999999997</v>
      </c>
      <c r="D227" s="141">
        <f ca="1">IFERROR(__xludf.DUMMYFUNCTION("""COMPUTED_VALUE"""),285.65)</f>
        <v>285.64999999999998</v>
      </c>
      <c r="E227" s="141">
        <f ca="1">IFERROR(__xludf.DUMMYFUNCTION("""COMPUTED_VALUE"""),281.96)</f>
        <v>281.95999999999998</v>
      </c>
      <c r="F227" s="141">
        <f ca="1">IFERROR(__xludf.DUMMYFUNCTION("""COMPUTED_VALUE"""),284.45)</f>
        <v>284.45</v>
      </c>
      <c r="G227" s="143">
        <f ca="1">IFERROR(__xludf.DUMMYFUNCTION("""COMPUTED_VALUE"""),17428746)</f>
        <v>17428746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IFERROR(__xludf.DUMMYFUNCTION("""COMPUTED_VALUE"""),280.3)</f>
        <v>280.3</v>
      </c>
      <c r="D228" s="141">
        <f ca="1">IFERROR(__xludf.DUMMYFUNCTION("""COMPUTED_VALUE"""),280.33)</f>
        <v>280.33</v>
      </c>
      <c r="E228" s="141">
        <f ca="1">IFERROR(__xludf.DUMMYFUNCTION("""COMPUTED_VALUE"""),277.24)</f>
        <v>277.24</v>
      </c>
      <c r="F228" s="141">
        <f ca="1">IFERROR(__xludf.DUMMYFUNCTION("""COMPUTED_VALUE"""),277.6)</f>
        <v>277.60000000000002</v>
      </c>
      <c r="G228" s="143">
        <f ca="1">IFERROR(__xludf.DUMMYFUNCTION("""COMPUTED_VALUE"""),35407976)</f>
        <v>35407976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IFERROR(__xludf.DUMMYFUNCTION("""COMPUTED_VALUE"""),278.74)</f>
        <v>278.74</v>
      </c>
      <c r="D229" s="141">
        <f ca="1">IFERROR(__xludf.DUMMYFUNCTION("""COMPUTED_VALUE"""),279.08)</f>
        <v>279.08</v>
      </c>
      <c r="E229" s="141">
        <f ca="1">IFERROR(__xludf.DUMMYFUNCTION("""COMPUTED_VALUE"""),273.94)</f>
        <v>273.94</v>
      </c>
      <c r="F229" s="141">
        <f ca="1">IFERROR(__xludf.DUMMYFUNCTION("""COMPUTED_VALUE"""),275.97)</f>
        <v>275.97000000000003</v>
      </c>
      <c r="G229" s="143">
        <f ca="1">IFERROR(__xludf.DUMMYFUNCTION("""COMPUTED_VALUE"""),27243341)</f>
        <v>27243341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IFERROR(__xludf.DUMMYFUNCTION("""COMPUTED_VALUE"""),273.81)</f>
        <v>273.81</v>
      </c>
      <c r="D230" s="141">
        <f ca="1">IFERROR(__xludf.DUMMYFUNCTION("""COMPUTED_VALUE"""),275.08)</f>
        <v>275.08</v>
      </c>
      <c r="E230" s="141">
        <f ca="1">IFERROR(__xludf.DUMMYFUNCTION("""COMPUTED_VALUE"""),270.63)</f>
        <v>270.63</v>
      </c>
      <c r="F230" s="141">
        <f ca="1">IFERROR(__xludf.DUMMYFUNCTION("""COMPUTED_VALUE"""),273)</f>
        <v>273</v>
      </c>
      <c r="G230" s="143">
        <f ca="1">IFERROR(__xludf.DUMMYFUNCTION("""COMPUTED_VALUE"""),30276940)</f>
        <v>30276940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IFERROR(__xludf.DUMMYFUNCTION("""COMPUTED_VALUE"""),274.91)</f>
        <v>274.91000000000003</v>
      </c>
      <c r="D231" s="141">
        <f ca="1">IFERROR(__xludf.DUMMYFUNCTION("""COMPUTED_VALUE"""),280.09)</f>
        <v>280.08999999999997</v>
      </c>
      <c r="E231" s="141">
        <f ca="1">IFERROR(__xludf.DUMMYFUNCTION("""COMPUTED_VALUE"""),273.41)</f>
        <v>273.41000000000003</v>
      </c>
      <c r="F231" s="141">
        <f ca="1">IFERROR(__xludf.DUMMYFUNCTION("""COMPUTED_VALUE"""),279.87)</f>
        <v>279.87</v>
      </c>
      <c r="G231" s="143">
        <f ca="1">IFERROR(__xludf.DUMMYFUNCTION("""COMPUTED_VALUE"""),31562007)</f>
        <v>31562007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IFERROR(__xludf.DUMMYFUNCTION("""COMPUTED_VALUE"""),278.66)</f>
        <v>278.66000000000003</v>
      </c>
      <c r="D232" s="141">
        <f ca="1">IFERROR(__xludf.DUMMYFUNCTION("""COMPUTED_VALUE"""),283.68)</f>
        <v>283.68</v>
      </c>
      <c r="E232" s="141">
        <f ca="1">IFERROR(__xludf.DUMMYFUNCTION("""COMPUTED_VALUE"""),277.15)</f>
        <v>277.14999999999998</v>
      </c>
      <c r="F232" s="141">
        <f ca="1">IFERROR(__xludf.DUMMYFUNCTION("""COMPUTED_VALUE"""),282.49)</f>
        <v>282.49</v>
      </c>
      <c r="G232" s="143">
        <f ca="1">IFERROR(__xludf.DUMMYFUNCTION("""COMPUTED_VALUE"""),31680476)</f>
        <v>31680476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IFERROR(__xludf.DUMMYFUNCTION("""COMPUTED_VALUE"""),284.1)</f>
        <v>284.10000000000002</v>
      </c>
      <c r="D233" s="141">
        <f ca="1">IFERROR(__xludf.DUMMYFUNCTION("""COMPUTED_VALUE"""),286.61)</f>
        <v>286.61</v>
      </c>
      <c r="E233" s="141">
        <f ca="1">IFERROR(__xludf.DUMMYFUNCTION("""COMPUTED_VALUE"""),283.67)</f>
        <v>283.67</v>
      </c>
      <c r="F233" s="141">
        <f ca="1">IFERROR(__xludf.DUMMYFUNCTION("""COMPUTED_VALUE"""),285.12)</f>
        <v>285.12</v>
      </c>
      <c r="G233" s="143">
        <f ca="1">IFERROR(__xludf.DUMMYFUNCTION("""COMPUTED_VALUE"""),23849297)</f>
        <v>23849297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IFERROR(__xludf.DUMMYFUNCTION("""COMPUTED_VALUE"""),288.39)</f>
        <v>288.39</v>
      </c>
      <c r="D234" s="141">
        <f ca="1">IFERROR(__xludf.DUMMYFUNCTION("""COMPUTED_VALUE"""),290.55)</f>
        <v>290.55</v>
      </c>
      <c r="E234" s="141">
        <f ca="1">IFERROR(__xludf.DUMMYFUNCTION("""COMPUTED_VALUE"""),287.74)</f>
        <v>287.74</v>
      </c>
      <c r="F234" s="141">
        <f ca="1">IFERROR(__xludf.DUMMYFUNCTION("""COMPUTED_VALUE"""),290.51)</f>
        <v>290.51</v>
      </c>
      <c r="G234" s="143">
        <f ca="1">IFERROR(__xludf.DUMMYFUNCTION("""COMPUTED_VALUE"""),24506453)</f>
        <v>24506453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IFERROR(__xludf.DUMMYFUNCTION("""COMPUTED_VALUE"""),291.16)</f>
        <v>291.16000000000003</v>
      </c>
      <c r="D235" s="141">
        <f ca="1">IFERROR(__xludf.DUMMYFUNCTION("""COMPUTED_VALUE"""),291.72)</f>
        <v>291.72000000000003</v>
      </c>
      <c r="E235" s="141">
        <f ca="1">IFERROR(__xludf.DUMMYFUNCTION("""COMPUTED_VALUE"""),289.31)</f>
        <v>289.31</v>
      </c>
      <c r="F235" s="141">
        <f ca="1">IFERROR(__xludf.DUMMYFUNCTION("""COMPUTED_VALUE"""),290.37)</f>
        <v>290.37</v>
      </c>
      <c r="G235" s="143">
        <f ca="1">IFERROR(__xludf.DUMMYFUNCTION("""COMPUTED_VALUE"""),24519854)</f>
        <v>24519854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IFERROR(__xludf.DUMMYFUNCTION("""COMPUTED_VALUE"""),289.64)</f>
        <v>289.64</v>
      </c>
      <c r="D236" s="141">
        <f ca="1">IFERROR(__xludf.DUMMYFUNCTION("""COMPUTED_VALUE"""),292.74)</f>
        <v>292.74</v>
      </c>
      <c r="E236" s="141">
        <f ca="1">IFERROR(__xludf.DUMMYFUNCTION("""COMPUTED_VALUE"""),287.98)</f>
        <v>287.98</v>
      </c>
      <c r="F236" s="141">
        <f ca="1">IFERROR(__xludf.DUMMYFUNCTION("""COMPUTED_VALUE"""),292.03)</f>
        <v>292.02999999999997</v>
      </c>
      <c r="G236" s="143">
        <f ca="1">IFERROR(__xludf.DUMMYFUNCTION("""COMPUTED_VALUE"""),23710563)</f>
        <v>23710563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IFERROR(__xludf.DUMMYFUNCTION("""COMPUTED_VALUE"""),291.38)</f>
        <v>291.38</v>
      </c>
      <c r="D237" s="141">
        <f ca="1">IFERROR(__xludf.DUMMYFUNCTION("""COMPUTED_VALUE"""),291.41)</f>
        <v>291.41000000000003</v>
      </c>
      <c r="E237" s="141">
        <f ca="1">IFERROR(__xludf.DUMMYFUNCTION("""COMPUTED_VALUE"""),288.33)</f>
        <v>288.33</v>
      </c>
      <c r="F237" s="141">
        <f ca="1">IFERROR(__xludf.DUMMYFUNCTION("""COMPUTED_VALUE"""),290.43)</f>
        <v>290.43</v>
      </c>
      <c r="G237" s="143">
        <f ca="1">IFERROR(__xludf.DUMMYFUNCTION("""COMPUTED_VALUE"""),26961015)</f>
        <v>26961015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IFERROR(__xludf.DUMMYFUNCTION("""COMPUTED_VALUE"""),288.37)</f>
        <v>288.37</v>
      </c>
      <c r="D238" s="141">
        <f ca="1">IFERROR(__xludf.DUMMYFUNCTION("""COMPUTED_VALUE"""),290.61)</f>
        <v>290.61</v>
      </c>
      <c r="E238" s="141">
        <f ca="1">IFERROR(__xludf.DUMMYFUNCTION("""COMPUTED_VALUE"""),286.27)</f>
        <v>286.27</v>
      </c>
      <c r="F238" s="141">
        <f ca="1">IFERROR(__xludf.DUMMYFUNCTION("""COMPUTED_VALUE"""),288.98)</f>
        <v>288.98</v>
      </c>
      <c r="G238" s="143">
        <f ca="1">IFERROR(__xludf.DUMMYFUNCTION("""COMPUTED_VALUE"""),23826067)</f>
        <v>23826067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IFERROR(__xludf.DUMMYFUNCTION("""COMPUTED_VALUE"""),288.46)</f>
        <v>288.45999999999998</v>
      </c>
      <c r="D239" s="141">
        <f ca="1">IFERROR(__xludf.DUMMYFUNCTION("""COMPUTED_VALUE"""),291.87)</f>
        <v>291.87</v>
      </c>
      <c r="E239" s="141">
        <f ca="1">IFERROR(__xludf.DUMMYFUNCTION("""COMPUTED_VALUE"""),288.4)</f>
        <v>288.39999999999998</v>
      </c>
      <c r="F239" s="141">
        <f ca="1">IFERROR(__xludf.DUMMYFUNCTION("""COMPUTED_VALUE"""),291.66)</f>
        <v>291.66000000000003</v>
      </c>
      <c r="G239" s="143">
        <f ca="1">IFERROR(__xludf.DUMMYFUNCTION("""COMPUTED_VALUE"""),18378830)</f>
        <v>18378830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IFERROR(__xludf.DUMMYFUNCTION("""COMPUTED_VALUE"""),289.99)</f>
        <v>289.99</v>
      </c>
      <c r="D240" s="141">
        <f ca="1">IFERROR(__xludf.DUMMYFUNCTION("""COMPUTED_VALUE"""),290.01)</f>
        <v>290.01</v>
      </c>
      <c r="E240" s="141">
        <f ca="1">IFERROR(__xludf.DUMMYFUNCTION("""COMPUTED_VALUE"""),286.78)</f>
        <v>286.77999999999997</v>
      </c>
      <c r="F240" s="141">
        <f ca="1">IFERROR(__xludf.DUMMYFUNCTION("""COMPUTED_VALUE"""),287.67)</f>
        <v>287.67</v>
      </c>
      <c r="G240" s="143">
        <f ca="1">IFERROR(__xludf.DUMMYFUNCTION("""COMPUTED_VALUE"""),29167270)</f>
        <v>29167270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IFERROR(__xludf.DUMMYFUNCTION("""COMPUTED_VALUE"""),287.56)</f>
        <v>287.56</v>
      </c>
      <c r="D241" s="141">
        <f ca="1">IFERROR(__xludf.DUMMYFUNCTION("""COMPUTED_VALUE"""),292.88)</f>
        <v>292.88</v>
      </c>
      <c r="E241" s="141">
        <f ca="1">IFERROR(__xludf.DUMMYFUNCTION("""COMPUTED_VALUE"""),286.66)</f>
        <v>286.66000000000003</v>
      </c>
      <c r="F241" s="141">
        <f ca="1">IFERROR(__xludf.DUMMYFUNCTION("""COMPUTED_VALUE"""),292.01)</f>
        <v>292.01</v>
      </c>
      <c r="G241" s="143">
        <f ca="1">IFERROR(__xludf.DUMMYFUNCTION("""COMPUTED_VALUE"""),24307765)</f>
        <v>24307765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IFERROR(__xludf.DUMMYFUNCTION("""COMPUTED_VALUE"""),289.1)</f>
        <v>289.10000000000002</v>
      </c>
      <c r="D242" s="141">
        <f ca="1">IFERROR(__xludf.DUMMYFUNCTION("""COMPUTED_VALUE"""),289.4)</f>
        <v>289.39999999999998</v>
      </c>
      <c r="E242" s="141">
        <f ca="1">IFERROR(__xludf.DUMMYFUNCTION("""COMPUTED_VALUE"""),280.15)</f>
        <v>280.14999999999998</v>
      </c>
      <c r="F242" s="141">
        <f ca="1">IFERROR(__xludf.DUMMYFUNCTION("""COMPUTED_VALUE"""),281.65)</f>
        <v>281.64999999999998</v>
      </c>
      <c r="G242" s="143">
        <f ca="1">IFERROR(__xludf.DUMMYFUNCTION("""COMPUTED_VALUE"""),35812836)</f>
        <v>35812836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IFERROR(__xludf.DUMMYFUNCTION("""COMPUTED_VALUE"""),285.51)</f>
        <v>285.51</v>
      </c>
      <c r="D243" s="141">
        <f ca="1">IFERROR(__xludf.DUMMYFUNCTION("""COMPUTED_VALUE"""),286.84)</f>
        <v>286.83999999999997</v>
      </c>
      <c r="E243" s="141">
        <f ca="1">IFERROR(__xludf.DUMMYFUNCTION("""COMPUTED_VALUE"""),283.58)</f>
        <v>283.58</v>
      </c>
      <c r="F243" s="141">
        <f ca="1">IFERROR(__xludf.DUMMYFUNCTION("""COMPUTED_VALUE"""),284.11)</f>
        <v>284.11</v>
      </c>
      <c r="G243" s="143">
        <f ca="1">IFERROR(__xludf.DUMMYFUNCTION("""COMPUTED_VALUE"""),27277380)</f>
        <v>27277380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IFERROR(__xludf.DUMMYFUNCTION("""COMPUTED_VALUE"""),287.18)</f>
        <v>287.18</v>
      </c>
      <c r="D244" s="141">
        <f ca="1">IFERROR(__xludf.DUMMYFUNCTION("""COMPUTED_VALUE"""),290.87)</f>
        <v>290.87</v>
      </c>
      <c r="E244" s="141">
        <f ca="1">IFERROR(__xludf.DUMMYFUNCTION("""COMPUTED_VALUE"""),277.62)</f>
        <v>277.62</v>
      </c>
      <c r="F244" s="141">
        <f ca="1">IFERROR(__xludf.DUMMYFUNCTION("""COMPUTED_VALUE"""),285.02)</f>
        <v>285.02</v>
      </c>
      <c r="G244" s="143">
        <f ca="1">IFERROR(__xludf.DUMMYFUNCTION("""COMPUTED_VALUE"""),41761261)</f>
        <v>41761261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IFERROR(__xludf.DUMMYFUNCTION("""COMPUTED_VALUE"""),284.59)</f>
        <v>284.58999999999997</v>
      </c>
      <c r="D245" s="141">
        <f ca="1">IFERROR(__xludf.DUMMYFUNCTION("""COMPUTED_VALUE"""),289)</f>
        <v>289</v>
      </c>
      <c r="E245" s="141">
        <f ca="1">IFERROR(__xludf.DUMMYFUNCTION("""COMPUTED_VALUE"""),281.76)</f>
        <v>281.76</v>
      </c>
      <c r="F245" s="141">
        <f ca="1">IFERROR(__xludf.DUMMYFUNCTION("""COMPUTED_VALUE"""),282.05)</f>
        <v>282.05</v>
      </c>
      <c r="G245" s="143">
        <f ca="1">IFERROR(__xludf.DUMMYFUNCTION("""COMPUTED_VALUE"""),39285002)</f>
        <v>39285002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IFERROR(__xludf.DUMMYFUNCTION("""COMPUTED_VALUE"""),284.44)</f>
        <v>284.44</v>
      </c>
      <c r="D246" s="141">
        <f ca="1">IFERROR(__xludf.DUMMYFUNCTION("""COMPUTED_VALUE"""),291.06)</f>
        <v>291.06</v>
      </c>
      <c r="E246" s="141">
        <f ca="1">IFERROR(__xludf.DUMMYFUNCTION("""COMPUTED_VALUE"""),284.07)</f>
        <v>284.07</v>
      </c>
      <c r="F246" s="141">
        <f ca="1">IFERROR(__xludf.DUMMYFUNCTION("""COMPUTED_VALUE"""),290.41)</f>
        <v>290.41000000000003</v>
      </c>
      <c r="G246" s="143">
        <f ca="1">IFERROR(__xludf.DUMMYFUNCTION("""COMPUTED_VALUE"""),41468783)</f>
        <v>41468783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IFERROR(__xludf.DUMMYFUNCTION("""COMPUTED_VALUE"""),291.63)</f>
        <v>291.63</v>
      </c>
      <c r="D247" s="141">
        <f ca="1">IFERROR(__xludf.DUMMYFUNCTION("""COMPUTED_VALUE"""),295.72)</f>
        <v>295.72000000000003</v>
      </c>
      <c r="E247" s="141">
        <f ca="1">IFERROR(__xludf.DUMMYFUNCTION("""COMPUTED_VALUE"""),290.31)</f>
        <v>290.31</v>
      </c>
      <c r="F247" s="141">
        <f ca="1">IFERROR(__xludf.DUMMYFUNCTION("""COMPUTED_VALUE"""),292.95)</f>
        <v>292.95</v>
      </c>
      <c r="G247" s="143">
        <f ca="1">IFERROR(__xludf.DUMMYFUNCTION("""COMPUTED_VALUE"""),34415247)</f>
        <v>34415247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IFERROR(__xludf.DUMMYFUNCTION("""COMPUTED_VALUE"""),296.56)</f>
        <v>296.56</v>
      </c>
      <c r="D248" s="141">
        <f ca="1">IFERROR(__xludf.DUMMYFUNCTION("""COMPUTED_VALUE"""),297.91)</f>
        <v>297.91000000000003</v>
      </c>
      <c r="E248" s="141">
        <f ca="1">IFERROR(__xludf.DUMMYFUNCTION("""COMPUTED_VALUE"""),293.92)</f>
        <v>293.92</v>
      </c>
      <c r="F248" s="141">
        <f ca="1">IFERROR(__xludf.DUMMYFUNCTION("""COMPUTED_VALUE"""),294.64)</f>
        <v>294.64</v>
      </c>
      <c r="G248" s="143">
        <f ca="1">IFERROR(__xludf.DUMMYFUNCTION("""COMPUTED_VALUE"""),23888988)</f>
        <v>23888988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IFERROR(__xludf.DUMMYFUNCTION("""COMPUTED_VALUE"""),295.5)</f>
        <v>295.5</v>
      </c>
      <c r="D249" s="141">
        <f ca="1">IFERROR(__xludf.DUMMYFUNCTION("""COMPUTED_VALUE"""),296.8)</f>
        <v>296.8</v>
      </c>
      <c r="E249" s="141">
        <f ca="1">IFERROR(__xludf.DUMMYFUNCTION("""COMPUTED_VALUE"""),291.58)</f>
        <v>291.58</v>
      </c>
      <c r="F249" s="141">
        <f ca="1">IFERROR(__xludf.DUMMYFUNCTION("""COMPUTED_VALUE"""),292.08)</f>
        <v>292.08</v>
      </c>
      <c r="G249" s="143">
        <f ca="1">IFERROR(__xludf.DUMMYFUNCTION("""COMPUTED_VALUE"""),23807721)</f>
        <v>23807721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IFERROR(__xludf.DUMMYFUNCTION("""COMPUTED_VALUE"""),292.47)</f>
        <v>292.47000000000003</v>
      </c>
      <c r="D250" s="141">
        <f ca="1">IFERROR(__xludf.DUMMYFUNCTION("""COMPUTED_VALUE"""),295.82)</f>
        <v>295.82</v>
      </c>
      <c r="E250" s="141">
        <f ca="1">IFERROR(__xludf.DUMMYFUNCTION("""COMPUTED_VALUE"""),288.93)</f>
        <v>288.93</v>
      </c>
      <c r="F250" s="141">
        <f ca="1">IFERROR(__xludf.DUMMYFUNCTION("""COMPUTED_VALUE"""),289.88)</f>
        <v>289.88</v>
      </c>
      <c r="G250" s="143">
        <f ca="1">IFERROR(__xludf.DUMMYFUNCTION("""COMPUTED_VALUE"""),39920146)</f>
        <v>39920146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IFERROR(__xludf.DUMMYFUNCTION("""COMPUTED_VALUE"""),294.55)</f>
        <v>294.55</v>
      </c>
      <c r="D251" s="141">
        <f ca="1">IFERROR(__xludf.DUMMYFUNCTION("""COMPUTED_VALUE"""),295.97)</f>
        <v>295.97000000000003</v>
      </c>
      <c r="E251" s="141">
        <f ca="1">IFERROR(__xludf.DUMMYFUNCTION("""COMPUTED_VALUE"""),291.42)</f>
        <v>291.42</v>
      </c>
      <c r="F251" s="141">
        <f ca="1">IFERROR(__xludf.DUMMYFUNCTION("""COMPUTED_VALUE"""),295.59)</f>
        <v>295.58999999999997</v>
      </c>
      <c r="G251" s="143">
        <f ca="1">IFERROR(__xludf.DUMMYFUNCTION("""COMPUTED_VALUE"""),32463156)</f>
        <v>32463156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IFERROR(__xludf.DUMMYFUNCTION("""COMPUTED_VALUE"""),297.13)</f>
        <v>297.13</v>
      </c>
      <c r="D252" s="141">
        <f ca="1">IFERROR(__xludf.DUMMYFUNCTION("""COMPUTED_VALUE"""),299.49)</f>
        <v>299.49</v>
      </c>
      <c r="E252" s="141">
        <f ca="1">IFERROR(__xludf.DUMMYFUNCTION("""COMPUTED_VALUE"""),296.16)</f>
        <v>296.16000000000003</v>
      </c>
      <c r="F252" s="141">
        <f ca="1">IFERROR(__xludf.DUMMYFUNCTION("""COMPUTED_VALUE"""),298.18)</f>
        <v>298.18</v>
      </c>
      <c r="G252" s="143">
        <f ca="1">IFERROR(__xludf.DUMMYFUNCTION("""COMPUTED_VALUE"""),22796224)</f>
        <v>22796224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IFERROR(__xludf.DUMMYFUNCTION("""COMPUTED_VALUE"""),293.26)</f>
        <v>293.26</v>
      </c>
      <c r="D253" s="141">
        <f ca="1">IFERROR(__xludf.DUMMYFUNCTION("""COMPUTED_VALUE"""),297.75)</f>
        <v>297.75</v>
      </c>
      <c r="E253" s="141">
        <f ca="1">IFERROR(__xludf.DUMMYFUNCTION("""COMPUTED_VALUE"""),292.4)</f>
        <v>292.39999999999998</v>
      </c>
      <c r="F253" s="141">
        <f ca="1">IFERROR(__xludf.DUMMYFUNCTION("""COMPUTED_VALUE"""),295.32)</f>
        <v>295.32</v>
      </c>
      <c r="G253" s="143">
        <f ca="1">IFERROR(__xludf.DUMMYFUNCTION("""COMPUTED_VALUE"""),26821709)</f>
        <v>26821709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IFERROR(__xludf.DUMMYFUNCTION("""COMPUTED_VALUE"""),295.88)</f>
        <v>295.88</v>
      </c>
      <c r="D254" s="141">
        <f ca="1">IFERROR(__xludf.DUMMYFUNCTION("""COMPUTED_VALUE"""),299.69)</f>
        <v>299.69</v>
      </c>
      <c r="E254" s="141">
        <f ca="1">IFERROR(__xludf.DUMMYFUNCTION("""COMPUTED_VALUE"""),294.69)</f>
        <v>294.69</v>
      </c>
      <c r="F254" s="141">
        <f ca="1">IFERROR(__xludf.DUMMYFUNCTION("""COMPUTED_VALUE"""),296.69)</f>
        <v>296.69</v>
      </c>
      <c r="G254" s="143">
        <f ca="1">IFERROR(__xludf.DUMMYFUNCTION("""COMPUTED_VALUE"""),28664854)</f>
        <v>28664854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IFERROR(__xludf.DUMMYFUNCTION("""COMPUTED_VALUE"""),299.52)</f>
        <v>299.52</v>
      </c>
      <c r="D255" s="141">
        <f ca="1">IFERROR(__xludf.DUMMYFUNCTION("""COMPUTED_VALUE"""),301.5)</f>
        <v>301.5</v>
      </c>
      <c r="E255" s="141">
        <f ca="1">IFERROR(__xludf.DUMMYFUNCTION("""COMPUTED_VALUE"""),296.73)</f>
        <v>296.73</v>
      </c>
      <c r="F255" s="141">
        <f ca="1">IFERROR(__xludf.DUMMYFUNCTION("""COMPUTED_VALUE"""),298.91)</f>
        <v>298.91000000000003</v>
      </c>
      <c r="G255" s="143">
        <f ca="1">IFERROR(__xludf.DUMMYFUNCTION("""COMPUTED_VALUE"""),27666110)</f>
        <v>27666110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IFERROR(__xludf.DUMMYFUNCTION("""COMPUTED_VALUE"""),296.6)</f>
        <v>296.60000000000002</v>
      </c>
      <c r="D256" s="141">
        <f ca="1">IFERROR(__xludf.DUMMYFUNCTION("""COMPUTED_VALUE"""),300.03)</f>
        <v>300.02999999999997</v>
      </c>
      <c r="E256" s="141">
        <f ca="1">IFERROR(__xludf.DUMMYFUNCTION("""COMPUTED_VALUE"""),295.73)</f>
        <v>295.73</v>
      </c>
      <c r="F256" s="141">
        <f ca="1">IFERROR(__xludf.DUMMYFUNCTION("""COMPUTED_VALUE"""),299.83)</f>
        <v>299.83</v>
      </c>
      <c r="G256" s="143">
        <f ca="1">IFERROR(__xludf.DUMMYFUNCTION("""COMPUTED_VALUE"""),39832521)</f>
        <v>39832521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IFERROR(__xludf.DUMMYFUNCTION("""COMPUTED_VALUE"""),298.11)</f>
        <v>298.11</v>
      </c>
      <c r="D257" s="141">
        <f ca="1">IFERROR(__xludf.DUMMYFUNCTION("""COMPUTED_VALUE"""),299.16)</f>
        <v>299.16000000000003</v>
      </c>
      <c r="E257" s="141">
        <f ca="1">IFERROR(__xludf.DUMMYFUNCTION("""COMPUTED_VALUE"""),294.68)</f>
        <v>294.68</v>
      </c>
      <c r="F257" s="141">
        <f ca="1">IFERROR(__xludf.DUMMYFUNCTION("""COMPUTED_VALUE"""),298.97)</f>
        <v>298.97000000000003</v>
      </c>
      <c r="G257" s="143">
        <f ca="1">IFERROR(__xludf.DUMMYFUNCTION("""COMPUTED_VALUE"""),24834054)</f>
        <v>24834054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IFERROR(__xludf.DUMMYFUNCTION("""COMPUTED_VALUE"""),298.56)</f>
        <v>298.56</v>
      </c>
      <c r="D258" s="141">
        <f ca="1">IFERROR(__xludf.DUMMYFUNCTION("""COMPUTED_VALUE"""),300.98)</f>
        <v>300.98</v>
      </c>
      <c r="E258" s="141">
        <f ca="1">IFERROR(__xludf.DUMMYFUNCTION("""COMPUTED_VALUE"""),297.44)</f>
        <v>297.44</v>
      </c>
      <c r="F258" s="141">
        <f ca="1">IFERROR(__xludf.DUMMYFUNCTION("""COMPUTED_VALUE"""),300.45)</f>
        <v>300.45</v>
      </c>
      <c r="G258" s="143">
        <f ca="1">IFERROR(__xludf.DUMMYFUNCTION("""COMPUTED_VALUE"""),23230275)</f>
        <v>23230275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IFERROR(__xludf.DUMMYFUNCTION("""COMPUTED_VALUE"""),299.93)</f>
        <v>299.93</v>
      </c>
      <c r="D259" s="141">
        <f ca="1">IFERROR(__xludf.DUMMYFUNCTION("""COMPUTED_VALUE"""),302.72)</f>
        <v>302.72000000000003</v>
      </c>
      <c r="E259" s="141">
        <f ca="1">IFERROR(__xludf.DUMMYFUNCTION("""COMPUTED_VALUE"""),298.92)</f>
        <v>298.92</v>
      </c>
      <c r="F259" s="141">
        <f ca="1">IFERROR(__xludf.DUMMYFUNCTION("""COMPUTED_VALUE"""),299.32)</f>
        <v>299.32</v>
      </c>
      <c r="G259" s="143">
        <f ca="1">IFERROR(__xludf.DUMMYFUNCTION("""COMPUTED_VALUE"""),20607882)</f>
        <v>20607882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IFERROR(__xludf.DUMMYFUNCTION("""COMPUTED_VALUE"""),300.54)</f>
        <v>300.54000000000002</v>
      </c>
      <c r="D260" s="141">
        <f ca="1">IFERROR(__xludf.DUMMYFUNCTION("""COMPUTED_VALUE"""),302.23)</f>
        <v>302.23</v>
      </c>
      <c r="E260" s="141">
        <f ca="1">IFERROR(__xludf.DUMMYFUNCTION("""COMPUTED_VALUE"""),294.98)</f>
        <v>294.98</v>
      </c>
      <c r="F260" s="141">
        <f ca="1">IFERROR(__xludf.DUMMYFUNCTION("""COMPUTED_VALUE"""),297.58)</f>
        <v>297.58</v>
      </c>
      <c r="G260" s="143">
        <f ca="1">IFERROR(__xludf.DUMMYFUNCTION("""COMPUTED_VALUE"""),21236398)</f>
        <v>21236398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IFERROR(__xludf.DUMMYFUNCTION("""COMPUTED_VALUE"""),297.75)</f>
        <v>297.75</v>
      </c>
      <c r="D261" s="141">
        <f ca="1">IFERROR(__xludf.DUMMYFUNCTION("""COMPUTED_VALUE"""),300.41)</f>
        <v>300.41000000000003</v>
      </c>
      <c r="E261" s="141">
        <f ca="1">IFERROR(__xludf.DUMMYFUNCTION("""COMPUTED_VALUE"""),297.62)</f>
        <v>297.62</v>
      </c>
      <c r="F261" s="141">
        <f ca="1">IFERROR(__xludf.DUMMYFUNCTION("""COMPUTED_VALUE"""),298.9)</f>
        <v>298.89999999999998</v>
      </c>
      <c r="G261" s="143">
        <f ca="1">IFERROR(__xludf.DUMMYFUNCTION("""COMPUTED_VALUE"""),18581287)</f>
        <v>18581287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IFERROR(__xludf.DUMMYFUNCTION("""COMPUTED_VALUE"""),299.17)</f>
        <v>299.17</v>
      </c>
      <c r="D262" s="141">
        <f ca="1">IFERROR(__xludf.DUMMYFUNCTION("""COMPUTED_VALUE"""),299.97)</f>
        <v>299.97000000000003</v>
      </c>
      <c r="E262" s="141">
        <f ca="1">IFERROR(__xludf.DUMMYFUNCTION("""COMPUTED_VALUE"""),295.18)</f>
        <v>295.18</v>
      </c>
      <c r="F262" s="141">
        <f ca="1">IFERROR(__xludf.DUMMYFUNCTION("""COMPUTED_VALUE"""),296.19)</f>
        <v>296.19</v>
      </c>
      <c r="G262" s="143">
        <f ca="1">IFERROR(__xludf.DUMMYFUNCTION("""COMPUTED_VALUE"""),18057101)</f>
        <v>18057101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IFERROR(__xludf.DUMMYFUNCTION("""COMPUTED_VALUE"""),294.03)</f>
        <v>294.02999999999997</v>
      </c>
      <c r="D263" s="141">
        <f ca="1">IFERROR(__xludf.DUMMYFUNCTION("""COMPUTED_VALUE"""),295.1)</f>
        <v>295.10000000000002</v>
      </c>
      <c r="E263" s="141">
        <f ca="1">IFERROR(__xludf.DUMMYFUNCTION("""COMPUTED_VALUE"""),290.68)</f>
        <v>290.68</v>
      </c>
      <c r="F263" s="141">
        <f ca="1">IFERROR(__xludf.DUMMYFUNCTION("""COMPUTED_VALUE"""),293.48)</f>
        <v>293.48</v>
      </c>
      <c r="G263" s="143">
        <f ca="1">IFERROR(__xludf.DUMMYFUNCTION("""COMPUTED_VALUE"""),24078351)</f>
        <v>24078351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IFERROR(__xludf.DUMMYFUNCTION("""COMPUTED_VALUE"""),295.27)</f>
        <v>295.27</v>
      </c>
      <c r="D264" s="141">
        <f ca="1">IFERROR(__xludf.DUMMYFUNCTION("""COMPUTED_VALUE"""),297.88)</f>
        <v>297.88</v>
      </c>
      <c r="E264" s="141">
        <f ca="1">IFERROR(__xludf.DUMMYFUNCTION("""COMPUTED_VALUE"""),294.9)</f>
        <v>294.89999999999998</v>
      </c>
      <c r="F264" s="141">
        <f ca="1">IFERROR(__xludf.DUMMYFUNCTION("""COMPUTED_VALUE"""),297.24)</f>
        <v>297.24</v>
      </c>
      <c r="G264" s="143">
        <f ca="1">IFERROR(__xludf.DUMMYFUNCTION("""COMPUTED_VALUE"""),16466826)</f>
        <v>16466826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IFERROR(__xludf.DUMMYFUNCTION("""COMPUTED_VALUE"""),297.69)</f>
        <v>297.69</v>
      </c>
      <c r="D265" s="141">
        <f ca="1">IFERROR(__xludf.DUMMYFUNCTION("""COMPUTED_VALUE"""),298.21)</f>
        <v>298.20999999999998</v>
      </c>
      <c r="E265" s="141">
        <f ca="1">IFERROR(__xludf.DUMMYFUNCTION("""COMPUTED_VALUE"""),293.62)</f>
        <v>293.62</v>
      </c>
      <c r="F265" s="141">
        <f ca="1">IFERROR(__xludf.DUMMYFUNCTION("""COMPUTED_VALUE"""),295.99)</f>
        <v>295.99</v>
      </c>
      <c r="G265" s="143">
        <f ca="1">IFERROR(__xludf.DUMMYFUNCTION("""COMPUTED_VALUE"""),15888498)</f>
        <v>15888498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IFERROR(__xludf.DUMMYFUNCTION("""COMPUTED_VALUE"""),295.06)</f>
        <v>295.06</v>
      </c>
      <c r="D266" s="141">
        <f ca="1">IFERROR(__xludf.DUMMYFUNCTION("""COMPUTED_VALUE"""),295.78)</f>
        <v>295.77999999999997</v>
      </c>
      <c r="E266" s="141">
        <f ca="1">IFERROR(__xludf.DUMMYFUNCTION("""COMPUTED_VALUE"""),292.6)</f>
        <v>292.60000000000002</v>
      </c>
      <c r="F266" s="141">
        <f ca="1">IFERROR(__xludf.DUMMYFUNCTION("""COMPUTED_VALUE"""),293.48)</f>
        <v>293.48</v>
      </c>
      <c r="G266" s="143">
        <f ca="1">IFERROR(__xludf.DUMMYFUNCTION("""COMPUTED_VALUE"""),19375486)</f>
        <v>19375486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IFERROR(__xludf.DUMMYFUNCTION("""COMPUTED_VALUE"""),295.49)</f>
        <v>295.49</v>
      </c>
      <c r="D267" s="141">
        <f ca="1">IFERROR(__xludf.DUMMYFUNCTION("""COMPUTED_VALUE"""),296.07)</f>
        <v>296.07</v>
      </c>
      <c r="E267" s="141">
        <f ca="1">IFERROR(__xludf.DUMMYFUNCTION("""COMPUTED_VALUE"""),293.75)</f>
        <v>293.75</v>
      </c>
      <c r="F267" s="141">
        <f ca="1">IFERROR(__xludf.DUMMYFUNCTION("""COMPUTED_VALUE"""),294.51)</f>
        <v>294.51</v>
      </c>
      <c r="G267" s="143">
        <f ca="1">IFERROR(__xludf.DUMMYFUNCTION("""COMPUTED_VALUE"""),18326927)</f>
        <v>18326927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IFERROR(__xludf.DUMMYFUNCTION("""COMPUTED_VALUE"""),295.25)</f>
        <v>295.25</v>
      </c>
      <c r="D268" s="141">
        <f ca="1">IFERROR(__xludf.DUMMYFUNCTION("""COMPUTED_VALUE"""),297.14)</f>
        <v>297.14</v>
      </c>
      <c r="E268" s="141">
        <f ca="1">IFERROR(__xludf.DUMMYFUNCTION("""COMPUTED_VALUE"""),294.15)</f>
        <v>294.14999999999998</v>
      </c>
      <c r="F268" s="141">
        <f ca="1">IFERROR(__xludf.DUMMYFUNCTION("""COMPUTED_VALUE"""),295.77)</f>
        <v>295.77</v>
      </c>
      <c r="G268" s="143">
        <f ca="1">IFERROR(__xludf.DUMMYFUNCTION("""COMPUTED_VALUE"""),18832738)</f>
        <v>18832738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IFERROR(__xludf.DUMMYFUNCTION("""COMPUTED_VALUE"""),294.65)</f>
        <v>294.64999999999998</v>
      </c>
      <c r="D269" s="141">
        <f ca="1">IFERROR(__xludf.DUMMYFUNCTION("""COMPUTED_VALUE"""),297.81)</f>
        <v>297.81</v>
      </c>
      <c r="E269" s="141">
        <f ca="1">IFERROR(__xludf.DUMMYFUNCTION("""COMPUTED_VALUE"""),294.35)</f>
        <v>294.35000000000002</v>
      </c>
      <c r="F269" s="141">
        <f ca="1">IFERROR(__xludf.DUMMYFUNCTION("""COMPUTED_VALUE"""),295.59)</f>
        <v>295.58999999999997</v>
      </c>
      <c r="G269" s="143">
        <f ca="1">IFERROR(__xludf.DUMMYFUNCTION("""COMPUTED_VALUE"""),24081329)</f>
        <v>24081329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IFERROR(__xludf.DUMMYFUNCTION("""COMPUTED_VALUE"""),292.03)</f>
        <v>292.02999999999997</v>
      </c>
      <c r="D270" s="141">
        <f ca="1">IFERROR(__xludf.DUMMYFUNCTION("""COMPUTED_VALUE"""),296.13)</f>
        <v>296.13</v>
      </c>
      <c r="E270" s="141">
        <f ca="1">IFERROR(__xludf.DUMMYFUNCTION("""COMPUTED_VALUE"""),291.64)</f>
        <v>291.64</v>
      </c>
      <c r="F270" s="141">
        <f ca="1">IFERROR(__xludf.DUMMYFUNCTION("""COMPUTED_VALUE"""),294.04)</f>
        <v>294.04000000000002</v>
      </c>
      <c r="G270" s="143">
        <f ca="1">IFERROR(__xludf.DUMMYFUNCTION("""COMPUTED_VALUE"""),28738550)</f>
        <v>28738550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IFERROR(__xludf.DUMMYFUNCTION("""COMPUTED_VALUE"""),295.01)</f>
        <v>295.01</v>
      </c>
      <c r="D271" s="141">
        <f ca="1">IFERROR(__xludf.DUMMYFUNCTION("""COMPUTED_VALUE"""),295.99)</f>
        <v>295.99</v>
      </c>
      <c r="E271" s="141">
        <f ca="1">IFERROR(__xludf.DUMMYFUNCTION("""COMPUTED_VALUE"""),292.18)</f>
        <v>292.18</v>
      </c>
      <c r="F271" s="141">
        <f ca="1">IFERROR(__xludf.DUMMYFUNCTION("""COMPUTED_VALUE"""),292.31)</f>
        <v>292.31</v>
      </c>
      <c r="G271" s="143">
        <f ca="1">IFERROR(__xludf.DUMMYFUNCTION("""COMPUTED_VALUE"""),20539883)</f>
        <v>20539883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IFERROR(__xludf.DUMMYFUNCTION("""COMPUTED_VALUE"""),293.43)</f>
        <v>293.43</v>
      </c>
      <c r="D272" s="141">
        <f ca="1">IFERROR(__xludf.DUMMYFUNCTION("""COMPUTED_VALUE"""),296.75)</f>
        <v>296.75</v>
      </c>
      <c r="E272" s="141">
        <f ca="1">IFERROR(__xludf.DUMMYFUNCTION("""COMPUTED_VALUE"""),292.68)</f>
        <v>292.68</v>
      </c>
      <c r="F272" s="141">
        <f ca="1">IFERROR(__xludf.DUMMYFUNCTION("""COMPUTED_VALUE"""),296.54)</f>
        <v>296.54000000000002</v>
      </c>
      <c r="G272" s="143">
        <f ca="1">IFERROR(__xludf.DUMMYFUNCTION("""COMPUTED_VALUE"""),18190169)</f>
        <v>18190169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IFERROR(__xludf.DUMMYFUNCTION("""COMPUTED_VALUE"""),295.7)</f>
        <v>295.7</v>
      </c>
      <c r="D273" s="141">
        <f ca="1">IFERROR(__xludf.DUMMYFUNCTION("""COMPUTED_VALUE"""),296.44)</f>
        <v>296.44</v>
      </c>
      <c r="E273" s="141">
        <f ca="1">IFERROR(__xludf.DUMMYFUNCTION("""COMPUTED_VALUE"""),293.41)</f>
        <v>293.41000000000003</v>
      </c>
      <c r="F273" s="141">
        <f ca="1">IFERROR(__xludf.DUMMYFUNCTION("""COMPUTED_VALUE"""),293.79)</f>
        <v>293.79000000000002</v>
      </c>
      <c r="G273" s="143">
        <f ca="1">IFERROR(__xludf.DUMMYFUNCTION("""COMPUTED_VALUE"""),19115991)</f>
        <v>19115991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IFERROR(__xludf.DUMMYFUNCTION("""COMPUTED_VALUE"""),290.87)</f>
        <v>290.87</v>
      </c>
      <c r="D274" s="141">
        <f ca="1">IFERROR(__xludf.DUMMYFUNCTION("""COMPUTED_VALUE"""),293.01)</f>
        <v>293.01</v>
      </c>
      <c r="E274" s="141">
        <f ca="1">IFERROR(__xludf.DUMMYFUNCTION("""COMPUTED_VALUE"""),290.17)</f>
        <v>290.17</v>
      </c>
      <c r="F274" s="141">
        <f ca="1">IFERROR(__xludf.DUMMYFUNCTION("""COMPUTED_VALUE"""),292.09)</f>
        <v>292.08999999999997</v>
      </c>
      <c r="G274" s="143">
        <f ca="1">IFERROR(__xludf.DUMMYFUNCTION("""COMPUTED_VALUE"""),27795138)</f>
        <v>27795138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IFERROR(__xludf.DUMMYFUNCTION("""COMPUTED_VALUE"""),293.41)</f>
        <v>293.41000000000003</v>
      </c>
      <c r="D275" s="141">
        <f ca="1">IFERROR(__xludf.DUMMYFUNCTION("""COMPUTED_VALUE"""),293.97)</f>
        <v>293.97000000000003</v>
      </c>
      <c r="E275" s="141">
        <f ca="1">IFERROR(__xludf.DUMMYFUNCTION("""COMPUTED_VALUE"""),290.48)</f>
        <v>290.48</v>
      </c>
      <c r="F275" s="141">
        <f ca="1">IFERROR(__xludf.DUMMYFUNCTION("""COMPUTED_VALUE"""),291.17)</f>
        <v>291.17</v>
      </c>
      <c r="G275" s="143">
        <f ca="1">IFERROR(__xludf.DUMMYFUNCTION("""COMPUTED_VALUE"""),19771042)</f>
        <v>19771042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IFERROR(__xludf.DUMMYFUNCTION("""COMPUTED_VALUE"""),293.98)</f>
        <v>293.98</v>
      </c>
      <c r="D276" s="141">
        <f ca="1">IFERROR(__xludf.DUMMYFUNCTION("""COMPUTED_VALUE"""),295.52)</f>
        <v>295.52</v>
      </c>
      <c r="E276" s="141">
        <f ca="1">IFERROR(__xludf.DUMMYFUNCTION("""COMPUTED_VALUE"""),291.11)</f>
        <v>291.11</v>
      </c>
      <c r="F276" s="141">
        <f ca="1">IFERROR(__xludf.DUMMYFUNCTION("""COMPUTED_VALUE"""),292.91)</f>
        <v>292.91000000000003</v>
      </c>
      <c r="G276" s="143">
        <f ca="1">IFERROR(__xludf.DUMMYFUNCTION("""COMPUTED_VALUE"""),19445522)</f>
        <v>19445522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IFERROR(__xludf.DUMMYFUNCTION("""COMPUTED_VALUE"""),293.16)</f>
        <v>293.16000000000003</v>
      </c>
      <c r="D277" s="141">
        <f ca="1">IFERROR(__xludf.DUMMYFUNCTION("""COMPUTED_VALUE"""),293.77)</f>
        <v>293.77</v>
      </c>
      <c r="E277" s="141">
        <f ca="1">IFERROR(__xludf.DUMMYFUNCTION("""COMPUTED_VALUE"""),290.38)</f>
        <v>290.38</v>
      </c>
      <c r="F277" s="141">
        <f ca="1">IFERROR(__xludf.DUMMYFUNCTION("""COMPUTED_VALUE"""),293.37)</f>
        <v>293.37</v>
      </c>
      <c r="G277" s="143">
        <f ca="1">IFERROR(__xludf.DUMMYFUNCTION("""COMPUTED_VALUE"""),20531086)</f>
        <v>20531086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IFERROR(__xludf.DUMMYFUNCTION("""COMPUTED_VALUE"""),292.49)</f>
        <v>292.49</v>
      </c>
      <c r="D278" s="141">
        <f ca="1">IFERROR(__xludf.DUMMYFUNCTION("""COMPUTED_VALUE"""),293.67)</f>
        <v>293.67</v>
      </c>
      <c r="E278" s="141">
        <f ca="1">IFERROR(__xludf.DUMMYFUNCTION("""COMPUTED_VALUE"""),288.26)</f>
        <v>288.26</v>
      </c>
      <c r="F278" s="141">
        <f ca="1">IFERROR(__xludf.DUMMYFUNCTION("""COMPUTED_VALUE"""),288.57)</f>
        <v>288.57</v>
      </c>
      <c r="G278" s="143">
        <f ca="1">IFERROR(__xludf.DUMMYFUNCTION("""COMPUTED_VALUE"""),32541060)</f>
        <v>32541060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13" priority="5" operator="lessThan">
      <formula>0</formula>
    </cfRule>
    <cfRule type="cellIs" dxfId="112" priority="6" operator="greaterThan">
      <formula>0</formula>
    </cfRule>
  </conditionalFormatting>
  <conditionalFormatting sqref="F28:F1000">
    <cfRule type="expression" dxfId="111" priority="1">
      <formula>AND(F28=MAX(F$28:F$1000),F28&gt;0)</formula>
    </cfRule>
    <cfRule type="expression" dxfId="110" priority="2">
      <formula>AND(F28=MIN(F$28:F$1000),F28&gt;0)</formula>
    </cfRule>
  </conditionalFormatting>
  <conditionalFormatting sqref="F29:F1000">
    <cfRule type="expression" dxfId="109" priority="3">
      <formula>F29&gt;F27</formula>
    </cfRule>
    <cfRule type="expression" dxfId="108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700-000000000000}">
      <formula1>"1 Month,3 Months,6 Months,12 Months,36 Months"</formula1>
    </dataValidation>
  </dataValidations>
  <hyperlinks>
    <hyperlink ref="G2" r:id="rId1" xr:uid="{00000000-0004-0000-0700-000000000000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143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IFERROR(__xludf.DUMMYFUNCTION("GOOGLEFINANCE(B18,""name"")"),"Vanguard European Stock Index Fund ETF")</f>
        <v>Vanguard European Stock Index Fund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IFERROR(__xludf.DUMMYFUNCTION("GOOGLEFINANCE(B18,""price"")"),88.86)</f>
        <v>88.86</v>
      </c>
      <c r="C10" s="322"/>
      <c r="D10" s="100">
        <f ca="1">IFERROR(__xludf.DUMMYFUNCTION("IFERROR(GOOGLEFINANCE(B18,""change""),""-"")"),-0.37)</f>
        <v>-0.37</v>
      </c>
      <c r="E10" s="103">
        <f ca="1">IFERROR(__xludf.DUMMYFUNCTION("IFERROR(GOOGLEFINANCE(B18,""changepct"")/100,""-"")"),-0.00409999999999999)</f>
        <v>-4.0999999999999899E-3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IFERROR(__xludf.DUMMYFUNCTION("IFERROR(GOOGLEFINANCE(B18,""marketcap""),""-"")"),21982773426)</f>
        <v>21982773426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vgk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IFERROR(__xludf.DUMMYFUNCTION("""COMPUTED_VALUE"""),76.87)</f>
        <v>76.87</v>
      </c>
      <c r="D28" s="141">
        <f ca="1">IFERROR(__xludf.DUMMYFUNCTION("""COMPUTED_VALUE"""),77.1)</f>
        <v>77.099999999999994</v>
      </c>
      <c r="E28" s="141">
        <f ca="1">IFERROR(__xludf.DUMMYFUNCTION("""COMPUTED_VALUE"""),76.24)</f>
        <v>76.239999999999995</v>
      </c>
      <c r="F28" s="141">
        <f ca="1">IFERROR(__xludf.DUMMYFUNCTION("""COMPUTED_VALUE"""),76.5)</f>
        <v>76.5</v>
      </c>
      <c r="G28" s="143">
        <f ca="1">IFERROR(__xludf.DUMMYFUNCTION("""COMPUTED_VALUE"""),2850096)</f>
        <v>2850096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IFERROR(__xludf.DUMMYFUNCTION("""COMPUTED_VALUE"""),76.02)</f>
        <v>76.02</v>
      </c>
      <c r="D29" s="141">
        <f ca="1">IFERROR(__xludf.DUMMYFUNCTION("""COMPUTED_VALUE"""),76.19)</f>
        <v>76.19</v>
      </c>
      <c r="E29" s="141">
        <f ca="1">IFERROR(__xludf.DUMMYFUNCTION("""COMPUTED_VALUE"""),75.54)</f>
        <v>75.540000000000006</v>
      </c>
      <c r="F29" s="141">
        <f ca="1">IFERROR(__xludf.DUMMYFUNCTION("""COMPUTED_VALUE"""),75.65)</f>
        <v>75.650000000000006</v>
      </c>
      <c r="G29" s="143">
        <f ca="1">IFERROR(__xludf.DUMMYFUNCTION("""COMPUTED_VALUE"""),4731570)</f>
        <v>4731570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IFERROR(__xludf.DUMMYFUNCTION("""COMPUTED_VALUE"""),75.26)</f>
        <v>75.260000000000005</v>
      </c>
      <c r="D30" s="141">
        <f ca="1">IFERROR(__xludf.DUMMYFUNCTION("""COMPUTED_VALUE"""),75.39)</f>
        <v>75.39</v>
      </c>
      <c r="E30" s="141">
        <f ca="1">IFERROR(__xludf.DUMMYFUNCTION("""COMPUTED_VALUE"""),74.79)</f>
        <v>74.790000000000006</v>
      </c>
      <c r="F30" s="141">
        <f ca="1">IFERROR(__xludf.DUMMYFUNCTION("""COMPUTED_VALUE"""),75.26)</f>
        <v>75.260000000000005</v>
      </c>
      <c r="G30" s="143">
        <f ca="1">IFERROR(__xludf.DUMMYFUNCTION("""COMPUTED_VALUE"""),3838349)</f>
        <v>3838349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IFERROR(__xludf.DUMMYFUNCTION("""COMPUTED_VALUE"""),76)</f>
        <v>76</v>
      </c>
      <c r="D31" s="141">
        <f ca="1">IFERROR(__xludf.DUMMYFUNCTION("""COMPUTED_VALUE"""),76.14)</f>
        <v>76.14</v>
      </c>
      <c r="E31" s="141">
        <f ca="1">IFERROR(__xludf.DUMMYFUNCTION("""COMPUTED_VALUE"""),75.86)</f>
        <v>75.86</v>
      </c>
      <c r="F31" s="141">
        <f ca="1">IFERROR(__xludf.DUMMYFUNCTION("""COMPUTED_VALUE"""),76.13)</f>
        <v>76.13</v>
      </c>
      <c r="G31" s="143">
        <f ca="1">IFERROR(__xludf.DUMMYFUNCTION("""COMPUTED_VALUE"""),2015770)</f>
        <v>2015770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IFERROR(__xludf.DUMMYFUNCTION("""COMPUTED_VALUE"""),76.28)</f>
        <v>76.28</v>
      </c>
      <c r="D32" s="141">
        <f ca="1">IFERROR(__xludf.DUMMYFUNCTION("""COMPUTED_VALUE"""),76.41)</f>
        <v>76.41</v>
      </c>
      <c r="E32" s="141">
        <f ca="1">IFERROR(__xludf.DUMMYFUNCTION("""COMPUTED_VALUE"""),75.99)</f>
        <v>75.989999999999995</v>
      </c>
      <c r="F32" s="141">
        <f ca="1">IFERROR(__xludf.DUMMYFUNCTION("""COMPUTED_VALUE"""),76.21)</f>
        <v>76.209999999999994</v>
      </c>
      <c r="G32" s="143">
        <f ca="1">IFERROR(__xludf.DUMMYFUNCTION("""COMPUTED_VALUE"""),2010295)</f>
        <v>2010295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IFERROR(__xludf.DUMMYFUNCTION("""COMPUTED_VALUE"""),76.41)</f>
        <v>76.41</v>
      </c>
      <c r="D33" s="141">
        <f ca="1">IFERROR(__xludf.DUMMYFUNCTION("""COMPUTED_VALUE"""),76.69)</f>
        <v>76.69</v>
      </c>
      <c r="E33" s="141">
        <f ca="1">IFERROR(__xludf.DUMMYFUNCTION("""COMPUTED_VALUE"""),76.36)</f>
        <v>76.36</v>
      </c>
      <c r="F33" s="141">
        <f ca="1">IFERROR(__xludf.DUMMYFUNCTION("""COMPUTED_VALUE"""),76.57)</f>
        <v>76.569999999999993</v>
      </c>
      <c r="G33" s="143">
        <f ca="1">IFERROR(__xludf.DUMMYFUNCTION("""COMPUTED_VALUE"""),2938594)</f>
        <v>2938594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IFERROR(__xludf.DUMMYFUNCTION("""COMPUTED_VALUE"""),77.44)</f>
        <v>77.44</v>
      </c>
      <c r="D34" s="141">
        <f ca="1">IFERROR(__xludf.DUMMYFUNCTION("""COMPUTED_VALUE"""),77.55)</f>
        <v>77.55</v>
      </c>
      <c r="E34" s="141">
        <f ca="1">IFERROR(__xludf.DUMMYFUNCTION("""COMPUTED_VALUE"""),77.05)</f>
        <v>77.05</v>
      </c>
      <c r="F34" s="141">
        <f ca="1">IFERROR(__xludf.DUMMYFUNCTION("""COMPUTED_VALUE"""),77.38)</f>
        <v>77.38</v>
      </c>
      <c r="G34" s="143">
        <f ca="1">IFERROR(__xludf.DUMMYFUNCTION("""COMPUTED_VALUE"""),3285712)</f>
        <v>3285712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IFERROR(__xludf.DUMMYFUNCTION("""COMPUTED_VALUE"""),77.43)</f>
        <v>77.430000000000007</v>
      </c>
      <c r="D35" s="141">
        <f ca="1">IFERROR(__xludf.DUMMYFUNCTION("""COMPUTED_VALUE"""),77.78)</f>
        <v>77.78</v>
      </c>
      <c r="E35" s="141">
        <f ca="1">IFERROR(__xludf.DUMMYFUNCTION("""COMPUTED_VALUE"""),77.38)</f>
        <v>77.38</v>
      </c>
      <c r="F35" s="141">
        <f ca="1">IFERROR(__xludf.DUMMYFUNCTION("""COMPUTED_VALUE"""),77.63)</f>
        <v>77.63</v>
      </c>
      <c r="G35" s="143">
        <f ca="1">IFERROR(__xludf.DUMMYFUNCTION("""COMPUTED_VALUE"""),1729362)</f>
        <v>1729362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IFERROR(__xludf.DUMMYFUNCTION("""COMPUTED_VALUE"""),77.28)</f>
        <v>77.28</v>
      </c>
      <c r="D36" s="141">
        <f ca="1">IFERROR(__xludf.DUMMYFUNCTION("""COMPUTED_VALUE"""),77.33)</f>
        <v>77.33</v>
      </c>
      <c r="E36" s="141">
        <f ca="1">IFERROR(__xludf.DUMMYFUNCTION("""COMPUTED_VALUE"""),77)</f>
        <v>77</v>
      </c>
      <c r="F36" s="141">
        <f ca="1">IFERROR(__xludf.DUMMYFUNCTION("""COMPUTED_VALUE"""),77.23)</f>
        <v>77.23</v>
      </c>
      <c r="G36" s="143">
        <f ca="1">IFERROR(__xludf.DUMMYFUNCTION("""COMPUTED_VALUE"""),3175481)</f>
        <v>3175481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IFERROR(__xludf.DUMMYFUNCTION("""COMPUTED_VALUE"""),77.36)</f>
        <v>77.36</v>
      </c>
      <c r="D37" s="141">
        <f ca="1">IFERROR(__xludf.DUMMYFUNCTION("""COMPUTED_VALUE"""),78.02)</f>
        <v>78.02</v>
      </c>
      <c r="E37" s="141">
        <f ca="1">IFERROR(__xludf.DUMMYFUNCTION("""COMPUTED_VALUE"""),77.28)</f>
        <v>77.28</v>
      </c>
      <c r="F37" s="141">
        <f ca="1">IFERROR(__xludf.DUMMYFUNCTION("""COMPUTED_VALUE"""),78.02)</f>
        <v>78.02</v>
      </c>
      <c r="G37" s="143">
        <f ca="1">IFERROR(__xludf.DUMMYFUNCTION("""COMPUTED_VALUE"""),1924938)</f>
        <v>1924938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IFERROR(__xludf.DUMMYFUNCTION("""COMPUTED_VALUE"""),78.32)</f>
        <v>78.319999999999993</v>
      </c>
      <c r="D38" s="141">
        <f ca="1">IFERROR(__xludf.DUMMYFUNCTION("""COMPUTED_VALUE"""),78.59)</f>
        <v>78.59</v>
      </c>
      <c r="E38" s="141">
        <f ca="1">IFERROR(__xludf.DUMMYFUNCTION("""COMPUTED_VALUE"""),78.26)</f>
        <v>78.260000000000005</v>
      </c>
      <c r="F38" s="141">
        <f ca="1">IFERROR(__xludf.DUMMYFUNCTION("""COMPUTED_VALUE"""),78.59)</f>
        <v>78.59</v>
      </c>
      <c r="G38" s="143">
        <f ca="1">IFERROR(__xludf.DUMMYFUNCTION("""COMPUTED_VALUE"""),2751318)</f>
        <v>2751318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IFERROR(__xludf.DUMMYFUNCTION("""COMPUTED_VALUE"""),78.27)</f>
        <v>78.27</v>
      </c>
      <c r="D39" s="141">
        <f ca="1">IFERROR(__xludf.DUMMYFUNCTION("""COMPUTED_VALUE"""),78.79)</f>
        <v>78.790000000000006</v>
      </c>
      <c r="E39" s="141">
        <f ca="1">IFERROR(__xludf.DUMMYFUNCTION("""COMPUTED_VALUE"""),78.25)</f>
        <v>78.25</v>
      </c>
      <c r="F39" s="141">
        <f ca="1">IFERROR(__xludf.DUMMYFUNCTION("""COMPUTED_VALUE"""),78.74)</f>
        <v>78.739999999999995</v>
      </c>
      <c r="G39" s="143">
        <f ca="1">IFERROR(__xludf.DUMMYFUNCTION("""COMPUTED_VALUE"""),1590168)</f>
        <v>1590168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IFERROR(__xludf.DUMMYFUNCTION("""COMPUTED_VALUE"""),79)</f>
        <v>79</v>
      </c>
      <c r="D40" s="141">
        <f ca="1">IFERROR(__xludf.DUMMYFUNCTION("""COMPUTED_VALUE"""),79)</f>
        <v>79</v>
      </c>
      <c r="E40" s="141">
        <f ca="1">IFERROR(__xludf.DUMMYFUNCTION("""COMPUTED_VALUE"""),78.79)</f>
        <v>78.790000000000006</v>
      </c>
      <c r="F40" s="141">
        <f ca="1">IFERROR(__xludf.DUMMYFUNCTION("""COMPUTED_VALUE"""),78.95)</f>
        <v>78.95</v>
      </c>
      <c r="G40" s="143">
        <f ca="1">IFERROR(__xludf.DUMMYFUNCTION("""COMPUTED_VALUE"""),1471802)</f>
        <v>1471802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IFERROR(__xludf.DUMMYFUNCTION("""COMPUTED_VALUE"""),78.59)</f>
        <v>78.59</v>
      </c>
      <c r="D41" s="141">
        <f ca="1">IFERROR(__xludf.DUMMYFUNCTION("""COMPUTED_VALUE"""),78.83)</f>
        <v>78.83</v>
      </c>
      <c r="E41" s="141">
        <f ca="1">IFERROR(__xludf.DUMMYFUNCTION("""COMPUTED_VALUE"""),78.44)</f>
        <v>78.44</v>
      </c>
      <c r="F41" s="141">
        <f ca="1">IFERROR(__xludf.DUMMYFUNCTION("""COMPUTED_VALUE"""),78.8)</f>
        <v>78.8</v>
      </c>
      <c r="G41" s="143">
        <f ca="1">IFERROR(__xludf.DUMMYFUNCTION("""COMPUTED_VALUE"""),2846731)</f>
        <v>2846731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IFERROR(__xludf.DUMMYFUNCTION("""COMPUTED_VALUE"""),79.19)</f>
        <v>79.19</v>
      </c>
      <c r="D42" s="141">
        <f ca="1">IFERROR(__xludf.DUMMYFUNCTION("""COMPUTED_VALUE"""),79.3)</f>
        <v>79.3</v>
      </c>
      <c r="E42" s="141">
        <f ca="1">IFERROR(__xludf.DUMMYFUNCTION("""COMPUTED_VALUE"""),78.85)</f>
        <v>78.849999999999994</v>
      </c>
      <c r="F42" s="141">
        <f ca="1">IFERROR(__xludf.DUMMYFUNCTION("""COMPUTED_VALUE"""),78.97)</f>
        <v>78.97</v>
      </c>
      <c r="G42" s="143">
        <f ca="1">IFERROR(__xludf.DUMMYFUNCTION("""COMPUTED_VALUE"""),1337554)</f>
        <v>1337554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IFERROR(__xludf.DUMMYFUNCTION("""COMPUTED_VALUE"""),79.3)</f>
        <v>79.3</v>
      </c>
      <c r="D43" s="141">
        <f ca="1">IFERROR(__xludf.DUMMYFUNCTION("""COMPUTED_VALUE"""),79.47)</f>
        <v>79.47</v>
      </c>
      <c r="E43" s="141">
        <f ca="1">IFERROR(__xludf.DUMMYFUNCTION("""COMPUTED_VALUE"""),79.18)</f>
        <v>79.180000000000007</v>
      </c>
      <c r="F43" s="141">
        <f ca="1">IFERROR(__xludf.DUMMYFUNCTION("""COMPUTED_VALUE"""),79.4)</f>
        <v>79.400000000000006</v>
      </c>
      <c r="G43" s="143">
        <f ca="1">IFERROR(__xludf.DUMMYFUNCTION("""COMPUTED_VALUE"""),2094554)</f>
        <v>2094554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IFERROR(__xludf.DUMMYFUNCTION("""COMPUTED_VALUE"""),79.02)</f>
        <v>79.02</v>
      </c>
      <c r="D44" s="141">
        <f ca="1">IFERROR(__xludf.DUMMYFUNCTION("""COMPUTED_VALUE"""),79.12)</f>
        <v>79.12</v>
      </c>
      <c r="E44" s="141">
        <f ca="1">IFERROR(__xludf.DUMMYFUNCTION("""COMPUTED_VALUE"""),78.79)</f>
        <v>78.790000000000006</v>
      </c>
      <c r="F44" s="141">
        <f ca="1">IFERROR(__xludf.DUMMYFUNCTION("""COMPUTED_VALUE"""),78.92)</f>
        <v>78.92</v>
      </c>
      <c r="G44" s="143">
        <f ca="1">IFERROR(__xludf.DUMMYFUNCTION("""COMPUTED_VALUE"""),2360268)</f>
        <v>2360268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IFERROR(__xludf.DUMMYFUNCTION("""COMPUTED_VALUE"""),79.3)</f>
        <v>79.3</v>
      </c>
      <c r="D45" s="141">
        <f ca="1">IFERROR(__xludf.DUMMYFUNCTION("""COMPUTED_VALUE"""),80.27)</f>
        <v>80.27</v>
      </c>
      <c r="E45" s="141">
        <f ca="1">IFERROR(__xludf.DUMMYFUNCTION("""COMPUTED_VALUE"""),79.28)</f>
        <v>79.28</v>
      </c>
      <c r="F45" s="141">
        <f ca="1">IFERROR(__xludf.DUMMYFUNCTION("""COMPUTED_VALUE"""),80.19)</f>
        <v>80.19</v>
      </c>
      <c r="G45" s="143">
        <f ca="1">IFERROR(__xludf.DUMMYFUNCTION("""COMPUTED_VALUE"""),2108599)</f>
        <v>2108599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IFERROR(__xludf.DUMMYFUNCTION("""COMPUTED_VALUE"""),79.88)</f>
        <v>79.88</v>
      </c>
      <c r="D46" s="141">
        <f ca="1">IFERROR(__xludf.DUMMYFUNCTION("""COMPUTED_VALUE"""),80.02)</f>
        <v>80.02</v>
      </c>
      <c r="E46" s="141">
        <f ca="1">IFERROR(__xludf.DUMMYFUNCTION("""COMPUTED_VALUE"""),79)</f>
        <v>79</v>
      </c>
      <c r="F46" s="141">
        <f ca="1">IFERROR(__xludf.DUMMYFUNCTION("""COMPUTED_VALUE"""),79)</f>
        <v>79</v>
      </c>
      <c r="G46" s="143">
        <f ca="1">IFERROR(__xludf.DUMMYFUNCTION("""COMPUTED_VALUE"""),1854294)</f>
        <v>1854294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IFERROR(__xludf.DUMMYFUNCTION("""COMPUTED_VALUE"""),78.88)</f>
        <v>78.88</v>
      </c>
      <c r="D47" s="141">
        <f ca="1">IFERROR(__xludf.DUMMYFUNCTION("""COMPUTED_VALUE"""),78.97)</f>
        <v>78.97</v>
      </c>
      <c r="E47" s="141">
        <f ca="1">IFERROR(__xludf.DUMMYFUNCTION("""COMPUTED_VALUE"""),78.66)</f>
        <v>78.66</v>
      </c>
      <c r="F47" s="141">
        <f ca="1">IFERROR(__xludf.DUMMYFUNCTION("""COMPUTED_VALUE"""),78.88)</f>
        <v>78.88</v>
      </c>
      <c r="G47" s="143">
        <f ca="1">IFERROR(__xludf.DUMMYFUNCTION("""COMPUTED_VALUE"""),2006440)</f>
        <v>2006440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IFERROR(__xludf.DUMMYFUNCTION("""COMPUTED_VALUE"""),78.32)</f>
        <v>78.319999999999993</v>
      </c>
      <c r="D48" s="141">
        <f ca="1">IFERROR(__xludf.DUMMYFUNCTION("""COMPUTED_VALUE"""),78.69)</f>
        <v>78.69</v>
      </c>
      <c r="E48" s="141">
        <f ca="1">IFERROR(__xludf.DUMMYFUNCTION("""COMPUTED_VALUE"""),78.1)</f>
        <v>78.099999999999994</v>
      </c>
      <c r="F48" s="141">
        <f ca="1">IFERROR(__xludf.DUMMYFUNCTION("""COMPUTED_VALUE"""),78.66)</f>
        <v>78.66</v>
      </c>
      <c r="G48" s="143">
        <f ca="1">IFERROR(__xludf.DUMMYFUNCTION("""COMPUTED_VALUE"""),1980487)</f>
        <v>1980487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IFERROR(__xludf.DUMMYFUNCTION("""COMPUTED_VALUE"""),78.8)</f>
        <v>78.8</v>
      </c>
      <c r="D49" s="141">
        <f ca="1">IFERROR(__xludf.DUMMYFUNCTION("""COMPUTED_VALUE"""),78.95)</f>
        <v>78.95</v>
      </c>
      <c r="E49" s="141">
        <f ca="1">IFERROR(__xludf.DUMMYFUNCTION("""COMPUTED_VALUE"""),78.63)</f>
        <v>78.63</v>
      </c>
      <c r="F49" s="141">
        <f ca="1">IFERROR(__xludf.DUMMYFUNCTION("""COMPUTED_VALUE"""),78.85)</f>
        <v>78.849999999999994</v>
      </c>
      <c r="G49" s="143">
        <f ca="1">IFERROR(__xludf.DUMMYFUNCTION("""COMPUTED_VALUE"""),2035316)</f>
        <v>2035316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IFERROR(__xludf.DUMMYFUNCTION("""COMPUTED_VALUE"""),78.51)</f>
        <v>78.510000000000005</v>
      </c>
      <c r="D50" s="141">
        <f ca="1">IFERROR(__xludf.DUMMYFUNCTION("""COMPUTED_VALUE"""),78.66)</f>
        <v>78.66</v>
      </c>
      <c r="E50" s="141">
        <f ca="1">IFERROR(__xludf.DUMMYFUNCTION("""COMPUTED_VALUE"""),78.38)</f>
        <v>78.38</v>
      </c>
      <c r="F50" s="141">
        <f ca="1">IFERROR(__xludf.DUMMYFUNCTION("""COMPUTED_VALUE"""),78.5)</f>
        <v>78.5</v>
      </c>
      <c r="G50" s="143">
        <f ca="1">IFERROR(__xludf.DUMMYFUNCTION("""COMPUTED_VALUE"""),1974164)</f>
        <v>1974164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IFERROR(__xludf.DUMMYFUNCTION("""COMPUTED_VALUE"""),77.12)</f>
        <v>77.12</v>
      </c>
      <c r="D51" s="141">
        <f ca="1">IFERROR(__xludf.DUMMYFUNCTION("""COMPUTED_VALUE"""),77.65)</f>
        <v>77.650000000000006</v>
      </c>
      <c r="E51" s="141">
        <f ca="1">IFERROR(__xludf.DUMMYFUNCTION("""COMPUTED_VALUE"""),77.01)</f>
        <v>77.010000000000005</v>
      </c>
      <c r="F51" s="141">
        <f ca="1">IFERROR(__xludf.DUMMYFUNCTION("""COMPUTED_VALUE"""),77.41)</f>
        <v>77.41</v>
      </c>
      <c r="G51" s="143">
        <f ca="1">IFERROR(__xludf.DUMMYFUNCTION("""COMPUTED_VALUE"""),3375624)</f>
        <v>3375624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IFERROR(__xludf.DUMMYFUNCTION("""COMPUTED_VALUE"""),77.5)</f>
        <v>77.5</v>
      </c>
      <c r="D52" s="141">
        <f ca="1">IFERROR(__xludf.DUMMYFUNCTION("""COMPUTED_VALUE"""),77.81)</f>
        <v>77.81</v>
      </c>
      <c r="E52" s="141">
        <f ca="1">IFERROR(__xludf.DUMMYFUNCTION("""COMPUTED_VALUE"""),77.39)</f>
        <v>77.39</v>
      </c>
      <c r="F52" s="141">
        <f ca="1">IFERROR(__xludf.DUMMYFUNCTION("""COMPUTED_VALUE"""),77.73)</f>
        <v>77.73</v>
      </c>
      <c r="G52" s="143">
        <f ca="1">IFERROR(__xludf.DUMMYFUNCTION("""COMPUTED_VALUE"""),2668248)</f>
        <v>2668248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IFERROR(__xludf.DUMMYFUNCTION("""COMPUTED_VALUE"""),77.95)</f>
        <v>77.95</v>
      </c>
      <c r="D53" s="141">
        <f ca="1">IFERROR(__xludf.DUMMYFUNCTION("""COMPUTED_VALUE"""),78.22)</f>
        <v>78.22</v>
      </c>
      <c r="E53" s="141">
        <f ca="1">IFERROR(__xludf.DUMMYFUNCTION("""COMPUTED_VALUE"""),77.86)</f>
        <v>77.86</v>
      </c>
      <c r="F53" s="141">
        <f ca="1">IFERROR(__xludf.DUMMYFUNCTION("""COMPUTED_VALUE"""),78.19)</f>
        <v>78.19</v>
      </c>
      <c r="G53" s="143">
        <f ca="1">IFERROR(__xludf.DUMMYFUNCTION("""COMPUTED_VALUE"""),2139017)</f>
        <v>2139017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IFERROR(__xludf.DUMMYFUNCTION("""COMPUTED_VALUE"""),78.78)</f>
        <v>78.78</v>
      </c>
      <c r="D54" s="141">
        <f ca="1">IFERROR(__xludf.DUMMYFUNCTION("""COMPUTED_VALUE"""),79.05)</f>
        <v>79.05</v>
      </c>
      <c r="E54" s="141">
        <f ca="1">IFERROR(__xludf.DUMMYFUNCTION("""COMPUTED_VALUE"""),78.34)</f>
        <v>78.34</v>
      </c>
      <c r="F54" s="141">
        <f ca="1">IFERROR(__xludf.DUMMYFUNCTION("""COMPUTED_VALUE"""),78.57)</f>
        <v>78.569999999999993</v>
      </c>
      <c r="G54" s="143">
        <f ca="1">IFERROR(__xludf.DUMMYFUNCTION("""COMPUTED_VALUE"""),3296379)</f>
        <v>3296379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IFERROR(__xludf.DUMMYFUNCTION("""COMPUTED_VALUE"""),78.95)</f>
        <v>78.95</v>
      </c>
      <c r="D55" s="141">
        <f ca="1">IFERROR(__xludf.DUMMYFUNCTION("""COMPUTED_VALUE"""),79.14)</f>
        <v>79.14</v>
      </c>
      <c r="E55" s="141">
        <f ca="1">IFERROR(__xludf.DUMMYFUNCTION("""COMPUTED_VALUE"""),78.72)</f>
        <v>78.72</v>
      </c>
      <c r="F55" s="141">
        <f ca="1">IFERROR(__xludf.DUMMYFUNCTION("""COMPUTED_VALUE"""),79.13)</f>
        <v>79.13</v>
      </c>
      <c r="G55" s="143">
        <f ca="1">IFERROR(__xludf.DUMMYFUNCTION("""COMPUTED_VALUE"""),1900203)</f>
        <v>1900203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IFERROR(__xludf.DUMMYFUNCTION("""COMPUTED_VALUE"""),78.92)</f>
        <v>78.92</v>
      </c>
      <c r="D56" s="141">
        <f ca="1">IFERROR(__xludf.DUMMYFUNCTION("""COMPUTED_VALUE"""),79.12)</f>
        <v>79.12</v>
      </c>
      <c r="E56" s="141">
        <f ca="1">IFERROR(__xludf.DUMMYFUNCTION("""COMPUTED_VALUE"""),78.82)</f>
        <v>78.819999999999993</v>
      </c>
      <c r="F56" s="141">
        <f ca="1">IFERROR(__xludf.DUMMYFUNCTION("""COMPUTED_VALUE"""),78.99)</f>
        <v>78.989999999999995</v>
      </c>
      <c r="G56" s="143">
        <f ca="1">IFERROR(__xludf.DUMMYFUNCTION("""COMPUTED_VALUE"""),2338487)</f>
        <v>2338487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IFERROR(__xludf.DUMMYFUNCTION("""COMPUTED_VALUE"""),78.97)</f>
        <v>78.97</v>
      </c>
      <c r="D57" s="141">
        <f ca="1">IFERROR(__xludf.DUMMYFUNCTION("""COMPUTED_VALUE"""),79.07)</f>
        <v>79.069999999999993</v>
      </c>
      <c r="E57" s="141">
        <f ca="1">IFERROR(__xludf.DUMMYFUNCTION("""COMPUTED_VALUE"""),78.62)</f>
        <v>78.62</v>
      </c>
      <c r="F57" s="141">
        <f ca="1">IFERROR(__xludf.DUMMYFUNCTION("""COMPUTED_VALUE"""),78.78)</f>
        <v>78.78</v>
      </c>
      <c r="G57" s="143">
        <f ca="1">IFERROR(__xludf.DUMMYFUNCTION("""COMPUTED_VALUE"""),4322717)</f>
        <v>4322717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IFERROR(__xludf.DUMMYFUNCTION("""COMPUTED_VALUE"""),79.07)</f>
        <v>79.069999999999993</v>
      </c>
      <c r="D58" s="141">
        <f ca="1">IFERROR(__xludf.DUMMYFUNCTION("""COMPUTED_VALUE"""),79.65)</f>
        <v>79.650000000000006</v>
      </c>
      <c r="E58" s="141">
        <f ca="1">IFERROR(__xludf.DUMMYFUNCTION("""COMPUTED_VALUE"""),79.05)</f>
        <v>79.05</v>
      </c>
      <c r="F58" s="141">
        <f ca="1">IFERROR(__xludf.DUMMYFUNCTION("""COMPUTED_VALUE"""),79.63)</f>
        <v>79.63</v>
      </c>
      <c r="G58" s="143">
        <f ca="1">IFERROR(__xludf.DUMMYFUNCTION("""COMPUTED_VALUE"""),2776152)</f>
        <v>2776152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IFERROR(__xludf.DUMMYFUNCTION("""COMPUTED_VALUE"""),79.35)</f>
        <v>79.349999999999994</v>
      </c>
      <c r="D59" s="141">
        <f ca="1">IFERROR(__xludf.DUMMYFUNCTION("""COMPUTED_VALUE"""),79.43)</f>
        <v>79.430000000000007</v>
      </c>
      <c r="E59" s="141">
        <f ca="1">IFERROR(__xludf.DUMMYFUNCTION("""COMPUTED_VALUE"""),79.15)</f>
        <v>79.150000000000006</v>
      </c>
      <c r="F59" s="141">
        <f ca="1">IFERROR(__xludf.DUMMYFUNCTION("""COMPUTED_VALUE"""),79.36)</f>
        <v>79.36</v>
      </c>
      <c r="G59" s="143">
        <f ca="1">IFERROR(__xludf.DUMMYFUNCTION("""COMPUTED_VALUE"""),2333905)</f>
        <v>2333905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IFERROR(__xludf.DUMMYFUNCTION("""COMPUTED_VALUE"""),79.81)</f>
        <v>79.81</v>
      </c>
      <c r="D60" s="141">
        <f ca="1">IFERROR(__xludf.DUMMYFUNCTION("""COMPUTED_VALUE"""),79.97)</f>
        <v>79.97</v>
      </c>
      <c r="E60" s="141">
        <f ca="1">IFERROR(__xludf.DUMMYFUNCTION("""COMPUTED_VALUE"""),79.64)</f>
        <v>79.64</v>
      </c>
      <c r="F60" s="141">
        <f ca="1">IFERROR(__xludf.DUMMYFUNCTION("""COMPUTED_VALUE"""),79.95)</f>
        <v>79.95</v>
      </c>
      <c r="G60" s="143">
        <f ca="1">IFERROR(__xludf.DUMMYFUNCTION("""COMPUTED_VALUE"""),1535053)</f>
        <v>1535053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IFERROR(__xludf.DUMMYFUNCTION("""COMPUTED_VALUE"""),79.86)</f>
        <v>79.86</v>
      </c>
      <c r="D61" s="141">
        <f ca="1">IFERROR(__xludf.DUMMYFUNCTION("""COMPUTED_VALUE"""),79.86)</f>
        <v>79.86</v>
      </c>
      <c r="E61" s="141">
        <f ca="1">IFERROR(__xludf.DUMMYFUNCTION("""COMPUTED_VALUE"""),79.41)</f>
        <v>79.41</v>
      </c>
      <c r="F61" s="141">
        <f ca="1">IFERROR(__xludf.DUMMYFUNCTION("""COMPUTED_VALUE"""),79.7)</f>
        <v>79.7</v>
      </c>
      <c r="G61" s="143">
        <f ca="1">IFERROR(__xludf.DUMMYFUNCTION("""COMPUTED_VALUE"""),1557135)</f>
        <v>1557135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IFERROR(__xludf.DUMMYFUNCTION("""COMPUTED_VALUE"""),79.61)</f>
        <v>79.61</v>
      </c>
      <c r="D62" s="141">
        <f ca="1">IFERROR(__xludf.DUMMYFUNCTION("""COMPUTED_VALUE"""),80.1)</f>
        <v>80.099999999999994</v>
      </c>
      <c r="E62" s="141">
        <f ca="1">IFERROR(__xludf.DUMMYFUNCTION("""COMPUTED_VALUE"""),79.09)</f>
        <v>79.09</v>
      </c>
      <c r="F62" s="141">
        <f ca="1">IFERROR(__xludf.DUMMYFUNCTION("""COMPUTED_VALUE"""),79.39)</f>
        <v>79.39</v>
      </c>
      <c r="G62" s="143">
        <f ca="1">IFERROR(__xludf.DUMMYFUNCTION("""COMPUTED_VALUE"""),2598415)</f>
        <v>2598415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IFERROR(__xludf.DUMMYFUNCTION("""COMPUTED_VALUE"""),79.57)</f>
        <v>79.569999999999993</v>
      </c>
      <c r="D63" s="141">
        <f ca="1">IFERROR(__xludf.DUMMYFUNCTION("""COMPUTED_VALUE"""),79.83)</f>
        <v>79.83</v>
      </c>
      <c r="E63" s="141">
        <f ca="1">IFERROR(__xludf.DUMMYFUNCTION("""COMPUTED_VALUE"""),79.27)</f>
        <v>79.27</v>
      </c>
      <c r="F63" s="141">
        <f ca="1">IFERROR(__xludf.DUMMYFUNCTION("""COMPUTED_VALUE"""),79.71)</f>
        <v>79.709999999999994</v>
      </c>
      <c r="G63" s="143">
        <f ca="1">IFERROR(__xludf.DUMMYFUNCTION("""COMPUTED_VALUE"""),2556273)</f>
        <v>2556273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IFERROR(__xludf.DUMMYFUNCTION("""COMPUTED_VALUE"""),79.34)</f>
        <v>79.34</v>
      </c>
      <c r="D64" s="141">
        <f ca="1">IFERROR(__xludf.DUMMYFUNCTION("""COMPUTED_VALUE"""),79.39)</f>
        <v>79.39</v>
      </c>
      <c r="E64" s="141">
        <f ca="1">IFERROR(__xludf.DUMMYFUNCTION("""COMPUTED_VALUE"""),79.04)</f>
        <v>79.040000000000006</v>
      </c>
      <c r="F64" s="141">
        <f ca="1">IFERROR(__xludf.DUMMYFUNCTION("""COMPUTED_VALUE"""),79.13)</f>
        <v>79.13</v>
      </c>
      <c r="G64" s="143">
        <f ca="1">IFERROR(__xludf.DUMMYFUNCTION("""COMPUTED_VALUE"""),3370074)</f>
        <v>3370074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IFERROR(__xludf.DUMMYFUNCTION("""COMPUTED_VALUE"""),79.18)</f>
        <v>79.180000000000007</v>
      </c>
      <c r="D65" s="141">
        <f ca="1">IFERROR(__xludf.DUMMYFUNCTION("""COMPUTED_VALUE"""),79.53)</f>
        <v>79.53</v>
      </c>
      <c r="E65" s="141">
        <f ca="1">IFERROR(__xludf.DUMMYFUNCTION("""COMPUTED_VALUE"""),78.98)</f>
        <v>78.98</v>
      </c>
      <c r="F65" s="141">
        <f ca="1">IFERROR(__xludf.DUMMYFUNCTION("""COMPUTED_VALUE"""),79.46)</f>
        <v>79.459999999999994</v>
      </c>
      <c r="G65" s="143">
        <f ca="1">IFERROR(__xludf.DUMMYFUNCTION("""COMPUTED_VALUE"""),1285073)</f>
        <v>1285073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IFERROR(__xludf.DUMMYFUNCTION("""COMPUTED_VALUE"""),79.73)</f>
        <v>79.73</v>
      </c>
      <c r="D66" s="141">
        <f ca="1">IFERROR(__xludf.DUMMYFUNCTION("""COMPUTED_VALUE"""),79.89)</f>
        <v>79.89</v>
      </c>
      <c r="E66" s="141">
        <f ca="1">IFERROR(__xludf.DUMMYFUNCTION("""COMPUTED_VALUE"""),79.28)</f>
        <v>79.28</v>
      </c>
      <c r="F66" s="141">
        <f ca="1">IFERROR(__xludf.DUMMYFUNCTION("""COMPUTED_VALUE"""),79.41)</f>
        <v>79.41</v>
      </c>
      <c r="G66" s="143">
        <f ca="1">IFERROR(__xludf.DUMMYFUNCTION("""COMPUTED_VALUE"""),1852665)</f>
        <v>1852665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IFERROR(__xludf.DUMMYFUNCTION("""COMPUTED_VALUE"""),78.94)</f>
        <v>78.94</v>
      </c>
      <c r="D67" s="141">
        <f ca="1">IFERROR(__xludf.DUMMYFUNCTION("""COMPUTED_VALUE"""),79.22)</f>
        <v>79.22</v>
      </c>
      <c r="E67" s="141">
        <f ca="1">IFERROR(__xludf.DUMMYFUNCTION("""COMPUTED_VALUE"""),78.79)</f>
        <v>78.790000000000006</v>
      </c>
      <c r="F67" s="141">
        <f ca="1">IFERROR(__xludf.DUMMYFUNCTION("""COMPUTED_VALUE"""),78.89)</f>
        <v>78.89</v>
      </c>
      <c r="G67" s="143">
        <f ca="1">IFERROR(__xludf.DUMMYFUNCTION("""COMPUTED_VALUE"""),1577027)</f>
        <v>1577027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IFERROR(__xludf.DUMMYFUNCTION("""COMPUTED_VALUE"""),78.21)</f>
        <v>78.209999999999994</v>
      </c>
      <c r="D68" s="141">
        <f ca="1">IFERROR(__xludf.DUMMYFUNCTION("""COMPUTED_VALUE"""),78.31)</f>
        <v>78.31</v>
      </c>
      <c r="E68" s="141">
        <f ca="1">IFERROR(__xludf.DUMMYFUNCTION("""COMPUTED_VALUE"""),77.82)</f>
        <v>77.819999999999993</v>
      </c>
      <c r="F68" s="141">
        <f ca="1">IFERROR(__xludf.DUMMYFUNCTION("""COMPUTED_VALUE"""),78.14)</f>
        <v>78.14</v>
      </c>
      <c r="G68" s="143">
        <f ca="1">IFERROR(__xludf.DUMMYFUNCTION("""COMPUTED_VALUE"""),1521129)</f>
        <v>1521129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IFERROR(__xludf.DUMMYFUNCTION("""COMPUTED_VALUE"""),78.64)</f>
        <v>78.64</v>
      </c>
      <c r="D69" s="141">
        <f ca="1">IFERROR(__xludf.DUMMYFUNCTION("""COMPUTED_VALUE"""),78.97)</f>
        <v>78.97</v>
      </c>
      <c r="E69" s="141">
        <f ca="1">IFERROR(__xludf.DUMMYFUNCTION("""COMPUTED_VALUE"""),78.61)</f>
        <v>78.61</v>
      </c>
      <c r="F69" s="141">
        <f ca="1">IFERROR(__xludf.DUMMYFUNCTION("""COMPUTED_VALUE"""),78.96)</f>
        <v>78.959999999999994</v>
      </c>
      <c r="G69" s="143">
        <f ca="1">IFERROR(__xludf.DUMMYFUNCTION("""COMPUTED_VALUE"""),1011521)</f>
        <v>1011521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IFERROR(__xludf.DUMMYFUNCTION("""COMPUTED_VALUE"""),79.21)</f>
        <v>79.209999999999994</v>
      </c>
      <c r="D70" s="141">
        <f ca="1">IFERROR(__xludf.DUMMYFUNCTION("""COMPUTED_VALUE"""),79.31)</f>
        <v>79.31</v>
      </c>
      <c r="E70" s="141">
        <f ca="1">IFERROR(__xludf.DUMMYFUNCTION("""COMPUTED_VALUE"""),79.03)</f>
        <v>79.03</v>
      </c>
      <c r="F70" s="141">
        <f ca="1">IFERROR(__xludf.DUMMYFUNCTION("""COMPUTED_VALUE"""),79.21)</f>
        <v>79.209999999999994</v>
      </c>
      <c r="G70" s="143">
        <f ca="1">IFERROR(__xludf.DUMMYFUNCTION("""COMPUTED_VALUE"""),2063691)</f>
        <v>2063691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IFERROR(__xludf.DUMMYFUNCTION("""COMPUTED_VALUE"""),79.31)</f>
        <v>79.31</v>
      </c>
      <c r="D71" s="141">
        <f ca="1">IFERROR(__xludf.DUMMYFUNCTION("""COMPUTED_VALUE"""),79.89)</f>
        <v>79.89</v>
      </c>
      <c r="E71" s="141">
        <f ca="1">IFERROR(__xludf.DUMMYFUNCTION("""COMPUTED_VALUE"""),79.27)</f>
        <v>79.27</v>
      </c>
      <c r="F71" s="141">
        <f ca="1">IFERROR(__xludf.DUMMYFUNCTION("""COMPUTED_VALUE"""),79.8)</f>
        <v>79.8</v>
      </c>
      <c r="G71" s="143">
        <f ca="1">IFERROR(__xludf.DUMMYFUNCTION("""COMPUTED_VALUE"""),2810654)</f>
        <v>2810654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IFERROR(__xludf.DUMMYFUNCTION("""COMPUTED_VALUE"""),80.25)</f>
        <v>80.25</v>
      </c>
      <c r="D72" s="141">
        <f ca="1">IFERROR(__xludf.DUMMYFUNCTION("""COMPUTED_VALUE"""),80.83)</f>
        <v>80.83</v>
      </c>
      <c r="E72" s="141">
        <f ca="1">IFERROR(__xludf.DUMMYFUNCTION("""COMPUTED_VALUE"""),80.25)</f>
        <v>80.25</v>
      </c>
      <c r="F72" s="141">
        <f ca="1">IFERROR(__xludf.DUMMYFUNCTION("""COMPUTED_VALUE"""),80.72)</f>
        <v>80.72</v>
      </c>
      <c r="G72" s="143">
        <f ca="1">IFERROR(__xludf.DUMMYFUNCTION("""COMPUTED_VALUE"""),3899424)</f>
        <v>3899424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IFERROR(__xludf.DUMMYFUNCTION("""COMPUTED_VALUE"""),81.08)</f>
        <v>81.08</v>
      </c>
      <c r="D73" s="141">
        <f ca="1">IFERROR(__xludf.DUMMYFUNCTION("""COMPUTED_VALUE"""),81.14)</f>
        <v>81.14</v>
      </c>
      <c r="E73" s="141">
        <f ca="1">IFERROR(__xludf.DUMMYFUNCTION("""COMPUTED_VALUE"""),80.51)</f>
        <v>80.510000000000005</v>
      </c>
      <c r="F73" s="141">
        <f ca="1">IFERROR(__xludf.DUMMYFUNCTION("""COMPUTED_VALUE"""),80.91)</f>
        <v>80.91</v>
      </c>
      <c r="G73" s="143">
        <f ca="1">IFERROR(__xludf.DUMMYFUNCTION("""COMPUTED_VALUE"""),4748319)</f>
        <v>4748319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IFERROR(__xludf.DUMMYFUNCTION("""COMPUTED_VALUE"""),81.11)</f>
        <v>81.11</v>
      </c>
      <c r="D74" s="141">
        <f ca="1">IFERROR(__xludf.DUMMYFUNCTION("""COMPUTED_VALUE"""),81.46)</f>
        <v>81.459999999999994</v>
      </c>
      <c r="E74" s="141">
        <f ca="1">IFERROR(__xludf.DUMMYFUNCTION("""COMPUTED_VALUE"""),81.11)</f>
        <v>81.11</v>
      </c>
      <c r="F74" s="141">
        <f ca="1">IFERROR(__xludf.DUMMYFUNCTION("""COMPUTED_VALUE"""),81.35)</f>
        <v>81.349999999999994</v>
      </c>
      <c r="G74" s="143">
        <f ca="1">IFERROR(__xludf.DUMMYFUNCTION("""COMPUTED_VALUE"""),1738027)</f>
        <v>1738027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IFERROR(__xludf.DUMMYFUNCTION("""COMPUTED_VALUE"""),81.13)</f>
        <v>81.13</v>
      </c>
      <c r="D75" s="141">
        <f ca="1">IFERROR(__xludf.DUMMYFUNCTION("""COMPUTED_VALUE"""),81.27)</f>
        <v>81.27</v>
      </c>
      <c r="E75" s="141">
        <f ca="1">IFERROR(__xludf.DUMMYFUNCTION("""COMPUTED_VALUE"""),81.01)</f>
        <v>81.010000000000005</v>
      </c>
      <c r="F75" s="141">
        <f ca="1">IFERROR(__xludf.DUMMYFUNCTION("""COMPUTED_VALUE"""),81.1)</f>
        <v>81.099999999999994</v>
      </c>
      <c r="G75" s="143">
        <f ca="1">IFERROR(__xludf.DUMMYFUNCTION("""COMPUTED_VALUE"""),2683895)</f>
        <v>2683895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IFERROR(__xludf.DUMMYFUNCTION("""COMPUTED_VALUE"""),80.88)</f>
        <v>80.88</v>
      </c>
      <c r="D76" s="141">
        <f ca="1">IFERROR(__xludf.DUMMYFUNCTION("""COMPUTED_VALUE"""),80.95)</f>
        <v>80.95</v>
      </c>
      <c r="E76" s="141">
        <f ca="1">IFERROR(__xludf.DUMMYFUNCTION("""COMPUTED_VALUE"""),80.48)</f>
        <v>80.48</v>
      </c>
      <c r="F76" s="141">
        <f ca="1">IFERROR(__xludf.DUMMYFUNCTION("""COMPUTED_VALUE"""),80.49)</f>
        <v>80.489999999999995</v>
      </c>
      <c r="G76" s="143">
        <f ca="1">IFERROR(__xludf.DUMMYFUNCTION("""COMPUTED_VALUE"""),1805261)</f>
        <v>1805261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IFERROR(__xludf.DUMMYFUNCTION("""COMPUTED_VALUE"""),80.94)</f>
        <v>80.94</v>
      </c>
      <c r="D77" s="141">
        <f ca="1">IFERROR(__xludf.DUMMYFUNCTION("""COMPUTED_VALUE"""),81.06)</f>
        <v>81.06</v>
      </c>
      <c r="E77" s="141">
        <f ca="1">IFERROR(__xludf.DUMMYFUNCTION("""COMPUTED_VALUE"""),80.72)</f>
        <v>80.72</v>
      </c>
      <c r="F77" s="141">
        <f ca="1">IFERROR(__xludf.DUMMYFUNCTION("""COMPUTED_VALUE"""),80.96)</f>
        <v>80.959999999999994</v>
      </c>
      <c r="G77" s="143">
        <f ca="1">IFERROR(__xludf.DUMMYFUNCTION("""COMPUTED_VALUE"""),2016069)</f>
        <v>2016069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IFERROR(__xludf.DUMMYFUNCTION("""COMPUTED_VALUE"""),80.83)</f>
        <v>80.83</v>
      </c>
      <c r="D78" s="141">
        <f ca="1">IFERROR(__xludf.DUMMYFUNCTION("""COMPUTED_VALUE"""),80.85)</f>
        <v>80.849999999999994</v>
      </c>
      <c r="E78" s="141">
        <f ca="1">IFERROR(__xludf.DUMMYFUNCTION("""COMPUTED_VALUE"""),79.89)</f>
        <v>79.89</v>
      </c>
      <c r="F78" s="141">
        <f ca="1">IFERROR(__xludf.DUMMYFUNCTION("""COMPUTED_VALUE"""),80.1)</f>
        <v>80.099999999999994</v>
      </c>
      <c r="G78" s="143">
        <f ca="1">IFERROR(__xludf.DUMMYFUNCTION("""COMPUTED_VALUE"""),3948949)</f>
        <v>3948949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IFERROR(__xludf.DUMMYFUNCTION("""COMPUTED_VALUE"""),80.23)</f>
        <v>80.23</v>
      </c>
      <c r="D79" s="141">
        <f ca="1">IFERROR(__xludf.DUMMYFUNCTION("""COMPUTED_VALUE"""),80.34)</f>
        <v>80.34</v>
      </c>
      <c r="E79" s="141">
        <f ca="1">IFERROR(__xludf.DUMMYFUNCTION("""COMPUTED_VALUE"""),79.1)</f>
        <v>79.099999999999994</v>
      </c>
      <c r="F79" s="141">
        <f ca="1">IFERROR(__xludf.DUMMYFUNCTION("""COMPUTED_VALUE"""),79.18)</f>
        <v>79.180000000000007</v>
      </c>
      <c r="G79" s="143">
        <f ca="1">IFERROR(__xludf.DUMMYFUNCTION("""COMPUTED_VALUE"""),4545542)</f>
        <v>4545542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IFERROR(__xludf.DUMMYFUNCTION("""COMPUTED_VALUE"""),79.44)</f>
        <v>79.44</v>
      </c>
      <c r="D80" s="141">
        <f ca="1">IFERROR(__xludf.DUMMYFUNCTION("""COMPUTED_VALUE"""),79.8)</f>
        <v>79.8</v>
      </c>
      <c r="E80" s="141">
        <f ca="1">IFERROR(__xludf.DUMMYFUNCTION("""COMPUTED_VALUE"""),79.35)</f>
        <v>79.349999999999994</v>
      </c>
      <c r="F80" s="141">
        <f ca="1">IFERROR(__xludf.DUMMYFUNCTION("""COMPUTED_VALUE"""),79.73)</f>
        <v>79.73</v>
      </c>
      <c r="G80" s="143">
        <f ca="1">IFERROR(__xludf.DUMMYFUNCTION("""COMPUTED_VALUE"""),2131548)</f>
        <v>2131548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IFERROR(__xludf.DUMMYFUNCTION("""COMPUTED_VALUE"""),79.19)</f>
        <v>79.19</v>
      </c>
      <c r="D81" s="141">
        <f ca="1">IFERROR(__xludf.DUMMYFUNCTION("""COMPUTED_VALUE"""),80.22)</f>
        <v>80.22</v>
      </c>
      <c r="E81" s="141">
        <f ca="1">IFERROR(__xludf.DUMMYFUNCTION("""COMPUTED_VALUE"""),79.09)</f>
        <v>79.09</v>
      </c>
      <c r="F81" s="141">
        <f ca="1">IFERROR(__xludf.DUMMYFUNCTION("""COMPUTED_VALUE"""),80.04)</f>
        <v>80.040000000000006</v>
      </c>
      <c r="G81" s="143">
        <f ca="1">IFERROR(__xludf.DUMMYFUNCTION("""COMPUTED_VALUE"""),3539838)</f>
        <v>3539838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IFERROR(__xludf.DUMMYFUNCTION("""COMPUTED_VALUE"""),80.15)</f>
        <v>80.150000000000006</v>
      </c>
      <c r="D82" s="141">
        <f ca="1">IFERROR(__xludf.DUMMYFUNCTION("""COMPUTED_VALUE"""),80.41)</f>
        <v>80.41</v>
      </c>
      <c r="E82" s="141">
        <f ca="1">IFERROR(__xludf.DUMMYFUNCTION("""COMPUTED_VALUE"""),79.69)</f>
        <v>79.69</v>
      </c>
      <c r="F82" s="141">
        <f ca="1">IFERROR(__xludf.DUMMYFUNCTION("""COMPUTED_VALUE"""),80.22)</f>
        <v>80.22</v>
      </c>
      <c r="G82" s="143">
        <f ca="1">IFERROR(__xludf.DUMMYFUNCTION("""COMPUTED_VALUE"""),4360384)</f>
        <v>4360384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IFERROR(__xludf.DUMMYFUNCTION("""COMPUTED_VALUE"""),80.69)</f>
        <v>80.69</v>
      </c>
      <c r="D83" s="141">
        <f ca="1">IFERROR(__xludf.DUMMYFUNCTION("""COMPUTED_VALUE"""),81.09)</f>
        <v>81.09</v>
      </c>
      <c r="E83" s="141">
        <f ca="1">IFERROR(__xludf.DUMMYFUNCTION("""COMPUTED_VALUE"""),80.49)</f>
        <v>80.489999999999995</v>
      </c>
      <c r="F83" s="141">
        <f ca="1">IFERROR(__xludf.DUMMYFUNCTION("""COMPUTED_VALUE"""),80.78)</f>
        <v>80.78</v>
      </c>
      <c r="G83" s="143">
        <f ca="1">IFERROR(__xludf.DUMMYFUNCTION("""COMPUTED_VALUE"""),2724876)</f>
        <v>2724876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IFERROR(__xludf.DUMMYFUNCTION("""COMPUTED_VALUE"""),80.39)</f>
        <v>80.39</v>
      </c>
      <c r="D84" s="141">
        <f ca="1">IFERROR(__xludf.DUMMYFUNCTION("""COMPUTED_VALUE"""),80.83)</f>
        <v>80.83</v>
      </c>
      <c r="E84" s="141">
        <f ca="1">IFERROR(__xludf.DUMMYFUNCTION("""COMPUTED_VALUE"""),80.24)</f>
        <v>80.239999999999995</v>
      </c>
      <c r="F84" s="141">
        <f ca="1">IFERROR(__xludf.DUMMYFUNCTION("""COMPUTED_VALUE"""),80.8)</f>
        <v>80.8</v>
      </c>
      <c r="G84" s="143">
        <f ca="1">IFERROR(__xludf.DUMMYFUNCTION("""COMPUTED_VALUE"""),2581802)</f>
        <v>2581802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IFERROR(__xludf.DUMMYFUNCTION("""COMPUTED_VALUE"""),80.88)</f>
        <v>80.88</v>
      </c>
      <c r="D85" s="141">
        <f ca="1">IFERROR(__xludf.DUMMYFUNCTION("""COMPUTED_VALUE"""),81.18)</f>
        <v>81.180000000000007</v>
      </c>
      <c r="E85" s="141">
        <f ca="1">IFERROR(__xludf.DUMMYFUNCTION("""COMPUTED_VALUE"""),80.82)</f>
        <v>80.819999999999993</v>
      </c>
      <c r="F85" s="141">
        <f ca="1">IFERROR(__xludf.DUMMYFUNCTION("""COMPUTED_VALUE"""),81.15)</f>
        <v>81.150000000000006</v>
      </c>
      <c r="G85" s="143">
        <f ca="1">IFERROR(__xludf.DUMMYFUNCTION("""COMPUTED_VALUE"""),1846631)</f>
        <v>1846631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IFERROR(__xludf.DUMMYFUNCTION("""COMPUTED_VALUE"""),80.91)</f>
        <v>80.91</v>
      </c>
      <c r="D86" s="141">
        <f ca="1">IFERROR(__xludf.DUMMYFUNCTION("""COMPUTED_VALUE"""),81.05)</f>
        <v>81.05</v>
      </c>
      <c r="E86" s="141">
        <f ca="1">IFERROR(__xludf.DUMMYFUNCTION("""COMPUTED_VALUE"""),80.62)</f>
        <v>80.62</v>
      </c>
      <c r="F86" s="141">
        <f ca="1">IFERROR(__xludf.DUMMYFUNCTION("""COMPUTED_VALUE"""),80.67)</f>
        <v>80.67</v>
      </c>
      <c r="G86" s="143">
        <f ca="1">IFERROR(__xludf.DUMMYFUNCTION("""COMPUTED_VALUE"""),1740309)</f>
        <v>1740309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IFERROR(__xludf.DUMMYFUNCTION("""COMPUTED_VALUE"""),80.79)</f>
        <v>80.790000000000006</v>
      </c>
      <c r="D87" s="141">
        <f ca="1">IFERROR(__xludf.DUMMYFUNCTION("""COMPUTED_VALUE"""),80.98)</f>
        <v>80.98</v>
      </c>
      <c r="E87" s="141">
        <f ca="1">IFERROR(__xludf.DUMMYFUNCTION("""COMPUTED_VALUE"""),80.4)</f>
        <v>80.400000000000006</v>
      </c>
      <c r="F87" s="141">
        <f ca="1">IFERROR(__xludf.DUMMYFUNCTION("""COMPUTED_VALUE"""),80.7)</f>
        <v>80.7</v>
      </c>
      <c r="G87" s="143">
        <f ca="1">IFERROR(__xludf.DUMMYFUNCTION("""COMPUTED_VALUE"""),2154513)</f>
        <v>2154513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IFERROR(__xludf.DUMMYFUNCTION("""COMPUTED_VALUE"""),80.97)</f>
        <v>80.97</v>
      </c>
      <c r="D88" s="141">
        <f ca="1">IFERROR(__xludf.DUMMYFUNCTION("""COMPUTED_VALUE"""),81.31)</f>
        <v>81.31</v>
      </c>
      <c r="E88" s="141">
        <f ca="1">IFERROR(__xludf.DUMMYFUNCTION("""COMPUTED_VALUE"""),80.97)</f>
        <v>80.97</v>
      </c>
      <c r="F88" s="141">
        <f ca="1">IFERROR(__xludf.DUMMYFUNCTION("""COMPUTED_VALUE"""),81.17)</f>
        <v>81.17</v>
      </c>
      <c r="G88" s="143">
        <f ca="1">IFERROR(__xludf.DUMMYFUNCTION("""COMPUTED_VALUE"""),1922931)</f>
        <v>1922931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IFERROR(__xludf.DUMMYFUNCTION("""COMPUTED_VALUE"""),81.37)</f>
        <v>81.37</v>
      </c>
      <c r="D89" s="141">
        <f ca="1">IFERROR(__xludf.DUMMYFUNCTION("""COMPUTED_VALUE"""),81.45)</f>
        <v>81.45</v>
      </c>
      <c r="E89" s="141">
        <f ca="1">IFERROR(__xludf.DUMMYFUNCTION("""COMPUTED_VALUE"""),81.24)</f>
        <v>81.239999999999995</v>
      </c>
      <c r="F89" s="141">
        <f ca="1">IFERROR(__xludf.DUMMYFUNCTION("""COMPUTED_VALUE"""),81.29)</f>
        <v>81.290000000000006</v>
      </c>
      <c r="G89" s="143">
        <f ca="1">IFERROR(__xludf.DUMMYFUNCTION("""COMPUTED_VALUE"""),1807503)</f>
        <v>1807503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IFERROR(__xludf.DUMMYFUNCTION("""COMPUTED_VALUE"""),81.58)</f>
        <v>81.58</v>
      </c>
      <c r="D90" s="141">
        <f ca="1">IFERROR(__xludf.DUMMYFUNCTION("""COMPUTED_VALUE"""),81.73)</f>
        <v>81.73</v>
      </c>
      <c r="E90" s="141">
        <f ca="1">IFERROR(__xludf.DUMMYFUNCTION("""COMPUTED_VALUE"""),81.5)</f>
        <v>81.5</v>
      </c>
      <c r="F90" s="141">
        <f ca="1">IFERROR(__xludf.DUMMYFUNCTION("""COMPUTED_VALUE"""),81.69)</f>
        <v>81.69</v>
      </c>
      <c r="G90" s="143">
        <f ca="1">IFERROR(__xludf.DUMMYFUNCTION("""COMPUTED_VALUE"""),2056593)</f>
        <v>2056593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IFERROR(__xludf.DUMMYFUNCTION("""COMPUTED_VALUE"""),81.53)</f>
        <v>81.53</v>
      </c>
      <c r="D91" s="141">
        <f ca="1">IFERROR(__xludf.DUMMYFUNCTION("""COMPUTED_VALUE"""),81.75)</f>
        <v>81.75</v>
      </c>
      <c r="E91" s="141">
        <f ca="1">IFERROR(__xludf.DUMMYFUNCTION("""COMPUTED_VALUE"""),81.36)</f>
        <v>81.36</v>
      </c>
      <c r="F91" s="141">
        <f ca="1">IFERROR(__xludf.DUMMYFUNCTION("""COMPUTED_VALUE"""),81.48)</f>
        <v>81.48</v>
      </c>
      <c r="G91" s="143">
        <f ca="1">IFERROR(__xludf.DUMMYFUNCTION("""COMPUTED_VALUE"""),2396639)</f>
        <v>2396639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IFERROR(__xludf.DUMMYFUNCTION("""COMPUTED_VALUE"""),81.6)</f>
        <v>81.599999999999994</v>
      </c>
      <c r="D92" s="141">
        <f ca="1">IFERROR(__xludf.DUMMYFUNCTION("""COMPUTED_VALUE"""),81.66)</f>
        <v>81.66</v>
      </c>
      <c r="E92" s="141">
        <f ca="1">IFERROR(__xludf.DUMMYFUNCTION("""COMPUTED_VALUE"""),80.7)</f>
        <v>80.7</v>
      </c>
      <c r="F92" s="141">
        <f ca="1">IFERROR(__xludf.DUMMYFUNCTION("""COMPUTED_VALUE"""),81.04)</f>
        <v>81.040000000000006</v>
      </c>
      <c r="G92" s="143">
        <f ca="1">IFERROR(__xludf.DUMMYFUNCTION("""COMPUTED_VALUE"""),3421559)</f>
        <v>3421559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IFERROR(__xludf.DUMMYFUNCTION("""COMPUTED_VALUE"""),80.51)</f>
        <v>80.510000000000005</v>
      </c>
      <c r="D93" s="141">
        <f ca="1">IFERROR(__xludf.DUMMYFUNCTION("""COMPUTED_VALUE"""),80.99)</f>
        <v>80.989999999999995</v>
      </c>
      <c r="E93" s="141">
        <f ca="1">IFERROR(__xludf.DUMMYFUNCTION("""COMPUTED_VALUE"""),80.42)</f>
        <v>80.42</v>
      </c>
      <c r="F93" s="141">
        <f ca="1">IFERROR(__xludf.DUMMYFUNCTION("""COMPUTED_VALUE"""),80.66)</f>
        <v>80.66</v>
      </c>
      <c r="G93" s="143">
        <f ca="1">IFERROR(__xludf.DUMMYFUNCTION("""COMPUTED_VALUE"""),7230482)</f>
        <v>7230482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IFERROR(__xludf.DUMMYFUNCTION("""COMPUTED_VALUE"""),80.33)</f>
        <v>80.33</v>
      </c>
      <c r="D94" s="141">
        <f ca="1">IFERROR(__xludf.DUMMYFUNCTION("""COMPUTED_VALUE"""),80.4)</f>
        <v>80.400000000000006</v>
      </c>
      <c r="E94" s="141">
        <f ca="1">IFERROR(__xludf.DUMMYFUNCTION("""COMPUTED_VALUE"""),79.96)</f>
        <v>79.959999999999994</v>
      </c>
      <c r="F94" s="141">
        <f ca="1">IFERROR(__xludf.DUMMYFUNCTION("""COMPUTED_VALUE"""),80.3)</f>
        <v>80.3</v>
      </c>
      <c r="G94" s="143">
        <f ca="1">IFERROR(__xludf.DUMMYFUNCTION("""COMPUTED_VALUE"""),4637563)</f>
        <v>4637563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IFERROR(__xludf.DUMMYFUNCTION("""COMPUTED_VALUE"""),80.21)</f>
        <v>80.209999999999994</v>
      </c>
      <c r="D95" s="141">
        <f ca="1">IFERROR(__xludf.DUMMYFUNCTION("""COMPUTED_VALUE"""),80.34)</f>
        <v>80.34</v>
      </c>
      <c r="E95" s="141">
        <f ca="1">IFERROR(__xludf.DUMMYFUNCTION("""COMPUTED_VALUE"""),80.05)</f>
        <v>80.05</v>
      </c>
      <c r="F95" s="141">
        <f ca="1">IFERROR(__xludf.DUMMYFUNCTION("""COMPUTED_VALUE"""),80.17)</f>
        <v>80.17</v>
      </c>
      <c r="G95" s="143">
        <f ca="1">IFERROR(__xludf.DUMMYFUNCTION("""COMPUTED_VALUE"""),2870869)</f>
        <v>2870869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IFERROR(__xludf.DUMMYFUNCTION("""COMPUTED_VALUE"""),79.29)</f>
        <v>79.290000000000006</v>
      </c>
      <c r="D96" s="141">
        <f ca="1">IFERROR(__xludf.DUMMYFUNCTION("""COMPUTED_VALUE"""),79.75)</f>
        <v>79.75</v>
      </c>
      <c r="E96" s="141">
        <f ca="1">IFERROR(__xludf.DUMMYFUNCTION("""COMPUTED_VALUE"""),79.11)</f>
        <v>79.11</v>
      </c>
      <c r="F96" s="141">
        <f ca="1">IFERROR(__xludf.DUMMYFUNCTION("""COMPUTED_VALUE"""),79.31)</f>
        <v>79.31</v>
      </c>
      <c r="G96" s="143">
        <f ca="1">IFERROR(__xludf.DUMMYFUNCTION("""COMPUTED_VALUE"""),3213646)</f>
        <v>3213646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IFERROR(__xludf.DUMMYFUNCTION("""COMPUTED_VALUE"""),79.53)</f>
        <v>79.53</v>
      </c>
      <c r="D97" s="141">
        <f ca="1">IFERROR(__xludf.DUMMYFUNCTION("""COMPUTED_VALUE"""),80.08)</f>
        <v>80.08</v>
      </c>
      <c r="E97" s="141">
        <f ca="1">IFERROR(__xludf.DUMMYFUNCTION("""COMPUTED_VALUE"""),79.51)</f>
        <v>79.510000000000005</v>
      </c>
      <c r="F97" s="141">
        <f ca="1">IFERROR(__xludf.DUMMYFUNCTION("""COMPUTED_VALUE"""),79.97)</f>
        <v>79.97</v>
      </c>
      <c r="G97" s="143">
        <f ca="1">IFERROR(__xludf.DUMMYFUNCTION("""COMPUTED_VALUE"""),4007274)</f>
        <v>4007274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IFERROR(__xludf.DUMMYFUNCTION("""COMPUTED_VALUE"""),79.89)</f>
        <v>79.89</v>
      </c>
      <c r="D98" s="141">
        <f ca="1">IFERROR(__xludf.DUMMYFUNCTION("""COMPUTED_VALUE"""),79.98)</f>
        <v>79.98</v>
      </c>
      <c r="E98" s="141">
        <f ca="1">IFERROR(__xludf.DUMMYFUNCTION("""COMPUTED_VALUE"""),79.44)</f>
        <v>79.44</v>
      </c>
      <c r="F98" s="141">
        <f ca="1">IFERROR(__xludf.DUMMYFUNCTION("""COMPUTED_VALUE"""),79.59)</f>
        <v>79.59</v>
      </c>
      <c r="G98" s="143">
        <f ca="1">IFERROR(__xludf.DUMMYFUNCTION("""COMPUTED_VALUE"""),3755949)</f>
        <v>3755949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IFERROR(__xludf.DUMMYFUNCTION("""COMPUTED_VALUE"""),79.29)</f>
        <v>79.290000000000006</v>
      </c>
      <c r="D99" s="141">
        <f ca="1">IFERROR(__xludf.DUMMYFUNCTION("""COMPUTED_VALUE"""),80)</f>
        <v>80</v>
      </c>
      <c r="E99" s="141">
        <f ca="1">IFERROR(__xludf.DUMMYFUNCTION("""COMPUTED_VALUE"""),79.14)</f>
        <v>79.14</v>
      </c>
      <c r="F99" s="141">
        <f ca="1">IFERROR(__xludf.DUMMYFUNCTION("""COMPUTED_VALUE"""),79.98)</f>
        <v>79.98</v>
      </c>
      <c r="G99" s="143">
        <f ca="1">IFERROR(__xludf.DUMMYFUNCTION("""COMPUTED_VALUE"""),3963860)</f>
        <v>3963860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IFERROR(__xludf.DUMMYFUNCTION("""COMPUTED_VALUE"""),80.57)</f>
        <v>80.569999999999993</v>
      </c>
      <c r="D100" s="141">
        <f ca="1">IFERROR(__xludf.DUMMYFUNCTION("""COMPUTED_VALUE"""),80.97)</f>
        <v>80.97</v>
      </c>
      <c r="E100" s="141">
        <f ca="1">IFERROR(__xludf.DUMMYFUNCTION("""COMPUTED_VALUE"""),80.33)</f>
        <v>80.33</v>
      </c>
      <c r="F100" s="141">
        <f ca="1">IFERROR(__xludf.DUMMYFUNCTION("""COMPUTED_VALUE"""),80.93)</f>
        <v>80.930000000000007</v>
      </c>
      <c r="G100" s="143">
        <f ca="1">IFERROR(__xludf.DUMMYFUNCTION("""COMPUTED_VALUE"""),3111010)</f>
        <v>3111010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IFERROR(__xludf.DUMMYFUNCTION("""COMPUTED_VALUE"""),81.45)</f>
        <v>81.45</v>
      </c>
      <c r="D101" s="141">
        <f ca="1">IFERROR(__xludf.DUMMYFUNCTION("""COMPUTED_VALUE"""),81.9)</f>
        <v>81.900000000000006</v>
      </c>
      <c r="E101" s="141">
        <f ca="1">IFERROR(__xludf.DUMMYFUNCTION("""COMPUTED_VALUE"""),81.44)</f>
        <v>81.44</v>
      </c>
      <c r="F101" s="141">
        <f ca="1">IFERROR(__xludf.DUMMYFUNCTION("""COMPUTED_VALUE"""),81.79)</f>
        <v>81.790000000000006</v>
      </c>
      <c r="G101" s="143">
        <f ca="1">IFERROR(__xludf.DUMMYFUNCTION("""COMPUTED_VALUE"""),2512342)</f>
        <v>2512342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IFERROR(__xludf.DUMMYFUNCTION("""COMPUTED_VALUE"""),82)</f>
        <v>82</v>
      </c>
      <c r="D102" s="141">
        <f ca="1">IFERROR(__xludf.DUMMYFUNCTION("""COMPUTED_VALUE"""),82.37)</f>
        <v>82.37</v>
      </c>
      <c r="E102" s="141">
        <f ca="1">IFERROR(__xludf.DUMMYFUNCTION("""COMPUTED_VALUE"""),81.98)</f>
        <v>81.98</v>
      </c>
      <c r="F102" s="141">
        <f ca="1">IFERROR(__xludf.DUMMYFUNCTION("""COMPUTED_VALUE"""),82.27)</f>
        <v>82.27</v>
      </c>
      <c r="G102" s="143">
        <f ca="1">IFERROR(__xludf.DUMMYFUNCTION("""COMPUTED_VALUE"""),3231184)</f>
        <v>3231184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IFERROR(__xludf.DUMMYFUNCTION("""COMPUTED_VALUE"""),82.31)</f>
        <v>82.31</v>
      </c>
      <c r="D103" s="141">
        <f ca="1">IFERROR(__xludf.DUMMYFUNCTION("""COMPUTED_VALUE"""),82.41)</f>
        <v>82.41</v>
      </c>
      <c r="E103" s="141">
        <f ca="1">IFERROR(__xludf.DUMMYFUNCTION("""COMPUTED_VALUE"""),81.6)</f>
        <v>81.599999999999994</v>
      </c>
      <c r="F103" s="141">
        <f ca="1">IFERROR(__xludf.DUMMYFUNCTION("""COMPUTED_VALUE"""),81.68)</f>
        <v>81.680000000000007</v>
      </c>
      <c r="G103" s="143">
        <f ca="1">IFERROR(__xludf.DUMMYFUNCTION("""COMPUTED_VALUE"""),2995389)</f>
        <v>2995389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IFERROR(__xludf.DUMMYFUNCTION("""COMPUTED_VALUE"""),80.75)</f>
        <v>80.75</v>
      </c>
      <c r="D104" s="141">
        <f ca="1">IFERROR(__xludf.DUMMYFUNCTION("""COMPUTED_VALUE"""),81.27)</f>
        <v>81.27</v>
      </c>
      <c r="E104" s="141">
        <f ca="1">IFERROR(__xludf.DUMMYFUNCTION("""COMPUTED_VALUE"""),80.69)</f>
        <v>80.69</v>
      </c>
      <c r="F104" s="141">
        <f ca="1">IFERROR(__xludf.DUMMYFUNCTION("""COMPUTED_VALUE"""),81.06)</f>
        <v>81.06</v>
      </c>
      <c r="G104" s="143">
        <f ca="1">IFERROR(__xludf.DUMMYFUNCTION("""COMPUTED_VALUE"""),1983986)</f>
        <v>1983986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IFERROR(__xludf.DUMMYFUNCTION("""COMPUTED_VALUE"""),80.57)</f>
        <v>80.569999999999993</v>
      </c>
      <c r="D105" s="141">
        <f ca="1">IFERROR(__xludf.DUMMYFUNCTION("""COMPUTED_VALUE"""),80.79)</f>
        <v>80.790000000000006</v>
      </c>
      <c r="E105" s="141">
        <f ca="1">IFERROR(__xludf.DUMMYFUNCTION("""COMPUTED_VALUE"""),79.81)</f>
        <v>79.81</v>
      </c>
      <c r="F105" s="141">
        <f ca="1">IFERROR(__xludf.DUMMYFUNCTION("""COMPUTED_VALUE"""),80.07)</f>
        <v>80.069999999999993</v>
      </c>
      <c r="G105" s="143">
        <f ca="1">IFERROR(__xludf.DUMMYFUNCTION("""COMPUTED_VALUE"""),2368613)</f>
        <v>2368613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IFERROR(__xludf.DUMMYFUNCTION("""COMPUTED_VALUE"""),79.24)</f>
        <v>79.239999999999995</v>
      </c>
      <c r="D106" s="141">
        <f ca="1">IFERROR(__xludf.DUMMYFUNCTION("""COMPUTED_VALUE"""),79.51)</f>
        <v>79.510000000000005</v>
      </c>
      <c r="E106" s="141">
        <f ca="1">IFERROR(__xludf.DUMMYFUNCTION("""COMPUTED_VALUE"""),78.77)</f>
        <v>78.77</v>
      </c>
      <c r="F106" s="141">
        <f ca="1">IFERROR(__xludf.DUMMYFUNCTION("""COMPUTED_VALUE"""),79.29)</f>
        <v>79.290000000000006</v>
      </c>
      <c r="G106" s="143">
        <f ca="1">IFERROR(__xludf.DUMMYFUNCTION("""COMPUTED_VALUE"""),8319321)</f>
        <v>8319321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IFERROR(__xludf.DUMMYFUNCTION("""COMPUTED_VALUE"""),79.21)</f>
        <v>79.209999999999994</v>
      </c>
      <c r="D107" s="141">
        <f ca="1">IFERROR(__xludf.DUMMYFUNCTION("""COMPUTED_VALUE"""),79.46)</f>
        <v>79.459999999999994</v>
      </c>
      <c r="E107" s="141">
        <f ca="1">IFERROR(__xludf.DUMMYFUNCTION("""COMPUTED_VALUE"""),78.66)</f>
        <v>78.66</v>
      </c>
      <c r="F107" s="141">
        <f ca="1">IFERROR(__xludf.DUMMYFUNCTION("""COMPUTED_VALUE"""),78.98)</f>
        <v>78.98</v>
      </c>
      <c r="G107" s="143">
        <f ca="1">IFERROR(__xludf.DUMMYFUNCTION("""COMPUTED_VALUE"""),2052801)</f>
        <v>2052801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IFERROR(__xludf.DUMMYFUNCTION("""COMPUTED_VALUE"""),79.47)</f>
        <v>79.47</v>
      </c>
      <c r="D108" s="141">
        <f ca="1">IFERROR(__xludf.DUMMYFUNCTION("""COMPUTED_VALUE"""),79.63)</f>
        <v>79.63</v>
      </c>
      <c r="E108" s="141">
        <f ca="1">IFERROR(__xludf.DUMMYFUNCTION("""COMPUTED_VALUE"""),77.87)</f>
        <v>77.87</v>
      </c>
      <c r="F108" s="141">
        <f ca="1">IFERROR(__xludf.DUMMYFUNCTION("""COMPUTED_VALUE"""),77.9)</f>
        <v>77.900000000000006</v>
      </c>
      <c r="G108" s="143">
        <f ca="1">IFERROR(__xludf.DUMMYFUNCTION("""COMPUTED_VALUE"""),3635363)</f>
        <v>3635363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IFERROR(__xludf.DUMMYFUNCTION("""COMPUTED_VALUE"""),78.56)</f>
        <v>78.56</v>
      </c>
      <c r="D109" s="141">
        <f ca="1">IFERROR(__xludf.DUMMYFUNCTION("""COMPUTED_VALUE"""),79.27)</f>
        <v>79.27</v>
      </c>
      <c r="E109" s="141">
        <f ca="1">IFERROR(__xludf.DUMMYFUNCTION("""COMPUTED_VALUE"""),78.34)</f>
        <v>78.34</v>
      </c>
      <c r="F109" s="141">
        <f ca="1">IFERROR(__xludf.DUMMYFUNCTION("""COMPUTED_VALUE"""),79.09)</f>
        <v>79.09</v>
      </c>
      <c r="G109" s="143">
        <f ca="1">IFERROR(__xludf.DUMMYFUNCTION("""COMPUTED_VALUE"""),2850248)</f>
        <v>2850248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IFERROR(__xludf.DUMMYFUNCTION("""COMPUTED_VALUE"""),78.85)</f>
        <v>78.849999999999994</v>
      </c>
      <c r="D110" s="141">
        <f ca="1">IFERROR(__xludf.DUMMYFUNCTION("""COMPUTED_VALUE"""),79.19)</f>
        <v>79.19</v>
      </c>
      <c r="E110" s="141">
        <f ca="1">IFERROR(__xludf.DUMMYFUNCTION("""COMPUTED_VALUE"""),78.62)</f>
        <v>78.62</v>
      </c>
      <c r="F110" s="141">
        <f ca="1">IFERROR(__xludf.DUMMYFUNCTION("""COMPUTED_VALUE"""),78.89)</f>
        <v>78.89</v>
      </c>
      <c r="G110" s="143">
        <f ca="1">IFERROR(__xludf.DUMMYFUNCTION("""COMPUTED_VALUE"""),4939082)</f>
        <v>4939082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IFERROR(__xludf.DUMMYFUNCTION("""COMPUTED_VALUE"""),79.6)</f>
        <v>79.599999999999994</v>
      </c>
      <c r="D111" s="141">
        <f ca="1">IFERROR(__xludf.DUMMYFUNCTION("""COMPUTED_VALUE"""),80.28)</f>
        <v>80.28</v>
      </c>
      <c r="E111" s="141">
        <f ca="1">IFERROR(__xludf.DUMMYFUNCTION("""COMPUTED_VALUE"""),79.42)</f>
        <v>79.42</v>
      </c>
      <c r="F111" s="141">
        <f ca="1">IFERROR(__xludf.DUMMYFUNCTION("""COMPUTED_VALUE"""),80.24)</f>
        <v>80.239999999999995</v>
      </c>
      <c r="G111" s="143">
        <f ca="1">IFERROR(__xludf.DUMMYFUNCTION("""COMPUTED_VALUE"""),3743823)</f>
        <v>3743823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IFERROR(__xludf.DUMMYFUNCTION("""COMPUTED_VALUE"""),80.52)</f>
        <v>80.52</v>
      </c>
      <c r="D112" s="141">
        <f ca="1">IFERROR(__xludf.DUMMYFUNCTION("""COMPUTED_VALUE"""),81.15)</f>
        <v>81.150000000000006</v>
      </c>
      <c r="E112" s="141">
        <f ca="1">IFERROR(__xludf.DUMMYFUNCTION("""COMPUTED_VALUE"""),80.51)</f>
        <v>80.510000000000005</v>
      </c>
      <c r="F112" s="141">
        <f ca="1">IFERROR(__xludf.DUMMYFUNCTION("""COMPUTED_VALUE"""),81)</f>
        <v>81</v>
      </c>
      <c r="G112" s="143">
        <f ca="1">IFERROR(__xludf.DUMMYFUNCTION("""COMPUTED_VALUE"""),1783290)</f>
        <v>1783290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IFERROR(__xludf.DUMMYFUNCTION("""COMPUTED_VALUE"""),81.16)</f>
        <v>81.16</v>
      </c>
      <c r="D113" s="141">
        <f ca="1">IFERROR(__xludf.DUMMYFUNCTION("""COMPUTED_VALUE"""),81.55)</f>
        <v>81.55</v>
      </c>
      <c r="E113" s="141">
        <f ca="1">IFERROR(__xludf.DUMMYFUNCTION("""COMPUTED_VALUE"""),81.08)</f>
        <v>81.08</v>
      </c>
      <c r="F113" s="141">
        <f ca="1">IFERROR(__xludf.DUMMYFUNCTION("""COMPUTED_VALUE"""),81.53)</f>
        <v>81.53</v>
      </c>
      <c r="G113" s="143">
        <f ca="1">IFERROR(__xludf.DUMMYFUNCTION("""COMPUTED_VALUE"""),1305396)</f>
        <v>1305396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IFERROR(__xludf.DUMMYFUNCTION("""COMPUTED_VALUE"""),81.33)</f>
        <v>81.33</v>
      </c>
      <c r="D114" s="141">
        <f ca="1">IFERROR(__xludf.DUMMYFUNCTION("""COMPUTED_VALUE"""),81.51)</f>
        <v>81.510000000000005</v>
      </c>
      <c r="E114" s="141">
        <f ca="1">IFERROR(__xludf.DUMMYFUNCTION("""COMPUTED_VALUE"""),81.09)</f>
        <v>81.09</v>
      </c>
      <c r="F114" s="141">
        <f ca="1">IFERROR(__xludf.DUMMYFUNCTION("""COMPUTED_VALUE"""),81.12)</f>
        <v>81.12</v>
      </c>
      <c r="G114" s="143">
        <f ca="1">IFERROR(__xludf.DUMMYFUNCTION("""COMPUTED_VALUE"""),3126940)</f>
        <v>3126940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IFERROR(__xludf.DUMMYFUNCTION("""COMPUTED_VALUE"""),81.4)</f>
        <v>81.400000000000006</v>
      </c>
      <c r="D115" s="141">
        <f ca="1">IFERROR(__xludf.DUMMYFUNCTION("""COMPUTED_VALUE"""),81.57)</f>
        <v>81.569999999999993</v>
      </c>
      <c r="E115" s="141">
        <f ca="1">IFERROR(__xludf.DUMMYFUNCTION("""COMPUTED_VALUE"""),81.19)</f>
        <v>81.19</v>
      </c>
      <c r="F115" s="141">
        <f ca="1">IFERROR(__xludf.DUMMYFUNCTION("""COMPUTED_VALUE"""),81.49)</f>
        <v>81.489999999999995</v>
      </c>
      <c r="G115" s="143">
        <f ca="1">IFERROR(__xludf.DUMMYFUNCTION("""COMPUTED_VALUE"""),2576469)</f>
        <v>2576469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IFERROR(__xludf.DUMMYFUNCTION("""COMPUTED_VALUE"""),81.6)</f>
        <v>81.599999999999994</v>
      </c>
      <c r="D116" s="141">
        <f ca="1">IFERROR(__xludf.DUMMYFUNCTION("""COMPUTED_VALUE"""),82.08)</f>
        <v>82.08</v>
      </c>
      <c r="E116" s="141">
        <f ca="1">IFERROR(__xludf.DUMMYFUNCTION("""COMPUTED_VALUE"""),81.6)</f>
        <v>81.599999999999994</v>
      </c>
      <c r="F116" s="141">
        <f ca="1">IFERROR(__xludf.DUMMYFUNCTION("""COMPUTED_VALUE"""),82.04)</f>
        <v>82.04</v>
      </c>
      <c r="G116" s="143">
        <f ca="1">IFERROR(__xludf.DUMMYFUNCTION("""COMPUTED_VALUE"""),1909735)</f>
        <v>1909735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IFERROR(__xludf.DUMMYFUNCTION("""COMPUTED_VALUE"""),82.22)</f>
        <v>82.22</v>
      </c>
      <c r="D117" s="141">
        <f ca="1">IFERROR(__xludf.DUMMYFUNCTION("""COMPUTED_VALUE"""),82.31)</f>
        <v>82.31</v>
      </c>
      <c r="E117" s="141">
        <f ca="1">IFERROR(__xludf.DUMMYFUNCTION("""COMPUTED_VALUE"""),81.88)</f>
        <v>81.88</v>
      </c>
      <c r="F117" s="141">
        <f ca="1">IFERROR(__xludf.DUMMYFUNCTION("""COMPUTED_VALUE"""),81.99)</f>
        <v>81.99</v>
      </c>
      <c r="G117" s="143">
        <f ca="1">IFERROR(__xludf.DUMMYFUNCTION("""COMPUTED_VALUE"""),2118484)</f>
        <v>2118484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IFERROR(__xludf.DUMMYFUNCTION("""COMPUTED_VALUE"""),82.32)</f>
        <v>82.32</v>
      </c>
      <c r="D118" s="141">
        <f ca="1">IFERROR(__xludf.DUMMYFUNCTION("""COMPUTED_VALUE"""),82.42)</f>
        <v>82.42</v>
      </c>
      <c r="E118" s="141">
        <f ca="1">IFERROR(__xludf.DUMMYFUNCTION("""COMPUTED_VALUE"""),81.88)</f>
        <v>81.88</v>
      </c>
      <c r="F118" s="141">
        <f ca="1">IFERROR(__xludf.DUMMYFUNCTION("""COMPUTED_VALUE"""),82.02)</f>
        <v>82.02</v>
      </c>
      <c r="G118" s="143">
        <f ca="1">IFERROR(__xludf.DUMMYFUNCTION("""COMPUTED_VALUE"""),1924852)</f>
        <v>1924852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IFERROR(__xludf.DUMMYFUNCTION("""COMPUTED_VALUE"""),82.03)</f>
        <v>82.03</v>
      </c>
      <c r="D119" s="141">
        <f ca="1">IFERROR(__xludf.DUMMYFUNCTION("""COMPUTED_VALUE"""),82.07)</f>
        <v>82.07</v>
      </c>
      <c r="E119" s="141">
        <f ca="1">IFERROR(__xludf.DUMMYFUNCTION("""COMPUTED_VALUE"""),81.68)</f>
        <v>81.680000000000007</v>
      </c>
      <c r="F119" s="141">
        <f ca="1">IFERROR(__xludf.DUMMYFUNCTION("""COMPUTED_VALUE"""),81.83)</f>
        <v>81.83</v>
      </c>
      <c r="G119" s="143">
        <f ca="1">IFERROR(__xludf.DUMMYFUNCTION("""COMPUTED_VALUE"""),1474439)</f>
        <v>1474439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IFERROR(__xludf.DUMMYFUNCTION("""COMPUTED_VALUE"""),81.89)</f>
        <v>81.89</v>
      </c>
      <c r="D120" s="141">
        <f ca="1">IFERROR(__xludf.DUMMYFUNCTION("""COMPUTED_VALUE"""),82)</f>
        <v>82</v>
      </c>
      <c r="E120" s="141">
        <f ca="1">IFERROR(__xludf.DUMMYFUNCTION("""COMPUTED_VALUE"""),81.56)</f>
        <v>81.56</v>
      </c>
      <c r="F120" s="141">
        <f ca="1">IFERROR(__xludf.DUMMYFUNCTION("""COMPUTED_VALUE"""),81.61)</f>
        <v>81.61</v>
      </c>
      <c r="G120" s="143">
        <f ca="1">IFERROR(__xludf.DUMMYFUNCTION("""COMPUTED_VALUE"""),2461668)</f>
        <v>2461668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IFERROR(__xludf.DUMMYFUNCTION("""COMPUTED_VALUE"""),81.79)</f>
        <v>81.790000000000006</v>
      </c>
      <c r="D121" s="141">
        <f ca="1">IFERROR(__xludf.DUMMYFUNCTION("""COMPUTED_VALUE"""),82.75)</f>
        <v>82.75</v>
      </c>
      <c r="E121" s="141">
        <f ca="1">IFERROR(__xludf.DUMMYFUNCTION("""COMPUTED_VALUE"""),81.77)</f>
        <v>81.77</v>
      </c>
      <c r="F121" s="141">
        <f ca="1">IFERROR(__xludf.DUMMYFUNCTION("""COMPUTED_VALUE"""),82.61)</f>
        <v>82.61</v>
      </c>
      <c r="G121" s="143">
        <f ca="1">IFERROR(__xludf.DUMMYFUNCTION("""COMPUTED_VALUE"""),2286984)</f>
        <v>2286984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IFERROR(__xludf.DUMMYFUNCTION("""COMPUTED_VALUE"""),82.98)</f>
        <v>82.98</v>
      </c>
      <c r="D122" s="141">
        <f ca="1">IFERROR(__xludf.DUMMYFUNCTION("""COMPUTED_VALUE"""),83.37)</f>
        <v>83.37</v>
      </c>
      <c r="E122" s="141">
        <f ca="1">IFERROR(__xludf.DUMMYFUNCTION("""COMPUTED_VALUE"""),82.92)</f>
        <v>82.92</v>
      </c>
      <c r="F122" s="141">
        <f ca="1">IFERROR(__xludf.DUMMYFUNCTION("""COMPUTED_VALUE"""),83.23)</f>
        <v>83.23</v>
      </c>
      <c r="G122" s="143">
        <f ca="1">IFERROR(__xludf.DUMMYFUNCTION("""COMPUTED_VALUE"""),2574244)</f>
        <v>2574244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IFERROR(__xludf.DUMMYFUNCTION("""COMPUTED_VALUE"""),83.19)</f>
        <v>83.19</v>
      </c>
      <c r="D123" s="141">
        <f ca="1">IFERROR(__xludf.DUMMYFUNCTION("""COMPUTED_VALUE"""),83.33)</f>
        <v>83.33</v>
      </c>
      <c r="E123" s="141">
        <f ca="1">IFERROR(__xludf.DUMMYFUNCTION("""COMPUTED_VALUE"""),82.41)</f>
        <v>82.41</v>
      </c>
      <c r="F123" s="141">
        <f ca="1">IFERROR(__xludf.DUMMYFUNCTION("""COMPUTED_VALUE"""),82.69)</f>
        <v>82.69</v>
      </c>
      <c r="G123" s="143">
        <f ca="1">IFERROR(__xludf.DUMMYFUNCTION("""COMPUTED_VALUE"""),2223253)</f>
        <v>2223253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IFERROR(__xludf.DUMMYFUNCTION("""COMPUTED_VALUE"""),83.29)</f>
        <v>83.29</v>
      </c>
      <c r="D124" s="141">
        <f ca="1">IFERROR(__xludf.DUMMYFUNCTION("""COMPUTED_VALUE"""),83.44)</f>
        <v>83.44</v>
      </c>
      <c r="E124" s="141">
        <f ca="1">IFERROR(__xludf.DUMMYFUNCTION("""COMPUTED_VALUE"""),83.01)</f>
        <v>83.01</v>
      </c>
      <c r="F124" s="141">
        <f ca="1">IFERROR(__xludf.DUMMYFUNCTION("""COMPUTED_VALUE"""),83.23)</f>
        <v>83.23</v>
      </c>
      <c r="G124" s="143">
        <f ca="1">IFERROR(__xludf.DUMMYFUNCTION("""COMPUTED_VALUE"""),2597095)</f>
        <v>2597095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IFERROR(__xludf.DUMMYFUNCTION("""COMPUTED_VALUE"""),83.31)</f>
        <v>83.31</v>
      </c>
      <c r="D125" s="141">
        <f ca="1">IFERROR(__xludf.DUMMYFUNCTION("""COMPUTED_VALUE"""),83.36)</f>
        <v>83.36</v>
      </c>
      <c r="E125" s="141">
        <f ca="1">IFERROR(__xludf.DUMMYFUNCTION("""COMPUTED_VALUE"""),82.79)</f>
        <v>82.79</v>
      </c>
      <c r="F125" s="141">
        <f ca="1">IFERROR(__xludf.DUMMYFUNCTION("""COMPUTED_VALUE"""),83.05)</f>
        <v>83.05</v>
      </c>
      <c r="G125" s="143">
        <f ca="1">IFERROR(__xludf.DUMMYFUNCTION("""COMPUTED_VALUE"""),2779045)</f>
        <v>2779045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IFERROR(__xludf.DUMMYFUNCTION("""COMPUTED_VALUE"""),82.98)</f>
        <v>82.98</v>
      </c>
      <c r="D126" s="141">
        <f ca="1">IFERROR(__xludf.DUMMYFUNCTION("""COMPUTED_VALUE"""),83.21)</f>
        <v>83.21</v>
      </c>
      <c r="E126" s="141">
        <f ca="1">IFERROR(__xludf.DUMMYFUNCTION("""COMPUTED_VALUE"""),82.58)</f>
        <v>82.58</v>
      </c>
      <c r="F126" s="141">
        <f ca="1">IFERROR(__xludf.DUMMYFUNCTION("""COMPUTED_VALUE"""),82.6)</f>
        <v>82.6</v>
      </c>
      <c r="G126" s="143">
        <f ca="1">IFERROR(__xludf.DUMMYFUNCTION("""COMPUTED_VALUE"""),2186395)</f>
        <v>2186395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IFERROR(__xludf.DUMMYFUNCTION("""COMPUTED_VALUE"""),83.28)</f>
        <v>83.28</v>
      </c>
      <c r="D127" s="141">
        <f ca="1">IFERROR(__xludf.DUMMYFUNCTION("""COMPUTED_VALUE"""),83.63)</f>
        <v>83.63</v>
      </c>
      <c r="E127" s="141">
        <f ca="1">IFERROR(__xludf.DUMMYFUNCTION("""COMPUTED_VALUE"""),83)</f>
        <v>83</v>
      </c>
      <c r="F127" s="141">
        <f ca="1">IFERROR(__xludf.DUMMYFUNCTION("""COMPUTED_VALUE"""),83.19)</f>
        <v>83.19</v>
      </c>
      <c r="G127" s="143">
        <f ca="1">IFERROR(__xludf.DUMMYFUNCTION("""COMPUTED_VALUE"""),2943648)</f>
        <v>2943648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IFERROR(__xludf.DUMMYFUNCTION("""COMPUTED_VALUE"""),82.76)</f>
        <v>82.76</v>
      </c>
      <c r="D128" s="141">
        <f ca="1">IFERROR(__xludf.DUMMYFUNCTION("""COMPUTED_VALUE"""),83.16)</f>
        <v>83.16</v>
      </c>
      <c r="E128" s="141">
        <f ca="1">IFERROR(__xludf.DUMMYFUNCTION("""COMPUTED_VALUE"""),82.74)</f>
        <v>82.74</v>
      </c>
      <c r="F128" s="141">
        <f ca="1">IFERROR(__xludf.DUMMYFUNCTION("""COMPUTED_VALUE"""),82.79)</f>
        <v>82.79</v>
      </c>
      <c r="G128" s="143">
        <f ca="1">IFERROR(__xludf.DUMMYFUNCTION("""COMPUTED_VALUE"""),3560265)</f>
        <v>3560265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IFERROR(__xludf.DUMMYFUNCTION("""COMPUTED_VALUE"""),83)</f>
        <v>83</v>
      </c>
      <c r="D129" s="141">
        <f ca="1">IFERROR(__xludf.DUMMYFUNCTION("""COMPUTED_VALUE"""),83.24)</f>
        <v>83.24</v>
      </c>
      <c r="E129" s="141">
        <f ca="1">IFERROR(__xludf.DUMMYFUNCTION("""COMPUTED_VALUE"""),82.93)</f>
        <v>82.93</v>
      </c>
      <c r="F129" s="141">
        <f ca="1">IFERROR(__xludf.DUMMYFUNCTION("""COMPUTED_VALUE"""),83.23)</f>
        <v>83.23</v>
      </c>
      <c r="G129" s="143">
        <f ca="1">IFERROR(__xludf.DUMMYFUNCTION("""COMPUTED_VALUE"""),3259902)</f>
        <v>3259902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IFERROR(__xludf.DUMMYFUNCTION("""COMPUTED_VALUE"""),83.56)</f>
        <v>83.56</v>
      </c>
      <c r="D130" s="141">
        <f ca="1">IFERROR(__xludf.DUMMYFUNCTION("""COMPUTED_VALUE"""),83.67)</f>
        <v>83.67</v>
      </c>
      <c r="E130" s="141">
        <f ca="1">IFERROR(__xludf.DUMMYFUNCTION("""COMPUTED_VALUE"""),83.44)</f>
        <v>83.44</v>
      </c>
      <c r="F130" s="141">
        <f ca="1">IFERROR(__xludf.DUMMYFUNCTION("""COMPUTED_VALUE"""),83.61)</f>
        <v>83.61</v>
      </c>
      <c r="G130" s="143">
        <f ca="1">IFERROR(__xludf.DUMMYFUNCTION("""COMPUTED_VALUE"""),2678505)</f>
        <v>2678505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IFERROR(__xludf.DUMMYFUNCTION("""COMPUTED_VALUE"""),83.71)</f>
        <v>83.71</v>
      </c>
      <c r="D131" s="141">
        <f ca="1">IFERROR(__xludf.DUMMYFUNCTION("""COMPUTED_VALUE"""),83.88)</f>
        <v>83.88</v>
      </c>
      <c r="E131" s="141">
        <f ca="1">IFERROR(__xludf.DUMMYFUNCTION("""COMPUTED_VALUE"""),83.61)</f>
        <v>83.61</v>
      </c>
      <c r="F131" s="141">
        <f ca="1">IFERROR(__xludf.DUMMYFUNCTION("""COMPUTED_VALUE"""),83.73)</f>
        <v>83.73</v>
      </c>
      <c r="G131" s="143">
        <f ca="1">IFERROR(__xludf.DUMMYFUNCTION("""COMPUTED_VALUE"""),1427877)</f>
        <v>1427877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IFERROR(__xludf.DUMMYFUNCTION("""COMPUTED_VALUE"""),83.86)</f>
        <v>83.86</v>
      </c>
      <c r="D132" s="141">
        <f ca="1">IFERROR(__xludf.DUMMYFUNCTION("""COMPUTED_VALUE"""),83.99)</f>
        <v>83.99</v>
      </c>
      <c r="E132" s="141">
        <f ca="1">IFERROR(__xludf.DUMMYFUNCTION("""COMPUTED_VALUE"""),83.75)</f>
        <v>83.75</v>
      </c>
      <c r="F132" s="141">
        <f ca="1">IFERROR(__xludf.DUMMYFUNCTION("""COMPUTED_VALUE"""),83.97)</f>
        <v>83.97</v>
      </c>
      <c r="G132" s="143">
        <f ca="1">IFERROR(__xludf.DUMMYFUNCTION("""COMPUTED_VALUE"""),1233551)</f>
        <v>1233551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IFERROR(__xludf.DUMMYFUNCTION("""COMPUTED_VALUE"""),83.87)</f>
        <v>83.87</v>
      </c>
      <c r="D133" s="141">
        <f ca="1">IFERROR(__xludf.DUMMYFUNCTION("""COMPUTED_VALUE"""),84)</f>
        <v>84</v>
      </c>
      <c r="E133" s="141">
        <f ca="1">IFERROR(__xludf.DUMMYFUNCTION("""COMPUTED_VALUE"""),83.51)</f>
        <v>83.51</v>
      </c>
      <c r="F133" s="141">
        <f ca="1">IFERROR(__xludf.DUMMYFUNCTION("""COMPUTED_VALUE"""),83.67)</f>
        <v>83.67</v>
      </c>
      <c r="G133" s="143">
        <f ca="1">IFERROR(__xludf.DUMMYFUNCTION("""COMPUTED_VALUE"""),1844020)</f>
        <v>1844020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IFERROR(__xludf.DUMMYFUNCTION("""COMPUTED_VALUE"""),84.06)</f>
        <v>84.06</v>
      </c>
      <c r="D134" s="141">
        <f ca="1">IFERROR(__xludf.DUMMYFUNCTION("""COMPUTED_VALUE"""),84.26)</f>
        <v>84.26</v>
      </c>
      <c r="E134" s="141">
        <f ca="1">IFERROR(__xludf.DUMMYFUNCTION("""COMPUTED_VALUE"""),83.95)</f>
        <v>83.95</v>
      </c>
      <c r="F134" s="141">
        <f ca="1">IFERROR(__xludf.DUMMYFUNCTION("""COMPUTED_VALUE"""),83.95)</f>
        <v>83.95</v>
      </c>
      <c r="G134" s="143">
        <f ca="1">IFERROR(__xludf.DUMMYFUNCTION("""COMPUTED_VALUE"""),1543259)</f>
        <v>1543259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IFERROR(__xludf.DUMMYFUNCTION("""COMPUTED_VALUE"""),83.95)</f>
        <v>83.95</v>
      </c>
      <c r="D135" s="141">
        <f ca="1">IFERROR(__xludf.DUMMYFUNCTION("""COMPUTED_VALUE"""),84)</f>
        <v>84</v>
      </c>
      <c r="E135" s="141">
        <f ca="1">IFERROR(__xludf.DUMMYFUNCTION("""COMPUTED_VALUE"""),83.53)</f>
        <v>83.53</v>
      </c>
      <c r="F135" s="141">
        <f ca="1">IFERROR(__xludf.DUMMYFUNCTION("""COMPUTED_VALUE"""),83.61)</f>
        <v>83.61</v>
      </c>
      <c r="G135" s="143">
        <f ca="1">IFERROR(__xludf.DUMMYFUNCTION("""COMPUTED_VALUE"""),2299771)</f>
        <v>2299771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IFERROR(__xludf.DUMMYFUNCTION("""COMPUTED_VALUE"""),84.42)</f>
        <v>84.42</v>
      </c>
      <c r="D136" s="141">
        <f ca="1">IFERROR(__xludf.DUMMYFUNCTION("""COMPUTED_VALUE"""),84.59)</f>
        <v>84.59</v>
      </c>
      <c r="E136" s="141">
        <f ca="1">IFERROR(__xludf.DUMMYFUNCTION("""COMPUTED_VALUE"""),84.17)</f>
        <v>84.17</v>
      </c>
      <c r="F136" s="141">
        <f ca="1">IFERROR(__xludf.DUMMYFUNCTION("""COMPUTED_VALUE"""),84.56)</f>
        <v>84.56</v>
      </c>
      <c r="G136" s="143">
        <f ca="1">IFERROR(__xludf.DUMMYFUNCTION("""COMPUTED_VALUE"""),4151168)</f>
        <v>4151168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IFERROR(__xludf.DUMMYFUNCTION("""COMPUTED_VALUE"""),84.44)</f>
        <v>84.44</v>
      </c>
      <c r="D137" s="141">
        <f ca="1">IFERROR(__xludf.DUMMYFUNCTION("""COMPUTED_VALUE"""),85.26)</f>
        <v>85.26</v>
      </c>
      <c r="E137" s="141">
        <f ca="1">IFERROR(__xludf.DUMMYFUNCTION("""COMPUTED_VALUE"""),84.42)</f>
        <v>84.42</v>
      </c>
      <c r="F137" s="141">
        <f ca="1">IFERROR(__xludf.DUMMYFUNCTION("""COMPUTED_VALUE"""),85.23)</f>
        <v>85.23</v>
      </c>
      <c r="G137" s="143">
        <f ca="1">IFERROR(__xludf.DUMMYFUNCTION("""COMPUTED_VALUE"""),4803196)</f>
        <v>4803196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IFERROR(__xludf.DUMMYFUNCTION("""COMPUTED_VALUE"""),85.45)</f>
        <v>85.45</v>
      </c>
      <c r="D138" s="141">
        <f ca="1">IFERROR(__xludf.DUMMYFUNCTION("""COMPUTED_VALUE"""),85.62)</f>
        <v>85.62</v>
      </c>
      <c r="E138" s="141">
        <f ca="1">IFERROR(__xludf.DUMMYFUNCTION("""COMPUTED_VALUE"""),85.29)</f>
        <v>85.29</v>
      </c>
      <c r="F138" s="141">
        <f ca="1">IFERROR(__xludf.DUMMYFUNCTION("""COMPUTED_VALUE"""),85.44)</f>
        <v>85.44</v>
      </c>
      <c r="G138" s="143">
        <f ca="1">IFERROR(__xludf.DUMMYFUNCTION("""COMPUTED_VALUE"""),3293040)</f>
        <v>3293040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IFERROR(__xludf.DUMMYFUNCTION("""COMPUTED_VALUE"""),85.3)</f>
        <v>85.3</v>
      </c>
      <c r="D139" s="141">
        <f ca="1">IFERROR(__xludf.DUMMYFUNCTION("""COMPUTED_VALUE"""),85.44)</f>
        <v>85.44</v>
      </c>
      <c r="E139" s="141">
        <f ca="1">IFERROR(__xludf.DUMMYFUNCTION("""COMPUTED_VALUE"""),85.1)</f>
        <v>85.1</v>
      </c>
      <c r="F139" s="141">
        <f ca="1">IFERROR(__xludf.DUMMYFUNCTION("""COMPUTED_VALUE"""),85.19)</f>
        <v>85.19</v>
      </c>
      <c r="G139" s="143">
        <f ca="1">IFERROR(__xludf.DUMMYFUNCTION("""COMPUTED_VALUE"""),4374708)</f>
        <v>4374708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IFERROR(__xludf.DUMMYFUNCTION("""COMPUTED_VALUE"""),84.85)</f>
        <v>84.85</v>
      </c>
      <c r="D140" s="141">
        <f ca="1">IFERROR(__xludf.DUMMYFUNCTION("""COMPUTED_VALUE"""),85.2)</f>
        <v>85.2</v>
      </c>
      <c r="E140" s="141">
        <f ca="1">IFERROR(__xludf.DUMMYFUNCTION("""COMPUTED_VALUE"""),84.82)</f>
        <v>84.82</v>
      </c>
      <c r="F140" s="141">
        <f ca="1">IFERROR(__xludf.DUMMYFUNCTION("""COMPUTED_VALUE"""),85.18)</f>
        <v>85.18</v>
      </c>
      <c r="G140" s="143">
        <f ca="1">IFERROR(__xludf.DUMMYFUNCTION("""COMPUTED_VALUE"""),2509366)</f>
        <v>2509366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IFERROR(__xludf.DUMMYFUNCTION("""COMPUTED_VALUE"""),85.45)</f>
        <v>85.45</v>
      </c>
      <c r="D141" s="141">
        <f ca="1">IFERROR(__xludf.DUMMYFUNCTION("""COMPUTED_VALUE"""),85.83)</f>
        <v>85.83</v>
      </c>
      <c r="E141" s="141">
        <f ca="1">IFERROR(__xludf.DUMMYFUNCTION("""COMPUTED_VALUE"""),85.25)</f>
        <v>85.25</v>
      </c>
      <c r="F141" s="141">
        <f ca="1">IFERROR(__xludf.DUMMYFUNCTION("""COMPUTED_VALUE"""),85.77)</f>
        <v>85.77</v>
      </c>
      <c r="G141" s="143">
        <f ca="1">IFERROR(__xludf.DUMMYFUNCTION("""COMPUTED_VALUE"""),2072126)</f>
        <v>2072126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IFERROR(__xludf.DUMMYFUNCTION("""COMPUTED_VALUE"""),86.03)</f>
        <v>86.03</v>
      </c>
      <c r="D142" s="141">
        <f ca="1">IFERROR(__xludf.DUMMYFUNCTION("""COMPUTED_VALUE"""),86.26)</f>
        <v>86.26</v>
      </c>
      <c r="E142" s="141">
        <f ca="1">IFERROR(__xludf.DUMMYFUNCTION("""COMPUTED_VALUE"""),85.97)</f>
        <v>85.97</v>
      </c>
      <c r="F142" s="141">
        <f ca="1">IFERROR(__xludf.DUMMYFUNCTION("""COMPUTED_VALUE"""),86.24)</f>
        <v>86.24</v>
      </c>
      <c r="G142" s="143">
        <f ca="1">IFERROR(__xludf.DUMMYFUNCTION("""COMPUTED_VALUE"""),3351044)</f>
        <v>3351044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IFERROR(__xludf.DUMMYFUNCTION("""COMPUTED_VALUE"""),86.13)</f>
        <v>86.13</v>
      </c>
      <c r="D143" s="141">
        <f ca="1">IFERROR(__xludf.DUMMYFUNCTION("""COMPUTED_VALUE"""),86.14)</f>
        <v>86.14</v>
      </c>
      <c r="E143" s="141">
        <f ca="1">IFERROR(__xludf.DUMMYFUNCTION("""COMPUTED_VALUE"""),85.64)</f>
        <v>85.64</v>
      </c>
      <c r="F143" s="141">
        <f ca="1">IFERROR(__xludf.DUMMYFUNCTION("""COMPUTED_VALUE"""),85.79)</f>
        <v>85.79</v>
      </c>
      <c r="G143" s="143">
        <f ca="1">IFERROR(__xludf.DUMMYFUNCTION("""COMPUTED_VALUE"""),2447261)</f>
        <v>2447261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IFERROR(__xludf.DUMMYFUNCTION("""COMPUTED_VALUE"""),85.99)</f>
        <v>85.99</v>
      </c>
      <c r="D144" s="141">
        <f ca="1">IFERROR(__xludf.DUMMYFUNCTION("""COMPUTED_VALUE"""),86.14)</f>
        <v>86.14</v>
      </c>
      <c r="E144" s="141">
        <f ca="1">IFERROR(__xludf.DUMMYFUNCTION("""COMPUTED_VALUE"""),85.79)</f>
        <v>85.79</v>
      </c>
      <c r="F144" s="141">
        <f ca="1">IFERROR(__xludf.DUMMYFUNCTION("""COMPUTED_VALUE"""),86.12)</f>
        <v>86.12</v>
      </c>
      <c r="G144" s="143">
        <f ca="1">IFERROR(__xludf.DUMMYFUNCTION("""COMPUTED_VALUE"""),3671759)</f>
        <v>3671759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IFERROR(__xludf.DUMMYFUNCTION("""COMPUTED_VALUE"""),86.14)</f>
        <v>86.14</v>
      </c>
      <c r="D145" s="141">
        <f ca="1">IFERROR(__xludf.DUMMYFUNCTION("""COMPUTED_VALUE"""),86.25)</f>
        <v>86.25</v>
      </c>
      <c r="E145" s="141">
        <f ca="1">IFERROR(__xludf.DUMMYFUNCTION("""COMPUTED_VALUE"""),85.87)</f>
        <v>85.87</v>
      </c>
      <c r="F145" s="141">
        <f ca="1">IFERROR(__xludf.DUMMYFUNCTION("""COMPUTED_VALUE"""),85.91)</f>
        <v>85.91</v>
      </c>
      <c r="G145" s="143">
        <f ca="1">IFERROR(__xludf.DUMMYFUNCTION("""COMPUTED_VALUE"""),2715173)</f>
        <v>2715173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IFERROR(__xludf.DUMMYFUNCTION("""COMPUTED_VALUE"""),86.13)</f>
        <v>86.13</v>
      </c>
      <c r="D146" s="141">
        <f ca="1">IFERROR(__xludf.DUMMYFUNCTION("""COMPUTED_VALUE"""),86.22)</f>
        <v>86.22</v>
      </c>
      <c r="E146" s="141">
        <f ca="1">IFERROR(__xludf.DUMMYFUNCTION("""COMPUTED_VALUE"""),85.74)</f>
        <v>85.74</v>
      </c>
      <c r="F146" s="141">
        <f ca="1">IFERROR(__xludf.DUMMYFUNCTION("""COMPUTED_VALUE"""),86.17)</f>
        <v>86.17</v>
      </c>
      <c r="G146" s="143">
        <f ca="1">IFERROR(__xludf.DUMMYFUNCTION("""COMPUTED_VALUE"""),1799601)</f>
        <v>1799601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IFERROR(__xludf.DUMMYFUNCTION("""COMPUTED_VALUE"""),84.97)</f>
        <v>84.97</v>
      </c>
      <c r="D147" s="141">
        <f ca="1">IFERROR(__xludf.DUMMYFUNCTION("""COMPUTED_VALUE"""),85.54)</f>
        <v>85.54</v>
      </c>
      <c r="E147" s="141">
        <f ca="1">IFERROR(__xludf.DUMMYFUNCTION("""COMPUTED_VALUE"""),84.81)</f>
        <v>84.81</v>
      </c>
      <c r="F147" s="141">
        <f ca="1">IFERROR(__xludf.DUMMYFUNCTION("""COMPUTED_VALUE"""),84.96)</f>
        <v>84.96</v>
      </c>
      <c r="G147" s="143">
        <f ca="1">IFERROR(__xludf.DUMMYFUNCTION("""COMPUTED_VALUE"""),3977899)</f>
        <v>3977899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IFERROR(__xludf.DUMMYFUNCTION("""COMPUTED_VALUE"""),85.16)</f>
        <v>85.16</v>
      </c>
      <c r="D148" s="141">
        <f ca="1">IFERROR(__xludf.DUMMYFUNCTION("""COMPUTED_VALUE"""),86.05)</f>
        <v>86.05</v>
      </c>
      <c r="E148" s="141">
        <f ca="1">IFERROR(__xludf.DUMMYFUNCTION("""COMPUTED_VALUE"""),84.72)</f>
        <v>84.72</v>
      </c>
      <c r="F148" s="141">
        <f ca="1">IFERROR(__xludf.DUMMYFUNCTION("""COMPUTED_VALUE"""),85.81)</f>
        <v>85.81</v>
      </c>
      <c r="G148" s="143">
        <f ca="1">IFERROR(__xludf.DUMMYFUNCTION("""COMPUTED_VALUE"""),4563652)</f>
        <v>4563652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IFERROR(__xludf.DUMMYFUNCTION("""COMPUTED_VALUE"""),86.25)</f>
        <v>86.25</v>
      </c>
      <c r="D149" s="141">
        <f ca="1">IFERROR(__xludf.DUMMYFUNCTION("""COMPUTED_VALUE"""),86.52)</f>
        <v>86.52</v>
      </c>
      <c r="E149" s="141">
        <f ca="1">IFERROR(__xludf.DUMMYFUNCTION("""COMPUTED_VALUE"""),86.02)</f>
        <v>86.02</v>
      </c>
      <c r="F149" s="141">
        <f ca="1">IFERROR(__xludf.DUMMYFUNCTION("""COMPUTED_VALUE"""),86.32)</f>
        <v>86.32</v>
      </c>
      <c r="G149" s="143">
        <f ca="1">IFERROR(__xludf.DUMMYFUNCTION("""COMPUTED_VALUE"""),2398342)</f>
        <v>2398342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IFERROR(__xludf.DUMMYFUNCTION("""COMPUTED_VALUE"""),86.24)</f>
        <v>86.24</v>
      </c>
      <c r="D150" s="141">
        <f ca="1">IFERROR(__xludf.DUMMYFUNCTION("""COMPUTED_VALUE"""),86.95)</f>
        <v>86.95</v>
      </c>
      <c r="E150" s="141">
        <f ca="1">IFERROR(__xludf.DUMMYFUNCTION("""COMPUTED_VALUE"""),86.01)</f>
        <v>86.01</v>
      </c>
      <c r="F150" s="141">
        <f ca="1">IFERROR(__xludf.DUMMYFUNCTION("""COMPUTED_VALUE"""),86.93)</f>
        <v>86.93</v>
      </c>
      <c r="G150" s="143">
        <f ca="1">IFERROR(__xludf.DUMMYFUNCTION("""COMPUTED_VALUE"""),1905161)</f>
        <v>1905161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IFERROR(__xludf.DUMMYFUNCTION("""COMPUTED_VALUE"""),87.37)</f>
        <v>87.37</v>
      </c>
      <c r="D151" s="141">
        <f ca="1">IFERROR(__xludf.DUMMYFUNCTION("""COMPUTED_VALUE"""),87.72)</f>
        <v>87.72</v>
      </c>
      <c r="E151" s="141">
        <f ca="1">IFERROR(__xludf.DUMMYFUNCTION("""COMPUTED_VALUE"""),87.37)</f>
        <v>87.37</v>
      </c>
      <c r="F151" s="141">
        <f ca="1">IFERROR(__xludf.DUMMYFUNCTION("""COMPUTED_VALUE"""),87.51)</f>
        <v>87.51</v>
      </c>
      <c r="G151" s="143">
        <f ca="1">IFERROR(__xludf.DUMMYFUNCTION("""COMPUTED_VALUE"""),3151217)</f>
        <v>3151217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IFERROR(__xludf.DUMMYFUNCTION("""COMPUTED_VALUE"""),88.3)</f>
        <v>88.3</v>
      </c>
      <c r="D152" s="141">
        <f ca="1">IFERROR(__xludf.DUMMYFUNCTION("""COMPUTED_VALUE"""),89.16)</f>
        <v>89.16</v>
      </c>
      <c r="E152" s="141">
        <f ca="1">IFERROR(__xludf.DUMMYFUNCTION("""COMPUTED_VALUE"""),88.28)</f>
        <v>88.28</v>
      </c>
      <c r="F152" s="141">
        <f ca="1">IFERROR(__xludf.DUMMYFUNCTION("""COMPUTED_VALUE"""),88.91)</f>
        <v>88.91</v>
      </c>
      <c r="G152" s="143">
        <f ca="1">IFERROR(__xludf.DUMMYFUNCTION("""COMPUTED_VALUE"""),3455319)</f>
        <v>3455319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IFERROR(__xludf.DUMMYFUNCTION("""COMPUTED_VALUE"""),88.12)</f>
        <v>88.12</v>
      </c>
      <c r="D153" s="141">
        <f ca="1">IFERROR(__xludf.DUMMYFUNCTION("""COMPUTED_VALUE"""),88.26)</f>
        <v>88.26</v>
      </c>
      <c r="E153" s="141">
        <f ca="1">IFERROR(__xludf.DUMMYFUNCTION("""COMPUTED_VALUE"""),87.44)</f>
        <v>87.44</v>
      </c>
      <c r="F153" s="141">
        <f ca="1">IFERROR(__xludf.DUMMYFUNCTION("""COMPUTED_VALUE"""),87.85)</f>
        <v>87.85</v>
      </c>
      <c r="G153" s="143">
        <f ca="1">IFERROR(__xludf.DUMMYFUNCTION("""COMPUTED_VALUE"""),4232753)</f>
        <v>4232753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IFERROR(__xludf.DUMMYFUNCTION("""COMPUTED_VALUE"""),88.62)</f>
        <v>88.62</v>
      </c>
      <c r="D154" s="141">
        <f ca="1">IFERROR(__xludf.DUMMYFUNCTION("""COMPUTED_VALUE"""),88.69)</f>
        <v>88.69</v>
      </c>
      <c r="E154" s="141">
        <f ca="1">IFERROR(__xludf.DUMMYFUNCTION("""COMPUTED_VALUE"""),87.41)</f>
        <v>87.41</v>
      </c>
      <c r="F154" s="141">
        <f ca="1">IFERROR(__xludf.DUMMYFUNCTION("""COMPUTED_VALUE"""),88.32)</f>
        <v>88.32</v>
      </c>
      <c r="G154" s="143">
        <f ca="1">IFERROR(__xludf.DUMMYFUNCTION("""COMPUTED_VALUE"""),4904794)</f>
        <v>4904794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IFERROR(__xludf.DUMMYFUNCTION("""COMPUTED_VALUE"""),87.96)</f>
        <v>87.96</v>
      </c>
      <c r="D155" s="141">
        <f ca="1">IFERROR(__xludf.DUMMYFUNCTION("""COMPUTED_VALUE"""),88.12)</f>
        <v>88.12</v>
      </c>
      <c r="E155" s="141">
        <f ca="1">IFERROR(__xludf.DUMMYFUNCTION("""COMPUTED_VALUE"""),87.11)</f>
        <v>87.11</v>
      </c>
      <c r="F155" s="141">
        <f ca="1">IFERROR(__xludf.DUMMYFUNCTION("""COMPUTED_VALUE"""),87.5)</f>
        <v>87.5</v>
      </c>
      <c r="G155" s="143">
        <f ca="1">IFERROR(__xludf.DUMMYFUNCTION("""COMPUTED_VALUE"""),7946090)</f>
        <v>7946090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IFERROR(__xludf.DUMMYFUNCTION("""COMPUTED_VALUE"""),87.81)</f>
        <v>87.81</v>
      </c>
      <c r="D156" s="141">
        <f ca="1">IFERROR(__xludf.DUMMYFUNCTION("""COMPUTED_VALUE"""),88.27)</f>
        <v>88.27</v>
      </c>
      <c r="E156" s="141">
        <f ca="1">IFERROR(__xludf.DUMMYFUNCTION("""COMPUTED_VALUE"""),87.76)</f>
        <v>87.76</v>
      </c>
      <c r="F156" s="141">
        <f ca="1">IFERROR(__xludf.DUMMYFUNCTION("""COMPUTED_VALUE"""),88.2)</f>
        <v>88.2</v>
      </c>
      <c r="G156" s="143">
        <f ca="1">IFERROR(__xludf.DUMMYFUNCTION("""COMPUTED_VALUE"""),3278136)</f>
        <v>3278136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IFERROR(__xludf.DUMMYFUNCTION("""COMPUTED_VALUE"""),87.65)</f>
        <v>87.65</v>
      </c>
      <c r="D157" s="141">
        <f ca="1">IFERROR(__xludf.DUMMYFUNCTION("""COMPUTED_VALUE"""),88.17)</f>
        <v>88.17</v>
      </c>
      <c r="E157" s="141">
        <f ca="1">IFERROR(__xludf.DUMMYFUNCTION("""COMPUTED_VALUE"""),87.26)</f>
        <v>87.26</v>
      </c>
      <c r="F157" s="141">
        <f ca="1">IFERROR(__xludf.DUMMYFUNCTION("""COMPUTED_VALUE"""),87.87)</f>
        <v>87.87</v>
      </c>
      <c r="G157" s="143">
        <f ca="1">IFERROR(__xludf.DUMMYFUNCTION("""COMPUTED_VALUE"""),3918868)</f>
        <v>3918868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IFERROR(__xludf.DUMMYFUNCTION("""COMPUTED_VALUE"""),88.63)</f>
        <v>88.63</v>
      </c>
      <c r="D158" s="141">
        <f ca="1">IFERROR(__xludf.DUMMYFUNCTION("""COMPUTED_VALUE"""),88.84)</f>
        <v>88.84</v>
      </c>
      <c r="E158" s="141">
        <f ca="1">IFERROR(__xludf.DUMMYFUNCTION("""COMPUTED_VALUE"""),87.65)</f>
        <v>87.65</v>
      </c>
      <c r="F158" s="141">
        <f ca="1">IFERROR(__xludf.DUMMYFUNCTION("""COMPUTED_VALUE"""),87.99)</f>
        <v>87.99</v>
      </c>
      <c r="G158" s="143">
        <f ca="1">IFERROR(__xludf.DUMMYFUNCTION("""COMPUTED_VALUE"""),3701673)</f>
        <v>3701673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IFERROR(__xludf.DUMMYFUNCTION("""COMPUTED_VALUE"""),87.08)</f>
        <v>87.08</v>
      </c>
      <c r="D159" s="141">
        <f ca="1">IFERROR(__xludf.DUMMYFUNCTION("""COMPUTED_VALUE"""),87.51)</f>
        <v>87.51</v>
      </c>
      <c r="E159" s="141">
        <f ca="1">IFERROR(__xludf.DUMMYFUNCTION("""COMPUTED_VALUE"""),86.75)</f>
        <v>86.75</v>
      </c>
      <c r="F159" s="141">
        <f ca="1">IFERROR(__xludf.DUMMYFUNCTION("""COMPUTED_VALUE"""),86.77)</f>
        <v>86.77</v>
      </c>
      <c r="G159" s="143">
        <f ca="1">IFERROR(__xludf.DUMMYFUNCTION("""COMPUTED_VALUE"""),3019093)</f>
        <v>3019093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IFERROR(__xludf.DUMMYFUNCTION("""COMPUTED_VALUE"""),87.6)</f>
        <v>87.6</v>
      </c>
      <c r="D160" s="141">
        <f ca="1">IFERROR(__xludf.DUMMYFUNCTION("""COMPUTED_VALUE"""),88.5)</f>
        <v>88.5</v>
      </c>
      <c r="E160" s="141">
        <f ca="1">IFERROR(__xludf.DUMMYFUNCTION("""COMPUTED_VALUE"""),87.58)</f>
        <v>87.58</v>
      </c>
      <c r="F160" s="141">
        <f ca="1">IFERROR(__xludf.DUMMYFUNCTION("""COMPUTED_VALUE"""),88.49)</f>
        <v>88.49</v>
      </c>
      <c r="G160" s="143">
        <f ca="1">IFERROR(__xludf.DUMMYFUNCTION("""COMPUTED_VALUE"""),2201889)</f>
        <v>2201889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IFERROR(__xludf.DUMMYFUNCTION("""COMPUTED_VALUE"""),88.94)</f>
        <v>88.94</v>
      </c>
      <c r="D161" s="141">
        <f ca="1">IFERROR(__xludf.DUMMYFUNCTION("""COMPUTED_VALUE"""),89.6)</f>
        <v>89.6</v>
      </c>
      <c r="E161" s="141">
        <f ca="1">IFERROR(__xludf.DUMMYFUNCTION("""COMPUTED_VALUE"""),88.74)</f>
        <v>88.74</v>
      </c>
      <c r="F161" s="141">
        <f ca="1">IFERROR(__xludf.DUMMYFUNCTION("""COMPUTED_VALUE"""),89.47)</f>
        <v>89.47</v>
      </c>
      <c r="G161" s="143">
        <f ca="1">IFERROR(__xludf.DUMMYFUNCTION("""COMPUTED_VALUE"""),2941965)</f>
        <v>2941965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IFERROR(__xludf.DUMMYFUNCTION("""COMPUTED_VALUE"""),89.61)</f>
        <v>89.61</v>
      </c>
      <c r="D162" s="141">
        <f ca="1">IFERROR(__xludf.DUMMYFUNCTION("""COMPUTED_VALUE"""),89.63)</f>
        <v>89.63</v>
      </c>
      <c r="E162" s="141">
        <f ca="1">IFERROR(__xludf.DUMMYFUNCTION("""COMPUTED_VALUE"""),89.19)</f>
        <v>89.19</v>
      </c>
      <c r="F162" s="141">
        <f ca="1">IFERROR(__xludf.DUMMYFUNCTION("""COMPUTED_VALUE"""),89.22)</f>
        <v>89.22</v>
      </c>
      <c r="G162" s="143">
        <f ca="1">IFERROR(__xludf.DUMMYFUNCTION("""COMPUTED_VALUE"""),4696030)</f>
        <v>4696030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IFERROR(__xludf.DUMMYFUNCTION("""COMPUTED_VALUE"""),89.43)</f>
        <v>89.43</v>
      </c>
      <c r="D163" s="141">
        <f ca="1">IFERROR(__xludf.DUMMYFUNCTION("""COMPUTED_VALUE"""),89.65)</f>
        <v>89.65</v>
      </c>
      <c r="E163" s="141">
        <f ca="1">IFERROR(__xludf.DUMMYFUNCTION("""COMPUTED_VALUE"""),88.82)</f>
        <v>88.82</v>
      </c>
      <c r="F163" s="141">
        <f ca="1">IFERROR(__xludf.DUMMYFUNCTION("""COMPUTED_VALUE"""),89.45)</f>
        <v>89.45</v>
      </c>
      <c r="G163" s="143">
        <f ca="1">IFERROR(__xludf.DUMMYFUNCTION("""COMPUTED_VALUE"""),2300672)</f>
        <v>2300672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IFERROR(__xludf.DUMMYFUNCTION("""COMPUTED_VALUE"""),89.67)</f>
        <v>89.67</v>
      </c>
      <c r="D164" s="141">
        <f ca="1">IFERROR(__xludf.DUMMYFUNCTION("""COMPUTED_VALUE"""),89.69)</f>
        <v>89.69</v>
      </c>
      <c r="E164" s="141">
        <f ca="1">IFERROR(__xludf.DUMMYFUNCTION("""COMPUTED_VALUE"""),88.43)</f>
        <v>88.43</v>
      </c>
      <c r="F164" s="141">
        <f ca="1">IFERROR(__xludf.DUMMYFUNCTION("""COMPUTED_VALUE"""),88.75)</f>
        <v>88.75</v>
      </c>
      <c r="G164" s="143">
        <f ca="1">IFERROR(__xludf.DUMMYFUNCTION("""COMPUTED_VALUE"""),4182454)</f>
        <v>4182454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IFERROR(__xludf.DUMMYFUNCTION("""COMPUTED_VALUE"""),88.52)</f>
        <v>88.52</v>
      </c>
      <c r="D165" s="141">
        <f ca="1">IFERROR(__xludf.DUMMYFUNCTION("""COMPUTED_VALUE"""),88.92)</f>
        <v>88.92</v>
      </c>
      <c r="E165" s="141">
        <f ca="1">IFERROR(__xludf.DUMMYFUNCTION("""COMPUTED_VALUE"""),88.13)</f>
        <v>88.13</v>
      </c>
      <c r="F165" s="141">
        <f ca="1">IFERROR(__xludf.DUMMYFUNCTION("""COMPUTED_VALUE"""),88.7)</f>
        <v>88.7</v>
      </c>
      <c r="G165" s="143">
        <f ca="1">IFERROR(__xludf.DUMMYFUNCTION("""COMPUTED_VALUE"""),2983613)</f>
        <v>2983613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IFERROR(__xludf.DUMMYFUNCTION("""COMPUTED_VALUE"""),88.4)</f>
        <v>88.4</v>
      </c>
      <c r="D166" s="141">
        <f ca="1">IFERROR(__xludf.DUMMYFUNCTION("""COMPUTED_VALUE"""),89.28)</f>
        <v>89.28</v>
      </c>
      <c r="E166" s="141">
        <f ca="1">IFERROR(__xludf.DUMMYFUNCTION("""COMPUTED_VALUE"""),88.18)</f>
        <v>88.18</v>
      </c>
      <c r="F166" s="141">
        <f ca="1">IFERROR(__xludf.DUMMYFUNCTION("""COMPUTED_VALUE"""),89.23)</f>
        <v>89.23</v>
      </c>
      <c r="G166" s="143">
        <f ca="1">IFERROR(__xludf.DUMMYFUNCTION("""COMPUTED_VALUE"""),2533921)</f>
        <v>2533921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IFERROR(__xludf.DUMMYFUNCTION("""COMPUTED_VALUE"""),89.55)</f>
        <v>89.55</v>
      </c>
      <c r="D167" s="141">
        <f ca="1">IFERROR(__xludf.DUMMYFUNCTION("""COMPUTED_VALUE"""),89.95)</f>
        <v>89.95</v>
      </c>
      <c r="E167" s="141">
        <f ca="1">IFERROR(__xludf.DUMMYFUNCTION("""COMPUTED_VALUE"""),89.31)</f>
        <v>89.31</v>
      </c>
      <c r="F167" s="141">
        <f ca="1">IFERROR(__xludf.DUMMYFUNCTION("""COMPUTED_VALUE"""),89.53)</f>
        <v>89.53</v>
      </c>
      <c r="G167" s="143">
        <f ca="1">IFERROR(__xludf.DUMMYFUNCTION("""COMPUTED_VALUE"""),2242373)</f>
        <v>2242373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IFERROR(__xludf.DUMMYFUNCTION("""COMPUTED_VALUE"""),88.88)</f>
        <v>88.88</v>
      </c>
      <c r="D168" s="141">
        <f ca="1">IFERROR(__xludf.DUMMYFUNCTION("""COMPUTED_VALUE"""),89.14)</f>
        <v>89.14</v>
      </c>
      <c r="E168" s="141">
        <f ca="1">IFERROR(__xludf.DUMMYFUNCTION("""COMPUTED_VALUE"""),88.54)</f>
        <v>88.54</v>
      </c>
      <c r="F168" s="141">
        <f ca="1">IFERROR(__xludf.DUMMYFUNCTION("""COMPUTED_VALUE"""),89.14)</f>
        <v>89.14</v>
      </c>
      <c r="G168" s="143">
        <f ca="1">IFERROR(__xludf.DUMMYFUNCTION("""COMPUTED_VALUE"""),2321517)</f>
        <v>2321517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IFERROR(__xludf.DUMMYFUNCTION("""COMPUTED_VALUE"""),89.32)</f>
        <v>89.32</v>
      </c>
      <c r="D169" s="141">
        <f ca="1">IFERROR(__xludf.DUMMYFUNCTION("""COMPUTED_VALUE"""),90.11)</f>
        <v>90.11</v>
      </c>
      <c r="E169" s="141">
        <f ca="1">IFERROR(__xludf.DUMMYFUNCTION("""COMPUTED_VALUE"""),89.22)</f>
        <v>89.22</v>
      </c>
      <c r="F169" s="141">
        <f ca="1">IFERROR(__xludf.DUMMYFUNCTION("""COMPUTED_VALUE"""),90.01)</f>
        <v>90.01</v>
      </c>
      <c r="G169" s="143">
        <f ca="1">IFERROR(__xludf.DUMMYFUNCTION("""COMPUTED_VALUE"""),3606688)</f>
        <v>3606688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IFERROR(__xludf.DUMMYFUNCTION("""COMPUTED_VALUE"""),90.01)</f>
        <v>90.01</v>
      </c>
      <c r="D170" s="141">
        <f ca="1">IFERROR(__xludf.DUMMYFUNCTION("""COMPUTED_VALUE"""),90.07)</f>
        <v>90.07</v>
      </c>
      <c r="E170" s="141">
        <f ca="1">IFERROR(__xludf.DUMMYFUNCTION("""COMPUTED_VALUE"""),89.26)</f>
        <v>89.26</v>
      </c>
      <c r="F170" s="141">
        <f ca="1">IFERROR(__xludf.DUMMYFUNCTION("""COMPUTED_VALUE"""),89.49)</f>
        <v>89.49</v>
      </c>
      <c r="G170" s="143">
        <f ca="1">IFERROR(__xludf.DUMMYFUNCTION("""COMPUTED_VALUE"""),2753605)</f>
        <v>2753605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IFERROR(__xludf.DUMMYFUNCTION("""COMPUTED_VALUE"""),89.57)</f>
        <v>89.57</v>
      </c>
      <c r="D171" s="141">
        <f ca="1">IFERROR(__xludf.DUMMYFUNCTION("""COMPUTED_VALUE"""),89.96)</f>
        <v>89.96</v>
      </c>
      <c r="E171" s="141">
        <f ca="1">IFERROR(__xludf.DUMMYFUNCTION("""COMPUTED_VALUE"""),89.46)</f>
        <v>89.46</v>
      </c>
      <c r="F171" s="141">
        <f ca="1">IFERROR(__xludf.DUMMYFUNCTION("""COMPUTED_VALUE"""),89.73)</f>
        <v>89.73</v>
      </c>
      <c r="G171" s="143">
        <f ca="1">IFERROR(__xludf.DUMMYFUNCTION("""COMPUTED_VALUE"""),3274751)</f>
        <v>3274751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IFERROR(__xludf.DUMMYFUNCTION("""COMPUTED_VALUE"""),90.16)</f>
        <v>90.16</v>
      </c>
      <c r="D172" s="141">
        <f ca="1">IFERROR(__xludf.DUMMYFUNCTION("""COMPUTED_VALUE"""),90.6)</f>
        <v>90.6</v>
      </c>
      <c r="E172" s="141">
        <f ca="1">IFERROR(__xludf.DUMMYFUNCTION("""COMPUTED_VALUE"""),90.06)</f>
        <v>90.06</v>
      </c>
      <c r="F172" s="141">
        <f ca="1">IFERROR(__xludf.DUMMYFUNCTION("""COMPUTED_VALUE"""),90.49)</f>
        <v>90.49</v>
      </c>
      <c r="G172" s="143">
        <f ca="1">IFERROR(__xludf.DUMMYFUNCTION("""COMPUTED_VALUE"""),2685635)</f>
        <v>2685635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IFERROR(__xludf.DUMMYFUNCTION("""COMPUTED_VALUE"""),90.54)</f>
        <v>90.54</v>
      </c>
      <c r="D173" s="141">
        <f ca="1">IFERROR(__xludf.DUMMYFUNCTION("""COMPUTED_VALUE"""),90.55)</f>
        <v>90.55</v>
      </c>
      <c r="E173" s="141">
        <f ca="1">IFERROR(__xludf.DUMMYFUNCTION("""COMPUTED_VALUE"""),89.85)</f>
        <v>89.85</v>
      </c>
      <c r="F173" s="141">
        <f ca="1">IFERROR(__xludf.DUMMYFUNCTION("""COMPUTED_VALUE"""),90.43)</f>
        <v>90.43</v>
      </c>
      <c r="G173" s="143">
        <f ca="1">IFERROR(__xludf.DUMMYFUNCTION("""COMPUTED_VALUE"""),2941976)</f>
        <v>2941976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IFERROR(__xludf.DUMMYFUNCTION("""COMPUTED_VALUE"""),90.39)</f>
        <v>90.39</v>
      </c>
      <c r="D174" s="141">
        <f ca="1">IFERROR(__xludf.DUMMYFUNCTION("""COMPUTED_VALUE"""),90.75)</f>
        <v>90.75</v>
      </c>
      <c r="E174" s="141">
        <f ca="1">IFERROR(__xludf.DUMMYFUNCTION("""COMPUTED_VALUE"""),90.1)</f>
        <v>90.1</v>
      </c>
      <c r="F174" s="141">
        <f ca="1">IFERROR(__xludf.DUMMYFUNCTION("""COMPUTED_VALUE"""),90.17)</f>
        <v>90.17</v>
      </c>
      <c r="G174" s="143">
        <f ca="1">IFERROR(__xludf.DUMMYFUNCTION("""COMPUTED_VALUE"""),4001722)</f>
        <v>4001722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IFERROR(__xludf.DUMMYFUNCTION("""COMPUTED_VALUE"""),88.03)</f>
        <v>88.03</v>
      </c>
      <c r="D175" s="141">
        <f ca="1">IFERROR(__xludf.DUMMYFUNCTION("""COMPUTED_VALUE"""),88.71)</f>
        <v>88.71</v>
      </c>
      <c r="E175" s="141">
        <f ca="1">IFERROR(__xludf.DUMMYFUNCTION("""COMPUTED_VALUE"""),87.88)</f>
        <v>87.88</v>
      </c>
      <c r="F175" s="141">
        <f ca="1">IFERROR(__xludf.DUMMYFUNCTION("""COMPUTED_VALUE"""),88.27)</f>
        <v>88.27</v>
      </c>
      <c r="G175" s="143">
        <f ca="1">IFERROR(__xludf.DUMMYFUNCTION("""COMPUTED_VALUE"""),4570268)</f>
        <v>4570268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IFERROR(__xludf.DUMMYFUNCTION("""COMPUTED_VALUE"""),84.53)</f>
        <v>84.53</v>
      </c>
      <c r="D176" s="141">
        <f ca="1">IFERROR(__xludf.DUMMYFUNCTION("""COMPUTED_VALUE"""),85.99)</f>
        <v>85.99</v>
      </c>
      <c r="E176" s="141">
        <f ca="1">IFERROR(__xludf.DUMMYFUNCTION("""COMPUTED_VALUE"""),83.85)</f>
        <v>83.85</v>
      </c>
      <c r="F176" s="141">
        <f ca="1">IFERROR(__xludf.DUMMYFUNCTION("""COMPUTED_VALUE"""),85.61)</f>
        <v>85.61</v>
      </c>
      <c r="G176" s="143">
        <f ca="1">IFERROR(__xludf.DUMMYFUNCTION("""COMPUTED_VALUE"""),7768362)</f>
        <v>7768362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IFERROR(__xludf.DUMMYFUNCTION("""COMPUTED_VALUE"""),86.28)</f>
        <v>86.28</v>
      </c>
      <c r="D177" s="141">
        <f ca="1">IFERROR(__xludf.DUMMYFUNCTION("""COMPUTED_VALUE"""),86.69)</f>
        <v>86.69</v>
      </c>
      <c r="E177" s="141">
        <f ca="1">IFERROR(__xludf.DUMMYFUNCTION("""COMPUTED_VALUE"""),85.92)</f>
        <v>85.92</v>
      </c>
      <c r="F177" s="141">
        <f ca="1">IFERROR(__xludf.DUMMYFUNCTION("""COMPUTED_VALUE"""),86.59)</f>
        <v>86.59</v>
      </c>
      <c r="G177" s="143">
        <f ca="1">IFERROR(__xludf.DUMMYFUNCTION("""COMPUTED_VALUE"""),5222982)</f>
        <v>5222982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IFERROR(__xludf.DUMMYFUNCTION("""COMPUTED_VALUE"""),85.48)</f>
        <v>85.48</v>
      </c>
      <c r="D178" s="141">
        <f ca="1">IFERROR(__xludf.DUMMYFUNCTION("""COMPUTED_VALUE"""),85.85)</f>
        <v>85.85</v>
      </c>
      <c r="E178" s="141">
        <f ca="1">IFERROR(__xludf.DUMMYFUNCTION("""COMPUTED_VALUE"""),84.11)</f>
        <v>84.11</v>
      </c>
      <c r="F178" s="141">
        <f ca="1">IFERROR(__xludf.DUMMYFUNCTION("""COMPUTED_VALUE"""),84.85)</f>
        <v>84.85</v>
      </c>
      <c r="G178" s="143">
        <f ca="1">IFERROR(__xludf.DUMMYFUNCTION("""COMPUTED_VALUE"""),6964957)</f>
        <v>6964957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IFERROR(__xludf.DUMMYFUNCTION("""COMPUTED_VALUE"""),83.22)</f>
        <v>83.22</v>
      </c>
      <c r="D179" s="141">
        <f ca="1">IFERROR(__xludf.DUMMYFUNCTION("""COMPUTED_VALUE"""),84.57)</f>
        <v>84.57</v>
      </c>
      <c r="E179" s="141">
        <f ca="1">IFERROR(__xludf.DUMMYFUNCTION("""COMPUTED_VALUE"""),82.97)</f>
        <v>82.97</v>
      </c>
      <c r="F179" s="141">
        <f ca="1">IFERROR(__xludf.DUMMYFUNCTION("""COMPUTED_VALUE"""),84.25)</f>
        <v>84.25</v>
      </c>
      <c r="G179" s="143">
        <f ca="1">IFERROR(__xludf.DUMMYFUNCTION("""COMPUTED_VALUE"""),4213371)</f>
        <v>4213371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IFERROR(__xludf.DUMMYFUNCTION("""COMPUTED_VALUE"""),82.7)</f>
        <v>82.7</v>
      </c>
      <c r="D180" s="141">
        <f ca="1">IFERROR(__xludf.DUMMYFUNCTION("""COMPUTED_VALUE"""),85)</f>
        <v>85</v>
      </c>
      <c r="E180" s="141">
        <f ca="1">IFERROR(__xludf.DUMMYFUNCTION("""COMPUTED_VALUE"""),82.04)</f>
        <v>82.04</v>
      </c>
      <c r="F180" s="141">
        <f ca="1">IFERROR(__xludf.DUMMYFUNCTION("""COMPUTED_VALUE"""),84.64)</f>
        <v>84.64</v>
      </c>
      <c r="G180" s="143">
        <f ca="1">IFERROR(__xludf.DUMMYFUNCTION("""COMPUTED_VALUE"""),6083787)</f>
        <v>6083787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IFERROR(__xludf.DUMMYFUNCTION("""COMPUTED_VALUE"""),85.27)</f>
        <v>85.27</v>
      </c>
      <c r="D181" s="141">
        <f ca="1">IFERROR(__xludf.DUMMYFUNCTION("""COMPUTED_VALUE"""),86)</f>
        <v>86</v>
      </c>
      <c r="E181" s="141">
        <f ca="1">IFERROR(__xludf.DUMMYFUNCTION("""COMPUTED_VALUE"""),84.53)</f>
        <v>84.53</v>
      </c>
      <c r="F181" s="141">
        <f ca="1">IFERROR(__xludf.DUMMYFUNCTION("""COMPUTED_VALUE"""),84.67)</f>
        <v>84.67</v>
      </c>
      <c r="G181" s="143">
        <f ca="1">IFERROR(__xludf.DUMMYFUNCTION("""COMPUTED_VALUE"""),5614912)</f>
        <v>5614912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IFERROR(__xludf.DUMMYFUNCTION("""COMPUTED_VALUE"""),84.36)</f>
        <v>84.36</v>
      </c>
      <c r="D182" s="141">
        <f ca="1">IFERROR(__xludf.DUMMYFUNCTION("""COMPUTED_VALUE"""),84.8)</f>
        <v>84.8</v>
      </c>
      <c r="E182" s="141">
        <f ca="1">IFERROR(__xludf.DUMMYFUNCTION("""COMPUTED_VALUE"""),83.95)</f>
        <v>83.95</v>
      </c>
      <c r="F182" s="141">
        <f ca="1">IFERROR(__xludf.DUMMYFUNCTION("""COMPUTED_VALUE"""),84.53)</f>
        <v>84.53</v>
      </c>
      <c r="G182" s="143">
        <f ca="1">IFERROR(__xludf.DUMMYFUNCTION("""COMPUTED_VALUE"""),3513915)</f>
        <v>3513915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IFERROR(__xludf.DUMMYFUNCTION("""COMPUTED_VALUE"""),83.68)</f>
        <v>83.68</v>
      </c>
      <c r="D183" s="141">
        <f ca="1">IFERROR(__xludf.DUMMYFUNCTION("""COMPUTED_VALUE"""),83.77)</f>
        <v>83.77</v>
      </c>
      <c r="E183" s="141">
        <f ca="1">IFERROR(__xludf.DUMMYFUNCTION("""COMPUTED_VALUE"""),82.87)</f>
        <v>82.87</v>
      </c>
      <c r="F183" s="141">
        <f ca="1">IFERROR(__xludf.DUMMYFUNCTION("""COMPUTED_VALUE"""),83.3)</f>
        <v>83.3</v>
      </c>
      <c r="G183" s="143">
        <f ca="1">IFERROR(__xludf.DUMMYFUNCTION("""COMPUTED_VALUE"""),4062007)</f>
        <v>4062007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IFERROR(__xludf.DUMMYFUNCTION("""COMPUTED_VALUE"""),83.38)</f>
        <v>83.38</v>
      </c>
      <c r="D184" s="141">
        <f ca="1">IFERROR(__xludf.DUMMYFUNCTION("""COMPUTED_VALUE"""),83.81)</f>
        <v>83.81</v>
      </c>
      <c r="E184" s="141">
        <f ca="1">IFERROR(__xludf.DUMMYFUNCTION("""COMPUTED_VALUE"""),82.04)</f>
        <v>82.04</v>
      </c>
      <c r="F184" s="141">
        <f ca="1">IFERROR(__xludf.DUMMYFUNCTION("""COMPUTED_VALUE"""),82.16)</f>
        <v>82.16</v>
      </c>
      <c r="G184" s="143">
        <f ca="1">IFERROR(__xludf.DUMMYFUNCTION("""COMPUTED_VALUE"""),3371415)</f>
        <v>3371415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IFERROR(__xludf.DUMMYFUNCTION("""COMPUTED_VALUE"""),83.15)</f>
        <v>83.15</v>
      </c>
      <c r="D185" s="141">
        <f ca="1">IFERROR(__xludf.DUMMYFUNCTION("""COMPUTED_VALUE"""),83.74)</f>
        <v>83.74</v>
      </c>
      <c r="E185" s="141">
        <f ca="1">IFERROR(__xludf.DUMMYFUNCTION("""COMPUTED_VALUE"""),83)</f>
        <v>83</v>
      </c>
      <c r="F185" s="141">
        <f ca="1">IFERROR(__xludf.DUMMYFUNCTION("""COMPUTED_VALUE"""),83.53)</f>
        <v>83.53</v>
      </c>
      <c r="G185" s="143">
        <f ca="1">IFERROR(__xludf.DUMMYFUNCTION("""COMPUTED_VALUE"""),3086321)</f>
        <v>3086321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IFERROR(__xludf.DUMMYFUNCTION("""COMPUTED_VALUE"""),84.05)</f>
        <v>84.05</v>
      </c>
      <c r="D186" s="141">
        <f ca="1">IFERROR(__xludf.DUMMYFUNCTION("""COMPUTED_VALUE"""),84.39)</f>
        <v>84.39</v>
      </c>
      <c r="E186" s="141">
        <f ca="1">IFERROR(__xludf.DUMMYFUNCTION("""COMPUTED_VALUE"""),83.82)</f>
        <v>83.82</v>
      </c>
      <c r="F186" s="141">
        <f ca="1">IFERROR(__xludf.DUMMYFUNCTION("""COMPUTED_VALUE"""),83.9)</f>
        <v>83.9</v>
      </c>
      <c r="G186" s="143">
        <f ca="1">IFERROR(__xludf.DUMMYFUNCTION("""COMPUTED_VALUE"""),2519156)</f>
        <v>2519156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IFERROR(__xludf.DUMMYFUNCTION("""COMPUTED_VALUE"""),83.53)</f>
        <v>83.53</v>
      </c>
      <c r="D187" s="141">
        <f ca="1">IFERROR(__xludf.DUMMYFUNCTION("""COMPUTED_VALUE"""),83.58)</f>
        <v>83.58</v>
      </c>
      <c r="E187" s="141">
        <f ca="1">IFERROR(__xludf.DUMMYFUNCTION("""COMPUTED_VALUE"""),82.19)</f>
        <v>82.19</v>
      </c>
      <c r="F187" s="141">
        <f ca="1">IFERROR(__xludf.DUMMYFUNCTION("""COMPUTED_VALUE"""),82.26)</f>
        <v>82.26</v>
      </c>
      <c r="G187" s="143">
        <f ca="1">IFERROR(__xludf.DUMMYFUNCTION("""COMPUTED_VALUE"""),4248779)</f>
        <v>4248779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IFERROR(__xludf.DUMMYFUNCTION("""COMPUTED_VALUE"""),80.76)</f>
        <v>80.760000000000005</v>
      </c>
      <c r="D188" s="141">
        <f ca="1">IFERROR(__xludf.DUMMYFUNCTION("""COMPUTED_VALUE"""),82.6)</f>
        <v>82.6</v>
      </c>
      <c r="E188" s="141">
        <f ca="1">IFERROR(__xludf.DUMMYFUNCTION("""COMPUTED_VALUE"""),80.62)</f>
        <v>80.62</v>
      </c>
      <c r="F188" s="141">
        <f ca="1">IFERROR(__xludf.DUMMYFUNCTION("""COMPUTED_VALUE"""),82.03)</f>
        <v>82.03</v>
      </c>
      <c r="G188" s="143">
        <f ca="1">IFERROR(__xludf.DUMMYFUNCTION("""COMPUTED_VALUE"""),8226520)</f>
        <v>8226520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IFERROR(__xludf.DUMMYFUNCTION("""COMPUTED_VALUE"""),81.39)</f>
        <v>81.39</v>
      </c>
      <c r="D189" s="141">
        <f ca="1">IFERROR(__xludf.DUMMYFUNCTION("""COMPUTED_VALUE"""),81.39)</f>
        <v>81.39</v>
      </c>
      <c r="E189" s="141">
        <f ca="1">IFERROR(__xludf.DUMMYFUNCTION("""COMPUTED_VALUE"""),78.69)</f>
        <v>78.69</v>
      </c>
      <c r="F189" s="141">
        <f ca="1">IFERROR(__xludf.DUMMYFUNCTION("""COMPUTED_VALUE"""),79.18)</f>
        <v>79.180000000000007</v>
      </c>
      <c r="G189" s="143">
        <f ca="1">IFERROR(__xludf.DUMMYFUNCTION("""COMPUTED_VALUE"""),9991668)</f>
        <v>9991668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IFERROR(__xludf.DUMMYFUNCTION("""COMPUTED_VALUE"""),80.69)</f>
        <v>80.69</v>
      </c>
      <c r="D190" s="141">
        <f ca="1">IFERROR(__xludf.DUMMYFUNCTION("""COMPUTED_VALUE"""),82.08)</f>
        <v>82.08</v>
      </c>
      <c r="E190" s="141">
        <f ca="1">IFERROR(__xludf.DUMMYFUNCTION("""COMPUTED_VALUE"""),80.28)</f>
        <v>80.28</v>
      </c>
      <c r="F190" s="141">
        <f ca="1">IFERROR(__xludf.DUMMYFUNCTION("""COMPUTED_VALUE"""),81.04)</f>
        <v>81.040000000000006</v>
      </c>
      <c r="G190" s="143">
        <f ca="1">IFERROR(__xludf.DUMMYFUNCTION("""COMPUTED_VALUE"""),12612997)</f>
        <v>12612997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IFERROR(__xludf.DUMMYFUNCTION("""COMPUTED_VALUE"""),79.78)</f>
        <v>79.78</v>
      </c>
      <c r="D191" s="141">
        <f ca="1">IFERROR(__xludf.DUMMYFUNCTION("""COMPUTED_VALUE"""),81.01)</f>
        <v>81.010000000000005</v>
      </c>
      <c r="E191" s="141">
        <f ca="1">IFERROR(__xludf.DUMMYFUNCTION("""COMPUTED_VALUE"""),79.75)</f>
        <v>79.75</v>
      </c>
      <c r="F191" s="141">
        <f ca="1">IFERROR(__xludf.DUMMYFUNCTION("""COMPUTED_VALUE"""),80.58)</f>
        <v>80.58</v>
      </c>
      <c r="G191" s="143">
        <f ca="1">IFERROR(__xludf.DUMMYFUNCTION("""COMPUTED_VALUE"""),4252300)</f>
        <v>4252300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IFERROR(__xludf.DUMMYFUNCTION("""COMPUTED_VALUE"""),81.9)</f>
        <v>81.900000000000006</v>
      </c>
      <c r="D192" s="141">
        <f ca="1">IFERROR(__xludf.DUMMYFUNCTION("""COMPUTED_VALUE"""),82.18)</f>
        <v>82.18</v>
      </c>
      <c r="E192" s="141">
        <f ca="1">IFERROR(__xludf.DUMMYFUNCTION("""COMPUTED_VALUE"""),81.28)</f>
        <v>81.28</v>
      </c>
      <c r="F192" s="141">
        <f ca="1">IFERROR(__xludf.DUMMYFUNCTION("""COMPUTED_VALUE"""),81.76)</f>
        <v>81.760000000000005</v>
      </c>
      <c r="G192" s="143">
        <f ca="1">IFERROR(__xludf.DUMMYFUNCTION("""COMPUTED_VALUE"""),4428474)</f>
        <v>4428474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IFERROR(__xludf.DUMMYFUNCTION("""COMPUTED_VALUE"""),80.75)</f>
        <v>80.75</v>
      </c>
      <c r="D193" s="141">
        <f ca="1">IFERROR(__xludf.DUMMYFUNCTION("""COMPUTED_VALUE"""),81.45)</f>
        <v>81.45</v>
      </c>
      <c r="E193" s="141">
        <f ca="1">IFERROR(__xludf.DUMMYFUNCTION("""COMPUTED_VALUE"""),80.15)</f>
        <v>80.150000000000006</v>
      </c>
      <c r="F193" s="141">
        <f ca="1">IFERROR(__xludf.DUMMYFUNCTION("""COMPUTED_VALUE"""),80.16)</f>
        <v>80.16</v>
      </c>
      <c r="G193" s="143">
        <f ca="1">IFERROR(__xludf.DUMMYFUNCTION("""COMPUTED_VALUE"""),4553883)</f>
        <v>4553883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IFERROR(__xludf.DUMMYFUNCTION("""COMPUTED_VALUE"""),79.87)</f>
        <v>79.87</v>
      </c>
      <c r="D194" s="141">
        <f ca="1">IFERROR(__xludf.DUMMYFUNCTION("""COMPUTED_VALUE"""),80.4)</f>
        <v>80.400000000000006</v>
      </c>
      <c r="E194" s="141">
        <f ca="1">IFERROR(__xludf.DUMMYFUNCTION("""COMPUTED_VALUE"""),79.26)</f>
        <v>79.260000000000005</v>
      </c>
      <c r="F194" s="141">
        <f ca="1">IFERROR(__xludf.DUMMYFUNCTION("""COMPUTED_VALUE"""),79.45)</f>
        <v>79.45</v>
      </c>
      <c r="G194" s="143">
        <f ca="1">IFERROR(__xludf.DUMMYFUNCTION("""COMPUTED_VALUE"""),3522870)</f>
        <v>3522870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IFERROR(__xludf.DUMMYFUNCTION("""COMPUTED_VALUE"""),80.17)</f>
        <v>80.17</v>
      </c>
      <c r="D195" s="141">
        <f ca="1">IFERROR(__xludf.DUMMYFUNCTION("""COMPUTED_VALUE"""),80.51)</f>
        <v>80.510000000000005</v>
      </c>
      <c r="E195" s="141">
        <f ca="1">IFERROR(__xludf.DUMMYFUNCTION("""COMPUTED_VALUE"""),79.5)</f>
        <v>79.5</v>
      </c>
      <c r="F195" s="141">
        <f ca="1">IFERROR(__xludf.DUMMYFUNCTION("""COMPUTED_VALUE"""),79.87)</f>
        <v>79.87</v>
      </c>
      <c r="G195" s="143">
        <f ca="1">IFERROR(__xludf.DUMMYFUNCTION("""COMPUTED_VALUE"""),3429369)</f>
        <v>3429369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IFERROR(__xludf.DUMMYFUNCTION("""COMPUTED_VALUE"""),81.3)</f>
        <v>81.3</v>
      </c>
      <c r="D196" s="141">
        <f ca="1">IFERROR(__xludf.DUMMYFUNCTION("""COMPUTED_VALUE"""),82.47)</f>
        <v>82.47</v>
      </c>
      <c r="E196" s="141">
        <f ca="1">IFERROR(__xludf.DUMMYFUNCTION("""COMPUTED_VALUE"""),80.78)</f>
        <v>80.78</v>
      </c>
      <c r="F196" s="141">
        <f ca="1">IFERROR(__xludf.DUMMYFUNCTION("""COMPUTED_VALUE"""),82.43)</f>
        <v>82.43</v>
      </c>
      <c r="G196" s="143">
        <f ca="1">IFERROR(__xludf.DUMMYFUNCTION("""COMPUTED_VALUE"""),10673723)</f>
        <v>10673723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IFERROR(__xludf.DUMMYFUNCTION("""COMPUTED_VALUE"""),83.56)</f>
        <v>83.56</v>
      </c>
      <c r="D197" s="141">
        <f ca="1">IFERROR(__xludf.DUMMYFUNCTION("""COMPUTED_VALUE"""),84.07)</f>
        <v>84.07</v>
      </c>
      <c r="E197" s="141">
        <f ca="1">IFERROR(__xludf.DUMMYFUNCTION("""COMPUTED_VALUE"""),83.15)</f>
        <v>83.15</v>
      </c>
      <c r="F197" s="141">
        <f ca="1">IFERROR(__xludf.DUMMYFUNCTION("""COMPUTED_VALUE"""),83.62)</f>
        <v>83.62</v>
      </c>
      <c r="G197" s="143">
        <f ca="1">IFERROR(__xludf.DUMMYFUNCTION("""COMPUTED_VALUE"""),5892174)</f>
        <v>5892174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IFERROR(__xludf.DUMMYFUNCTION("""COMPUTED_VALUE"""),81.93)</f>
        <v>81.93</v>
      </c>
      <c r="D198" s="141">
        <f ca="1">IFERROR(__xludf.DUMMYFUNCTION("""COMPUTED_VALUE"""),83.57)</f>
        <v>83.57</v>
      </c>
      <c r="E198" s="141">
        <f ca="1">IFERROR(__xludf.DUMMYFUNCTION("""COMPUTED_VALUE"""),81.75)</f>
        <v>81.75</v>
      </c>
      <c r="F198" s="141">
        <f ca="1">IFERROR(__xludf.DUMMYFUNCTION("""COMPUTED_VALUE"""),83.22)</f>
        <v>83.22</v>
      </c>
      <c r="G198" s="143">
        <f ca="1">IFERROR(__xludf.DUMMYFUNCTION("""COMPUTED_VALUE"""),5097771)</f>
        <v>5097771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IFERROR(__xludf.DUMMYFUNCTION("""COMPUTED_VALUE"""),83.28)</f>
        <v>83.28</v>
      </c>
      <c r="D199" s="141">
        <f ca="1">IFERROR(__xludf.DUMMYFUNCTION("""COMPUTED_VALUE"""),83.94)</f>
        <v>83.94</v>
      </c>
      <c r="E199" s="141">
        <f ca="1">IFERROR(__xludf.DUMMYFUNCTION("""COMPUTED_VALUE"""),83.26)</f>
        <v>83.26</v>
      </c>
      <c r="F199" s="141">
        <f ca="1">IFERROR(__xludf.DUMMYFUNCTION("""COMPUTED_VALUE"""),83.78)</f>
        <v>83.78</v>
      </c>
      <c r="G199" s="143">
        <f ca="1">IFERROR(__xludf.DUMMYFUNCTION("""COMPUTED_VALUE"""),3835428)</f>
        <v>3835428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IFERROR(__xludf.DUMMYFUNCTION("""COMPUTED_VALUE"""),83.03)</f>
        <v>83.03</v>
      </c>
      <c r="D200" s="141">
        <f ca="1">IFERROR(__xludf.DUMMYFUNCTION("""COMPUTED_VALUE"""),83.72)</f>
        <v>83.72</v>
      </c>
      <c r="E200" s="141">
        <f ca="1">IFERROR(__xludf.DUMMYFUNCTION("""COMPUTED_VALUE"""),82.17)</f>
        <v>82.17</v>
      </c>
      <c r="F200" s="141">
        <f ca="1">IFERROR(__xludf.DUMMYFUNCTION("""COMPUTED_VALUE"""),83.53)</f>
        <v>83.53</v>
      </c>
      <c r="G200" s="143">
        <f ca="1">IFERROR(__xludf.DUMMYFUNCTION("""COMPUTED_VALUE"""),5212251)</f>
        <v>5212251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IFERROR(__xludf.DUMMYFUNCTION("""COMPUTED_VALUE"""),87.03)</f>
        <v>87.03</v>
      </c>
      <c r="D201" s="141">
        <f ca="1">IFERROR(__xludf.DUMMYFUNCTION("""COMPUTED_VALUE"""),87.19)</f>
        <v>87.19</v>
      </c>
      <c r="E201" s="141">
        <f ca="1">IFERROR(__xludf.DUMMYFUNCTION("""COMPUTED_VALUE"""),86.11)</f>
        <v>86.11</v>
      </c>
      <c r="F201" s="141">
        <f ca="1">IFERROR(__xludf.DUMMYFUNCTION("""COMPUTED_VALUE"""),86.74)</f>
        <v>86.74</v>
      </c>
      <c r="G201" s="143">
        <f ca="1">IFERROR(__xludf.DUMMYFUNCTION("""COMPUTED_VALUE"""),6012784)</f>
        <v>6012784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IFERROR(__xludf.DUMMYFUNCTION("""COMPUTED_VALUE"""),86.19)</f>
        <v>86.19</v>
      </c>
      <c r="D202" s="141">
        <f ca="1">IFERROR(__xludf.DUMMYFUNCTION("""COMPUTED_VALUE"""),87.19)</f>
        <v>87.19</v>
      </c>
      <c r="E202" s="141">
        <f ca="1">IFERROR(__xludf.DUMMYFUNCTION("""COMPUTED_VALUE"""),85.94)</f>
        <v>85.94</v>
      </c>
      <c r="F202" s="141">
        <f ca="1">IFERROR(__xludf.DUMMYFUNCTION("""COMPUTED_VALUE"""),86.76)</f>
        <v>86.76</v>
      </c>
      <c r="G202" s="143">
        <f ca="1">IFERROR(__xludf.DUMMYFUNCTION("""COMPUTED_VALUE"""),2933447)</f>
        <v>2933447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IFERROR(__xludf.DUMMYFUNCTION("""COMPUTED_VALUE"""),87.43)</f>
        <v>87.43</v>
      </c>
      <c r="D203" s="141">
        <f ca="1">IFERROR(__xludf.DUMMYFUNCTION("""COMPUTED_VALUE"""),87.57)</f>
        <v>87.57</v>
      </c>
      <c r="E203" s="141">
        <f ca="1">IFERROR(__xludf.DUMMYFUNCTION("""COMPUTED_VALUE"""),86.7)</f>
        <v>86.7</v>
      </c>
      <c r="F203" s="141">
        <f ca="1">IFERROR(__xludf.DUMMYFUNCTION("""COMPUTED_VALUE"""),87.06)</f>
        <v>87.06</v>
      </c>
      <c r="G203" s="143">
        <f ca="1">IFERROR(__xludf.DUMMYFUNCTION("""COMPUTED_VALUE"""),2307076)</f>
        <v>2307076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IFERROR(__xludf.DUMMYFUNCTION("""COMPUTED_VALUE"""),86.48)</f>
        <v>86.48</v>
      </c>
      <c r="D204" s="141">
        <f ca="1">IFERROR(__xludf.DUMMYFUNCTION("""COMPUTED_VALUE"""),87.69)</f>
        <v>87.69</v>
      </c>
      <c r="E204" s="141">
        <f ca="1">IFERROR(__xludf.DUMMYFUNCTION("""COMPUTED_VALUE"""),86.29)</f>
        <v>86.29</v>
      </c>
      <c r="F204" s="141">
        <f ca="1">IFERROR(__xludf.DUMMYFUNCTION("""COMPUTED_VALUE"""),87.64)</f>
        <v>87.64</v>
      </c>
      <c r="G204" s="143">
        <f ca="1">IFERROR(__xludf.DUMMYFUNCTION("""COMPUTED_VALUE"""),4811530)</f>
        <v>4811530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IFERROR(__xludf.DUMMYFUNCTION("""COMPUTED_VALUE"""),88.02)</f>
        <v>88.02</v>
      </c>
      <c r="D205" s="141">
        <f ca="1">IFERROR(__xludf.DUMMYFUNCTION("""COMPUTED_VALUE"""),88.53)</f>
        <v>88.53</v>
      </c>
      <c r="E205" s="141">
        <f ca="1">IFERROR(__xludf.DUMMYFUNCTION("""COMPUTED_VALUE"""),88.02)</f>
        <v>88.02</v>
      </c>
      <c r="F205" s="141">
        <f ca="1">IFERROR(__xludf.DUMMYFUNCTION("""COMPUTED_VALUE"""),88.37)</f>
        <v>88.37</v>
      </c>
      <c r="G205" s="143">
        <f ca="1">IFERROR(__xludf.DUMMYFUNCTION("""COMPUTED_VALUE"""),2152551)</f>
        <v>2152551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IFERROR(__xludf.DUMMYFUNCTION("""COMPUTED_VALUE"""),88.32)</f>
        <v>88.32</v>
      </c>
      <c r="D206" s="141">
        <f ca="1">IFERROR(__xludf.DUMMYFUNCTION("""COMPUTED_VALUE"""),88.32)</f>
        <v>88.32</v>
      </c>
      <c r="E206" s="141">
        <f ca="1">IFERROR(__xludf.DUMMYFUNCTION("""COMPUTED_VALUE"""),87.74)</f>
        <v>87.74</v>
      </c>
      <c r="F206" s="141">
        <f ca="1">IFERROR(__xludf.DUMMYFUNCTION("""COMPUTED_VALUE"""),88.03)</f>
        <v>88.03</v>
      </c>
      <c r="G206" s="143">
        <f ca="1">IFERROR(__xludf.DUMMYFUNCTION("""COMPUTED_VALUE"""),3155994)</f>
        <v>3155994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IFERROR(__xludf.DUMMYFUNCTION("""COMPUTED_VALUE"""),88.34)</f>
        <v>88.34</v>
      </c>
      <c r="D207" s="141">
        <f ca="1">IFERROR(__xludf.DUMMYFUNCTION("""COMPUTED_VALUE"""),88.45)</f>
        <v>88.45</v>
      </c>
      <c r="E207" s="141">
        <f ca="1">IFERROR(__xludf.DUMMYFUNCTION("""COMPUTED_VALUE"""),87.44)</f>
        <v>87.44</v>
      </c>
      <c r="F207" s="141">
        <f ca="1">IFERROR(__xludf.DUMMYFUNCTION("""COMPUTED_VALUE"""),87.71)</f>
        <v>87.71</v>
      </c>
      <c r="G207" s="143">
        <f ca="1">IFERROR(__xludf.DUMMYFUNCTION("""COMPUTED_VALUE"""),2580121)</f>
        <v>2580121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IFERROR(__xludf.DUMMYFUNCTION("""COMPUTED_VALUE"""),89.41)</f>
        <v>89.41</v>
      </c>
      <c r="D208" s="141">
        <f ca="1">IFERROR(__xludf.DUMMYFUNCTION("""COMPUTED_VALUE"""),89.75)</f>
        <v>89.75</v>
      </c>
      <c r="E208" s="141">
        <f ca="1">IFERROR(__xludf.DUMMYFUNCTION("""COMPUTED_VALUE"""),89.01)</f>
        <v>89.01</v>
      </c>
      <c r="F208" s="141">
        <f ca="1">IFERROR(__xludf.DUMMYFUNCTION("""COMPUTED_VALUE"""),89.07)</f>
        <v>89.07</v>
      </c>
      <c r="G208" s="143">
        <f ca="1">IFERROR(__xludf.DUMMYFUNCTION("""COMPUTED_VALUE"""),3225143)</f>
        <v>3225143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IFERROR(__xludf.DUMMYFUNCTION("""COMPUTED_VALUE"""),88.59)</f>
        <v>88.59</v>
      </c>
      <c r="D209" s="141">
        <f ca="1">IFERROR(__xludf.DUMMYFUNCTION("""COMPUTED_VALUE"""),88.85)</f>
        <v>88.85</v>
      </c>
      <c r="E209" s="141">
        <f ca="1">IFERROR(__xludf.DUMMYFUNCTION("""COMPUTED_VALUE"""),88.16)</f>
        <v>88.16</v>
      </c>
      <c r="F209" s="141">
        <f ca="1">IFERROR(__xludf.DUMMYFUNCTION("""COMPUTED_VALUE"""),88.84)</f>
        <v>88.84</v>
      </c>
      <c r="G209" s="143">
        <f ca="1">IFERROR(__xludf.DUMMYFUNCTION("""COMPUTED_VALUE"""),2898679)</f>
        <v>2898679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IFERROR(__xludf.DUMMYFUNCTION("""COMPUTED_VALUE"""),88.41)</f>
        <v>88.41</v>
      </c>
      <c r="D210" s="141">
        <f ca="1">IFERROR(__xludf.DUMMYFUNCTION("""COMPUTED_VALUE"""),88.46)</f>
        <v>88.46</v>
      </c>
      <c r="E210" s="141">
        <f ca="1">IFERROR(__xludf.DUMMYFUNCTION("""COMPUTED_VALUE"""),86.83)</f>
        <v>86.83</v>
      </c>
      <c r="F210" s="141">
        <f ca="1">IFERROR(__xludf.DUMMYFUNCTION("""COMPUTED_VALUE"""),86.9)</f>
        <v>86.9</v>
      </c>
      <c r="G210" s="143">
        <f ca="1">IFERROR(__xludf.DUMMYFUNCTION("""COMPUTED_VALUE"""),3543171)</f>
        <v>3543171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IFERROR(__xludf.DUMMYFUNCTION("""COMPUTED_VALUE"""),87.73)</f>
        <v>87.73</v>
      </c>
      <c r="D211" s="141">
        <f ca="1">IFERROR(__xludf.DUMMYFUNCTION("""COMPUTED_VALUE"""),87.73)</f>
        <v>87.73</v>
      </c>
      <c r="E211" s="141">
        <f ca="1">IFERROR(__xludf.DUMMYFUNCTION("""COMPUTED_VALUE"""),86.86)</f>
        <v>86.86</v>
      </c>
      <c r="F211" s="141">
        <f ca="1">IFERROR(__xludf.DUMMYFUNCTION("""COMPUTED_VALUE"""),87.14)</f>
        <v>87.14</v>
      </c>
      <c r="G211" s="143">
        <f ca="1">IFERROR(__xludf.DUMMYFUNCTION("""COMPUTED_VALUE"""),2291344)</f>
        <v>2291344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IFERROR(__xludf.DUMMYFUNCTION("""COMPUTED_VALUE"""),86.98)</f>
        <v>86.98</v>
      </c>
      <c r="D212" s="141">
        <f ca="1">IFERROR(__xludf.DUMMYFUNCTION("""COMPUTED_VALUE"""),87.3)</f>
        <v>87.3</v>
      </c>
      <c r="E212" s="141">
        <f ca="1">IFERROR(__xludf.DUMMYFUNCTION("""COMPUTED_VALUE"""),85.53)</f>
        <v>85.53</v>
      </c>
      <c r="F212" s="141">
        <f ca="1">IFERROR(__xludf.DUMMYFUNCTION("""COMPUTED_VALUE"""),86.47)</f>
        <v>86.47</v>
      </c>
      <c r="G212" s="143">
        <f ca="1">IFERROR(__xludf.DUMMYFUNCTION("""COMPUTED_VALUE"""),4028469)</f>
        <v>4028469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IFERROR(__xludf.DUMMYFUNCTION("""COMPUTED_VALUE"""),86.82)</f>
        <v>86.82</v>
      </c>
      <c r="D213" s="141">
        <f ca="1">IFERROR(__xludf.DUMMYFUNCTION("""COMPUTED_VALUE"""),87.23)</f>
        <v>87.23</v>
      </c>
      <c r="E213" s="141">
        <f ca="1">IFERROR(__xludf.DUMMYFUNCTION("""COMPUTED_VALUE"""),86.55)</f>
        <v>86.55</v>
      </c>
      <c r="F213" s="141">
        <f ca="1">IFERROR(__xludf.DUMMYFUNCTION("""COMPUTED_VALUE"""),87.05)</f>
        <v>87.05</v>
      </c>
      <c r="G213" s="143">
        <f ca="1">IFERROR(__xludf.DUMMYFUNCTION("""COMPUTED_VALUE"""),3812020)</f>
        <v>3812020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IFERROR(__xludf.DUMMYFUNCTION("""COMPUTED_VALUE"""),86.98)</f>
        <v>86.98</v>
      </c>
      <c r="D214" s="141">
        <f ca="1">IFERROR(__xludf.DUMMYFUNCTION("""COMPUTED_VALUE"""),87.12)</f>
        <v>87.12</v>
      </c>
      <c r="E214" s="141">
        <f ca="1">IFERROR(__xludf.DUMMYFUNCTION("""COMPUTED_VALUE"""),86.49)</f>
        <v>86.49</v>
      </c>
      <c r="F214" s="141">
        <f ca="1">IFERROR(__xludf.DUMMYFUNCTION("""COMPUTED_VALUE"""),86.55)</f>
        <v>86.55</v>
      </c>
      <c r="G214" s="143">
        <f ca="1">IFERROR(__xludf.DUMMYFUNCTION("""COMPUTED_VALUE"""),2114577)</f>
        <v>2114577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IFERROR(__xludf.DUMMYFUNCTION("""COMPUTED_VALUE"""),86)</f>
        <v>86</v>
      </c>
      <c r="D215" s="141">
        <f ca="1">IFERROR(__xludf.DUMMYFUNCTION("""COMPUTED_VALUE"""),86.23)</f>
        <v>86.23</v>
      </c>
      <c r="E215" s="141">
        <f ca="1">IFERROR(__xludf.DUMMYFUNCTION("""COMPUTED_VALUE"""),85.78)</f>
        <v>85.78</v>
      </c>
      <c r="F215" s="141">
        <f ca="1">IFERROR(__xludf.DUMMYFUNCTION("""COMPUTED_VALUE"""),86.16)</f>
        <v>86.16</v>
      </c>
      <c r="G215" s="143">
        <f ca="1">IFERROR(__xludf.DUMMYFUNCTION("""COMPUTED_VALUE"""),2839085)</f>
        <v>2839085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IFERROR(__xludf.DUMMYFUNCTION("""COMPUTED_VALUE"""),85.79)</f>
        <v>85.79</v>
      </c>
      <c r="D216" s="141">
        <f ca="1">IFERROR(__xludf.DUMMYFUNCTION("""COMPUTED_VALUE"""),85.82)</f>
        <v>85.82</v>
      </c>
      <c r="E216" s="141">
        <f ca="1">IFERROR(__xludf.DUMMYFUNCTION("""COMPUTED_VALUE"""),84.82)</f>
        <v>84.82</v>
      </c>
      <c r="F216" s="141">
        <f ca="1">IFERROR(__xludf.DUMMYFUNCTION("""COMPUTED_VALUE"""),85.14)</f>
        <v>85.14</v>
      </c>
      <c r="G216" s="143">
        <f ca="1">IFERROR(__xludf.DUMMYFUNCTION("""COMPUTED_VALUE"""),2939498)</f>
        <v>2939498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IFERROR(__xludf.DUMMYFUNCTION("""COMPUTED_VALUE"""),86.43)</f>
        <v>86.43</v>
      </c>
      <c r="D217" s="141">
        <f ca="1">IFERROR(__xludf.DUMMYFUNCTION("""COMPUTED_VALUE"""),87.39)</f>
        <v>87.39</v>
      </c>
      <c r="E217" s="141">
        <f ca="1">IFERROR(__xludf.DUMMYFUNCTION("""COMPUTED_VALUE"""),86.07)</f>
        <v>86.07</v>
      </c>
      <c r="F217" s="141">
        <f ca="1">IFERROR(__xludf.DUMMYFUNCTION("""COMPUTED_VALUE"""),87.14)</f>
        <v>87.14</v>
      </c>
      <c r="G217" s="143">
        <f ca="1">IFERROR(__xludf.DUMMYFUNCTION("""COMPUTED_VALUE"""),2862011)</f>
        <v>2862011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IFERROR(__xludf.DUMMYFUNCTION("""COMPUTED_VALUE"""),87.47)</f>
        <v>87.47</v>
      </c>
      <c r="D218" s="141">
        <f ca="1">IFERROR(__xludf.DUMMYFUNCTION("""COMPUTED_VALUE"""),88.05)</f>
        <v>88.05</v>
      </c>
      <c r="E218" s="141">
        <f ca="1">IFERROR(__xludf.DUMMYFUNCTION("""COMPUTED_VALUE"""),86.15)</f>
        <v>86.15</v>
      </c>
      <c r="F218" s="141">
        <f ca="1">IFERROR(__xludf.DUMMYFUNCTION("""COMPUTED_VALUE"""),87.15)</f>
        <v>87.15</v>
      </c>
      <c r="G218" s="143">
        <f ca="1">IFERROR(__xludf.DUMMYFUNCTION("""COMPUTED_VALUE"""),4507866)</f>
        <v>4507866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IFERROR(__xludf.DUMMYFUNCTION("""COMPUTED_VALUE"""),86.48)</f>
        <v>86.48</v>
      </c>
      <c r="D219" s="141">
        <f ca="1">IFERROR(__xludf.DUMMYFUNCTION("""COMPUTED_VALUE"""),86.68)</f>
        <v>86.68</v>
      </c>
      <c r="E219" s="141">
        <f ca="1">IFERROR(__xludf.DUMMYFUNCTION("""COMPUTED_VALUE"""),85.22)</f>
        <v>85.22</v>
      </c>
      <c r="F219" s="141">
        <f ca="1">IFERROR(__xludf.DUMMYFUNCTION("""COMPUTED_VALUE"""),85.51)</f>
        <v>85.51</v>
      </c>
      <c r="G219" s="143">
        <f ca="1">IFERROR(__xludf.DUMMYFUNCTION("""COMPUTED_VALUE"""),6338694)</f>
        <v>6338694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IFERROR(__xludf.DUMMYFUNCTION("""COMPUTED_VALUE"""),86.45)</f>
        <v>86.45</v>
      </c>
      <c r="D220" s="141">
        <f ca="1">IFERROR(__xludf.DUMMYFUNCTION("""COMPUTED_VALUE"""),86.94)</f>
        <v>86.94</v>
      </c>
      <c r="E220" s="141">
        <f ca="1">IFERROR(__xludf.DUMMYFUNCTION("""COMPUTED_VALUE"""),86.1)</f>
        <v>86.1</v>
      </c>
      <c r="F220" s="141">
        <f ca="1">IFERROR(__xludf.DUMMYFUNCTION("""COMPUTED_VALUE"""),86.87)</f>
        <v>86.87</v>
      </c>
      <c r="G220" s="143">
        <f ca="1">IFERROR(__xludf.DUMMYFUNCTION("""COMPUTED_VALUE"""),3924907)</f>
        <v>3924907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IFERROR(__xludf.DUMMYFUNCTION("""COMPUTED_VALUE"""),88.94)</f>
        <v>88.94</v>
      </c>
      <c r="D221" s="141">
        <f ca="1">IFERROR(__xludf.DUMMYFUNCTION("""COMPUTED_VALUE"""),89.29)</f>
        <v>89.29</v>
      </c>
      <c r="E221" s="141">
        <f ca="1">IFERROR(__xludf.DUMMYFUNCTION("""COMPUTED_VALUE"""),88.74)</f>
        <v>88.74</v>
      </c>
      <c r="F221" s="141">
        <f ca="1">IFERROR(__xludf.DUMMYFUNCTION("""COMPUTED_VALUE"""),89.23)</f>
        <v>89.23</v>
      </c>
      <c r="G221" s="143">
        <f ca="1">IFERROR(__xludf.DUMMYFUNCTION("""COMPUTED_VALUE"""),3270470)</f>
        <v>3270470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IFERROR(__xludf.DUMMYFUNCTION("""COMPUTED_VALUE"""),89.12)</f>
        <v>89.12</v>
      </c>
      <c r="D222" s="141">
        <f ca="1">IFERROR(__xludf.DUMMYFUNCTION("""COMPUTED_VALUE"""),89.17)</f>
        <v>89.17</v>
      </c>
      <c r="E222" s="141">
        <f ca="1">IFERROR(__xludf.DUMMYFUNCTION("""COMPUTED_VALUE"""),87.19)</f>
        <v>87.19</v>
      </c>
      <c r="F222" s="141">
        <f ca="1">IFERROR(__xludf.DUMMYFUNCTION("""COMPUTED_VALUE"""),87.28)</f>
        <v>87.28</v>
      </c>
      <c r="G222" s="143">
        <f ca="1">IFERROR(__xludf.DUMMYFUNCTION("""COMPUTED_VALUE"""),4081092)</f>
        <v>4081092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IFERROR(__xludf.DUMMYFUNCTION("""COMPUTED_VALUE"""),87.96)</f>
        <v>87.96</v>
      </c>
      <c r="D223" s="141">
        <f ca="1">IFERROR(__xludf.DUMMYFUNCTION("""COMPUTED_VALUE"""),88.14)</f>
        <v>88.14</v>
      </c>
      <c r="E223" s="141">
        <f ca="1">IFERROR(__xludf.DUMMYFUNCTION("""COMPUTED_VALUE"""),87.57)</f>
        <v>87.57</v>
      </c>
      <c r="F223" s="141">
        <f ca="1">IFERROR(__xludf.DUMMYFUNCTION("""COMPUTED_VALUE"""),88.12)</f>
        <v>88.12</v>
      </c>
      <c r="G223" s="143">
        <f ca="1">IFERROR(__xludf.DUMMYFUNCTION("""COMPUTED_VALUE"""),1747948)</f>
        <v>1747948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IFERROR(__xludf.DUMMYFUNCTION("""COMPUTED_VALUE"""),87.88)</f>
        <v>87.88</v>
      </c>
      <c r="D224" s="141">
        <f ca="1">IFERROR(__xludf.DUMMYFUNCTION("""COMPUTED_VALUE"""),88.04)</f>
        <v>88.04</v>
      </c>
      <c r="E224" s="141">
        <f ca="1">IFERROR(__xludf.DUMMYFUNCTION("""COMPUTED_VALUE"""),87.64)</f>
        <v>87.64</v>
      </c>
      <c r="F224" s="141">
        <f ca="1">IFERROR(__xludf.DUMMYFUNCTION("""COMPUTED_VALUE"""),87.82)</f>
        <v>87.82</v>
      </c>
      <c r="G224" s="143">
        <f ca="1">IFERROR(__xludf.DUMMYFUNCTION("""COMPUTED_VALUE"""),3321867)</f>
        <v>3321867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IFERROR(__xludf.DUMMYFUNCTION("""COMPUTED_VALUE"""),87.04)</f>
        <v>87.04</v>
      </c>
      <c r="D225" s="141">
        <f ca="1">IFERROR(__xludf.DUMMYFUNCTION("""COMPUTED_VALUE"""),87.22)</f>
        <v>87.22</v>
      </c>
      <c r="E225" s="141">
        <f ca="1">IFERROR(__xludf.DUMMYFUNCTION("""COMPUTED_VALUE"""),86.49)</f>
        <v>86.49</v>
      </c>
      <c r="F225" s="141">
        <f ca="1">IFERROR(__xludf.DUMMYFUNCTION("""COMPUTED_VALUE"""),87.11)</f>
        <v>87.11</v>
      </c>
      <c r="G225" s="143">
        <f ca="1">IFERROR(__xludf.DUMMYFUNCTION("""COMPUTED_VALUE"""),3600970)</f>
        <v>3600970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IFERROR(__xludf.DUMMYFUNCTION("""COMPUTED_VALUE"""),86.83)</f>
        <v>86.83</v>
      </c>
      <c r="D226" s="141">
        <f ca="1">IFERROR(__xludf.DUMMYFUNCTION("""COMPUTED_VALUE"""),87.62)</f>
        <v>87.62</v>
      </c>
      <c r="E226" s="141">
        <f ca="1">IFERROR(__xludf.DUMMYFUNCTION("""COMPUTED_VALUE"""),86.65)</f>
        <v>86.65</v>
      </c>
      <c r="F226" s="141">
        <f ca="1">IFERROR(__xludf.DUMMYFUNCTION("""COMPUTED_VALUE"""),87.6)</f>
        <v>87.6</v>
      </c>
      <c r="G226" s="143">
        <f ca="1">IFERROR(__xludf.DUMMYFUNCTION("""COMPUTED_VALUE"""),2912429)</f>
        <v>2912429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IFERROR(__xludf.DUMMYFUNCTION("""COMPUTED_VALUE"""),87.93)</f>
        <v>87.93</v>
      </c>
      <c r="D227" s="141">
        <f ca="1">IFERROR(__xludf.DUMMYFUNCTION("""COMPUTED_VALUE"""),87.99)</f>
        <v>87.99</v>
      </c>
      <c r="E227" s="141">
        <f ca="1">IFERROR(__xludf.DUMMYFUNCTION("""COMPUTED_VALUE"""),87.44)</f>
        <v>87.44</v>
      </c>
      <c r="F227" s="141">
        <f ca="1">IFERROR(__xludf.DUMMYFUNCTION("""COMPUTED_VALUE"""),87.47)</f>
        <v>87.47</v>
      </c>
      <c r="G227" s="143">
        <f ca="1">IFERROR(__xludf.DUMMYFUNCTION("""COMPUTED_VALUE"""),2673834)</f>
        <v>2673834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IFERROR(__xludf.DUMMYFUNCTION("""COMPUTED_VALUE"""),86.13)</f>
        <v>86.13</v>
      </c>
      <c r="D228" s="141">
        <f ca="1">IFERROR(__xludf.DUMMYFUNCTION("""COMPUTED_VALUE"""),86.3)</f>
        <v>86.3</v>
      </c>
      <c r="E228" s="141">
        <f ca="1">IFERROR(__xludf.DUMMYFUNCTION("""COMPUTED_VALUE"""),85.67)</f>
        <v>85.67</v>
      </c>
      <c r="F228" s="141">
        <f ca="1">IFERROR(__xludf.DUMMYFUNCTION("""COMPUTED_VALUE"""),85.79)</f>
        <v>85.79</v>
      </c>
      <c r="G228" s="143">
        <f ca="1">IFERROR(__xludf.DUMMYFUNCTION("""COMPUTED_VALUE"""),3343813)</f>
        <v>3343813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IFERROR(__xludf.DUMMYFUNCTION("""COMPUTED_VALUE"""),86.84)</f>
        <v>86.84</v>
      </c>
      <c r="D229" s="141">
        <f ca="1">IFERROR(__xludf.DUMMYFUNCTION("""COMPUTED_VALUE"""),87.14)</f>
        <v>87.14</v>
      </c>
      <c r="E229" s="141">
        <f ca="1">IFERROR(__xludf.DUMMYFUNCTION("""COMPUTED_VALUE"""),86.31)</f>
        <v>86.31</v>
      </c>
      <c r="F229" s="141">
        <f ca="1">IFERROR(__xludf.DUMMYFUNCTION("""COMPUTED_VALUE"""),87.11)</f>
        <v>87.11</v>
      </c>
      <c r="G229" s="143">
        <f ca="1">IFERROR(__xludf.DUMMYFUNCTION("""COMPUTED_VALUE"""),3213932)</f>
        <v>3213932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IFERROR(__xludf.DUMMYFUNCTION("""COMPUTED_VALUE"""),86.96)</f>
        <v>86.96</v>
      </c>
      <c r="D230" s="141">
        <f ca="1">IFERROR(__xludf.DUMMYFUNCTION("""COMPUTED_VALUE"""),87.01)</f>
        <v>87.01</v>
      </c>
      <c r="E230" s="141">
        <f ca="1">IFERROR(__xludf.DUMMYFUNCTION("""COMPUTED_VALUE"""),86.37)</f>
        <v>86.37</v>
      </c>
      <c r="F230" s="141">
        <f ca="1">IFERROR(__xludf.DUMMYFUNCTION("""COMPUTED_VALUE"""),86.41)</f>
        <v>86.41</v>
      </c>
      <c r="G230" s="143">
        <f ca="1">IFERROR(__xludf.DUMMYFUNCTION("""COMPUTED_VALUE"""),2511856)</f>
        <v>2511856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IFERROR(__xludf.DUMMYFUNCTION("""COMPUTED_VALUE"""),86.97)</f>
        <v>86.97</v>
      </c>
      <c r="D231" s="141">
        <f ca="1">IFERROR(__xludf.DUMMYFUNCTION("""COMPUTED_VALUE"""),88.58)</f>
        <v>88.58</v>
      </c>
      <c r="E231" s="141">
        <f ca="1">IFERROR(__xludf.DUMMYFUNCTION("""COMPUTED_VALUE"""),86.8)</f>
        <v>86.8</v>
      </c>
      <c r="F231" s="141">
        <f ca="1">IFERROR(__xludf.DUMMYFUNCTION("""COMPUTED_VALUE"""),88.24)</f>
        <v>88.24</v>
      </c>
      <c r="G231" s="143">
        <f ca="1">IFERROR(__xludf.DUMMYFUNCTION("""COMPUTED_VALUE"""),3244715)</f>
        <v>3244715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IFERROR(__xludf.DUMMYFUNCTION("""COMPUTED_VALUE"""),87.62)</f>
        <v>87.62</v>
      </c>
      <c r="D232" s="141">
        <f ca="1">IFERROR(__xludf.DUMMYFUNCTION("""COMPUTED_VALUE"""),89.11)</f>
        <v>89.11</v>
      </c>
      <c r="E232" s="141">
        <f ca="1">IFERROR(__xludf.DUMMYFUNCTION("""COMPUTED_VALUE"""),87.4)</f>
        <v>87.4</v>
      </c>
      <c r="F232" s="141">
        <f ca="1">IFERROR(__xludf.DUMMYFUNCTION("""COMPUTED_VALUE"""),88.76)</f>
        <v>88.76</v>
      </c>
      <c r="G232" s="143">
        <f ca="1">IFERROR(__xludf.DUMMYFUNCTION("""COMPUTED_VALUE"""),3841061)</f>
        <v>3841061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IFERROR(__xludf.DUMMYFUNCTION("""COMPUTED_VALUE"""),88.87)</f>
        <v>88.87</v>
      </c>
      <c r="D233" s="141">
        <f ca="1">IFERROR(__xludf.DUMMYFUNCTION("""COMPUTED_VALUE"""),88.9)</f>
        <v>88.9</v>
      </c>
      <c r="E233" s="141">
        <f ca="1">IFERROR(__xludf.DUMMYFUNCTION("""COMPUTED_VALUE"""),88.37)</f>
        <v>88.37</v>
      </c>
      <c r="F233" s="141">
        <f ca="1">IFERROR(__xludf.DUMMYFUNCTION("""COMPUTED_VALUE"""),88.46)</f>
        <v>88.46</v>
      </c>
      <c r="G233" s="143">
        <f ca="1">IFERROR(__xludf.DUMMYFUNCTION("""COMPUTED_VALUE"""),1843184)</f>
        <v>1843184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IFERROR(__xludf.DUMMYFUNCTION("""COMPUTED_VALUE"""),89.42)</f>
        <v>89.42</v>
      </c>
      <c r="D234" s="141">
        <f ca="1">IFERROR(__xludf.DUMMYFUNCTION("""COMPUTED_VALUE"""),89.79)</f>
        <v>89.79</v>
      </c>
      <c r="E234" s="141">
        <f ca="1">IFERROR(__xludf.DUMMYFUNCTION("""COMPUTED_VALUE"""),89.1)</f>
        <v>89.1</v>
      </c>
      <c r="F234" s="141">
        <f ca="1">IFERROR(__xludf.DUMMYFUNCTION("""COMPUTED_VALUE"""),89.48)</f>
        <v>89.48</v>
      </c>
      <c r="G234" s="143">
        <f ca="1">IFERROR(__xludf.DUMMYFUNCTION("""COMPUTED_VALUE"""),2432125)</f>
        <v>2432125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IFERROR(__xludf.DUMMYFUNCTION("""COMPUTED_VALUE"""),89.68)</f>
        <v>89.68</v>
      </c>
      <c r="D235" s="141">
        <f ca="1">IFERROR(__xludf.DUMMYFUNCTION("""COMPUTED_VALUE"""),89.7)</f>
        <v>89.7</v>
      </c>
      <c r="E235" s="141">
        <f ca="1">IFERROR(__xludf.DUMMYFUNCTION("""COMPUTED_VALUE"""),89.1)</f>
        <v>89.1</v>
      </c>
      <c r="F235" s="141">
        <f ca="1">IFERROR(__xludf.DUMMYFUNCTION("""COMPUTED_VALUE"""),89.32)</f>
        <v>89.32</v>
      </c>
      <c r="G235" s="143">
        <f ca="1">IFERROR(__xludf.DUMMYFUNCTION("""COMPUTED_VALUE"""),1990799)</f>
        <v>1990799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IFERROR(__xludf.DUMMYFUNCTION("""COMPUTED_VALUE"""),88.75)</f>
        <v>88.75</v>
      </c>
      <c r="D236" s="141">
        <f ca="1">IFERROR(__xludf.DUMMYFUNCTION("""COMPUTED_VALUE"""),89.42)</f>
        <v>89.42</v>
      </c>
      <c r="E236" s="141">
        <f ca="1">IFERROR(__xludf.DUMMYFUNCTION("""COMPUTED_VALUE"""),88.51)</f>
        <v>88.51</v>
      </c>
      <c r="F236" s="141">
        <f ca="1">IFERROR(__xludf.DUMMYFUNCTION("""COMPUTED_VALUE"""),89.03)</f>
        <v>89.03</v>
      </c>
      <c r="G236" s="143">
        <f ca="1">IFERROR(__xludf.DUMMYFUNCTION("""COMPUTED_VALUE"""),2120452)</f>
        <v>2120452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IFERROR(__xludf.DUMMYFUNCTION("""COMPUTED_VALUE"""),89.36)</f>
        <v>89.36</v>
      </c>
      <c r="D237" s="141">
        <f ca="1">IFERROR(__xludf.DUMMYFUNCTION("""COMPUTED_VALUE"""),89.76)</f>
        <v>89.76</v>
      </c>
      <c r="E237" s="141">
        <f ca="1">IFERROR(__xludf.DUMMYFUNCTION("""COMPUTED_VALUE"""),88.97)</f>
        <v>88.97</v>
      </c>
      <c r="F237" s="141">
        <f ca="1">IFERROR(__xludf.DUMMYFUNCTION("""COMPUTED_VALUE"""),89.01)</f>
        <v>89.01</v>
      </c>
      <c r="G237" s="143">
        <f ca="1">IFERROR(__xludf.DUMMYFUNCTION("""COMPUTED_VALUE"""),2547836)</f>
        <v>2547836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IFERROR(__xludf.DUMMYFUNCTION("""COMPUTED_VALUE"""),88.14)</f>
        <v>88.14</v>
      </c>
      <c r="D238" s="141">
        <f ca="1">IFERROR(__xludf.DUMMYFUNCTION("""COMPUTED_VALUE"""),88.96)</f>
        <v>88.96</v>
      </c>
      <c r="E238" s="141">
        <f ca="1">IFERROR(__xludf.DUMMYFUNCTION("""COMPUTED_VALUE"""),87.86)</f>
        <v>87.86</v>
      </c>
      <c r="F238" s="141">
        <f ca="1">IFERROR(__xludf.DUMMYFUNCTION("""COMPUTED_VALUE"""),88.52)</f>
        <v>88.52</v>
      </c>
      <c r="G238" s="143">
        <f ca="1">IFERROR(__xludf.DUMMYFUNCTION("""COMPUTED_VALUE"""),3941187)</f>
        <v>3941187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IFERROR(__xludf.DUMMYFUNCTION("""COMPUTED_VALUE"""),88.84)</f>
        <v>88.84</v>
      </c>
      <c r="D239" s="141">
        <f ca="1">IFERROR(__xludf.DUMMYFUNCTION("""COMPUTED_VALUE"""),89.14)</f>
        <v>89.14</v>
      </c>
      <c r="E239" s="141">
        <f ca="1">IFERROR(__xludf.DUMMYFUNCTION("""COMPUTED_VALUE"""),88.56)</f>
        <v>88.56</v>
      </c>
      <c r="F239" s="141">
        <f ca="1">IFERROR(__xludf.DUMMYFUNCTION("""COMPUTED_VALUE"""),88.96)</f>
        <v>88.96</v>
      </c>
      <c r="G239" s="143">
        <f ca="1">IFERROR(__xludf.DUMMYFUNCTION("""COMPUTED_VALUE"""),4468239)</f>
        <v>4468239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IFERROR(__xludf.DUMMYFUNCTION("""COMPUTED_VALUE"""),88.43)</f>
        <v>88.43</v>
      </c>
      <c r="D240" s="141">
        <f ca="1">IFERROR(__xludf.DUMMYFUNCTION("""COMPUTED_VALUE"""),88.57)</f>
        <v>88.57</v>
      </c>
      <c r="E240" s="141">
        <f ca="1">IFERROR(__xludf.DUMMYFUNCTION("""COMPUTED_VALUE"""),87.9)</f>
        <v>87.9</v>
      </c>
      <c r="F240" s="141">
        <f ca="1">IFERROR(__xludf.DUMMYFUNCTION("""COMPUTED_VALUE"""),87.9)</f>
        <v>87.9</v>
      </c>
      <c r="G240" s="143">
        <f ca="1">IFERROR(__xludf.DUMMYFUNCTION("""COMPUTED_VALUE"""),1682060)</f>
        <v>1682060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IFERROR(__xludf.DUMMYFUNCTION("""COMPUTED_VALUE"""),88.63)</f>
        <v>88.63</v>
      </c>
      <c r="D241" s="141">
        <f ca="1">IFERROR(__xludf.DUMMYFUNCTION("""COMPUTED_VALUE"""),89)</f>
        <v>89</v>
      </c>
      <c r="E241" s="141">
        <f ca="1">IFERROR(__xludf.DUMMYFUNCTION("""COMPUTED_VALUE"""),88.53)</f>
        <v>88.53</v>
      </c>
      <c r="F241" s="141">
        <f ca="1">IFERROR(__xludf.DUMMYFUNCTION("""COMPUTED_VALUE"""),88.89)</f>
        <v>88.89</v>
      </c>
      <c r="G241" s="143">
        <f ca="1">IFERROR(__xludf.DUMMYFUNCTION("""COMPUTED_VALUE"""),4615998)</f>
        <v>4615998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IFERROR(__xludf.DUMMYFUNCTION("""COMPUTED_VALUE"""),88.58)</f>
        <v>88.58</v>
      </c>
      <c r="D242" s="141">
        <f ca="1">IFERROR(__xludf.DUMMYFUNCTION("""COMPUTED_VALUE"""),88.72)</f>
        <v>88.72</v>
      </c>
      <c r="E242" s="141">
        <f ca="1">IFERROR(__xludf.DUMMYFUNCTION("""COMPUTED_VALUE"""),86.84)</f>
        <v>86.84</v>
      </c>
      <c r="F242" s="141">
        <f ca="1">IFERROR(__xludf.DUMMYFUNCTION("""COMPUTED_VALUE"""),87.13)</f>
        <v>87.13</v>
      </c>
      <c r="G242" s="143">
        <f ca="1">IFERROR(__xludf.DUMMYFUNCTION("""COMPUTED_VALUE"""),2457377)</f>
        <v>2457377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IFERROR(__xludf.DUMMYFUNCTION("""COMPUTED_VALUE"""),87.73)</f>
        <v>87.73</v>
      </c>
      <c r="D243" s="141">
        <f ca="1">IFERROR(__xludf.DUMMYFUNCTION("""COMPUTED_VALUE"""),88.04)</f>
        <v>88.04</v>
      </c>
      <c r="E243" s="141">
        <f ca="1">IFERROR(__xludf.DUMMYFUNCTION("""COMPUTED_VALUE"""),87.36)</f>
        <v>87.36</v>
      </c>
      <c r="F243" s="141">
        <f ca="1">IFERROR(__xludf.DUMMYFUNCTION("""COMPUTED_VALUE"""),87.52)</f>
        <v>87.52</v>
      </c>
      <c r="G243" s="143">
        <f ca="1">IFERROR(__xludf.DUMMYFUNCTION("""COMPUTED_VALUE"""),2674188)</f>
        <v>2674188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IFERROR(__xludf.DUMMYFUNCTION("""COMPUTED_VALUE"""),88.4)</f>
        <v>88.4</v>
      </c>
      <c r="D244" s="141">
        <f ca="1">IFERROR(__xludf.DUMMYFUNCTION("""COMPUTED_VALUE"""),88.84)</f>
        <v>88.84</v>
      </c>
      <c r="E244" s="141">
        <f ca="1">IFERROR(__xludf.DUMMYFUNCTION("""COMPUTED_VALUE"""),86.48)</f>
        <v>86.48</v>
      </c>
      <c r="F244" s="141">
        <f ca="1">IFERROR(__xludf.DUMMYFUNCTION("""COMPUTED_VALUE"""),87.88)</f>
        <v>87.88</v>
      </c>
      <c r="G244" s="143">
        <f ca="1">IFERROR(__xludf.DUMMYFUNCTION("""COMPUTED_VALUE"""),4819497)</f>
        <v>4819497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IFERROR(__xludf.DUMMYFUNCTION("""COMPUTED_VALUE"""),87.37)</f>
        <v>87.37</v>
      </c>
      <c r="D245" s="141">
        <f ca="1">IFERROR(__xludf.DUMMYFUNCTION("""COMPUTED_VALUE"""),87.88)</f>
        <v>87.88</v>
      </c>
      <c r="E245" s="141">
        <f ca="1">IFERROR(__xludf.DUMMYFUNCTION("""COMPUTED_VALUE"""),86.67)</f>
        <v>86.67</v>
      </c>
      <c r="F245" s="141">
        <f ca="1">IFERROR(__xludf.DUMMYFUNCTION("""COMPUTED_VALUE"""),86.69)</f>
        <v>86.69</v>
      </c>
      <c r="G245" s="143">
        <f ca="1">IFERROR(__xludf.DUMMYFUNCTION("""COMPUTED_VALUE"""),3881648)</f>
        <v>3881648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IFERROR(__xludf.DUMMYFUNCTION("""COMPUTED_VALUE"""),87.55)</f>
        <v>87.55</v>
      </c>
      <c r="D246" s="141">
        <f ca="1">IFERROR(__xludf.DUMMYFUNCTION("""COMPUTED_VALUE"""),89.57)</f>
        <v>89.57</v>
      </c>
      <c r="E246" s="141">
        <f ca="1">IFERROR(__xludf.DUMMYFUNCTION("""COMPUTED_VALUE"""),87.29)</f>
        <v>87.29</v>
      </c>
      <c r="F246" s="141">
        <f ca="1">IFERROR(__xludf.DUMMYFUNCTION("""COMPUTED_VALUE"""),89.46)</f>
        <v>89.46</v>
      </c>
      <c r="G246" s="143">
        <f ca="1">IFERROR(__xludf.DUMMYFUNCTION("""COMPUTED_VALUE"""),4069187)</f>
        <v>4069187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IFERROR(__xludf.DUMMYFUNCTION("""COMPUTED_VALUE"""),89.21)</f>
        <v>89.21</v>
      </c>
      <c r="D247" s="141">
        <f ca="1">IFERROR(__xludf.DUMMYFUNCTION("""COMPUTED_VALUE"""),89.79)</f>
        <v>89.79</v>
      </c>
      <c r="E247" s="141">
        <f ca="1">IFERROR(__xludf.DUMMYFUNCTION("""COMPUTED_VALUE"""),88.9)</f>
        <v>88.9</v>
      </c>
      <c r="F247" s="141">
        <f ca="1">IFERROR(__xludf.DUMMYFUNCTION("""COMPUTED_VALUE"""),89.62)</f>
        <v>89.62</v>
      </c>
      <c r="G247" s="143">
        <f ca="1">IFERROR(__xludf.DUMMYFUNCTION("""COMPUTED_VALUE"""),2749488)</f>
        <v>2749488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IFERROR(__xludf.DUMMYFUNCTION("""COMPUTED_VALUE"""),90.45)</f>
        <v>90.45</v>
      </c>
      <c r="D248" s="141">
        <f ca="1">IFERROR(__xludf.DUMMYFUNCTION("""COMPUTED_VALUE"""),90.71)</f>
        <v>90.71</v>
      </c>
      <c r="E248" s="141">
        <f ca="1">IFERROR(__xludf.DUMMYFUNCTION("""COMPUTED_VALUE"""),89.81)</f>
        <v>89.81</v>
      </c>
      <c r="F248" s="141">
        <f ca="1">IFERROR(__xludf.DUMMYFUNCTION("""COMPUTED_VALUE"""),89.87)</f>
        <v>89.87</v>
      </c>
      <c r="G248" s="143">
        <f ca="1">IFERROR(__xludf.DUMMYFUNCTION("""COMPUTED_VALUE"""),3017680)</f>
        <v>3017680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IFERROR(__xludf.DUMMYFUNCTION("""COMPUTED_VALUE"""),90.37)</f>
        <v>90.37</v>
      </c>
      <c r="D249" s="141">
        <f ca="1">IFERROR(__xludf.DUMMYFUNCTION("""COMPUTED_VALUE"""),90.48)</f>
        <v>90.48</v>
      </c>
      <c r="E249" s="141">
        <f ca="1">IFERROR(__xludf.DUMMYFUNCTION("""COMPUTED_VALUE"""),89.96)</f>
        <v>89.96</v>
      </c>
      <c r="F249" s="141">
        <f ca="1">IFERROR(__xludf.DUMMYFUNCTION("""COMPUTED_VALUE"""),90.01)</f>
        <v>90.01</v>
      </c>
      <c r="G249" s="143">
        <f ca="1">IFERROR(__xludf.DUMMYFUNCTION("""COMPUTED_VALUE"""),1671394)</f>
        <v>1671394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IFERROR(__xludf.DUMMYFUNCTION("""COMPUTED_VALUE"""),90.43)</f>
        <v>90.43</v>
      </c>
      <c r="D250" s="141">
        <f ca="1">IFERROR(__xludf.DUMMYFUNCTION("""COMPUTED_VALUE"""),90.73)</f>
        <v>90.73</v>
      </c>
      <c r="E250" s="141">
        <f ca="1">IFERROR(__xludf.DUMMYFUNCTION("""COMPUTED_VALUE"""),89.05)</f>
        <v>89.05</v>
      </c>
      <c r="F250" s="141">
        <f ca="1">IFERROR(__xludf.DUMMYFUNCTION("""COMPUTED_VALUE"""),89.23)</f>
        <v>89.23</v>
      </c>
      <c r="G250" s="143">
        <f ca="1">IFERROR(__xludf.DUMMYFUNCTION("""COMPUTED_VALUE"""),3574400)</f>
        <v>3574400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IFERROR(__xludf.DUMMYFUNCTION("""COMPUTED_VALUE"""),88.18)</f>
        <v>88.18</v>
      </c>
      <c r="D251" s="141">
        <f ca="1">IFERROR(__xludf.DUMMYFUNCTION("""COMPUTED_VALUE"""),88.47)</f>
        <v>88.47</v>
      </c>
      <c r="E251" s="141">
        <f ca="1">IFERROR(__xludf.DUMMYFUNCTION("""COMPUTED_VALUE"""),88.04)</f>
        <v>88.04</v>
      </c>
      <c r="F251" s="141">
        <f ca="1">IFERROR(__xludf.DUMMYFUNCTION("""COMPUTED_VALUE"""),88.27)</f>
        <v>88.27</v>
      </c>
      <c r="G251" s="143">
        <f ca="1">IFERROR(__xludf.DUMMYFUNCTION("""COMPUTED_VALUE"""),2059321)</f>
        <v>2059321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IFERROR(__xludf.DUMMYFUNCTION("""COMPUTED_VALUE"""),88.22)</f>
        <v>88.22</v>
      </c>
      <c r="D252" s="141">
        <f ca="1">IFERROR(__xludf.DUMMYFUNCTION("""COMPUTED_VALUE"""),88.36)</f>
        <v>88.36</v>
      </c>
      <c r="E252" s="141">
        <f ca="1">IFERROR(__xludf.DUMMYFUNCTION("""COMPUTED_VALUE"""),88.03)</f>
        <v>88.03</v>
      </c>
      <c r="F252" s="141">
        <f ca="1">IFERROR(__xludf.DUMMYFUNCTION("""COMPUTED_VALUE"""),88.25)</f>
        <v>88.25</v>
      </c>
      <c r="G252" s="143">
        <f ca="1">IFERROR(__xludf.DUMMYFUNCTION("""COMPUTED_VALUE"""),1937195)</f>
        <v>1937195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IFERROR(__xludf.DUMMYFUNCTION("""COMPUTED_VALUE"""),87.11)</f>
        <v>87.11</v>
      </c>
      <c r="D253" s="141">
        <f ca="1">IFERROR(__xludf.DUMMYFUNCTION("""COMPUTED_VALUE"""),87.56)</f>
        <v>87.56</v>
      </c>
      <c r="E253" s="141">
        <f ca="1">IFERROR(__xludf.DUMMYFUNCTION("""COMPUTED_VALUE"""),87.02)</f>
        <v>87.02</v>
      </c>
      <c r="F253" s="141">
        <f ca="1">IFERROR(__xludf.DUMMYFUNCTION("""COMPUTED_VALUE"""),87.16)</f>
        <v>87.16</v>
      </c>
      <c r="G253" s="143">
        <f ca="1">IFERROR(__xludf.DUMMYFUNCTION("""COMPUTED_VALUE"""),3015439)</f>
        <v>3015439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IFERROR(__xludf.DUMMYFUNCTION("""COMPUTED_VALUE"""),86.85)</f>
        <v>86.85</v>
      </c>
      <c r="D254" s="141">
        <f ca="1">IFERROR(__xludf.DUMMYFUNCTION("""COMPUTED_VALUE"""),87.27)</f>
        <v>87.27</v>
      </c>
      <c r="E254" s="141">
        <f ca="1">IFERROR(__xludf.DUMMYFUNCTION("""COMPUTED_VALUE"""),86.63)</f>
        <v>86.63</v>
      </c>
      <c r="F254" s="141">
        <f ca="1">IFERROR(__xludf.DUMMYFUNCTION("""COMPUTED_VALUE"""),86.95)</f>
        <v>86.95</v>
      </c>
      <c r="G254" s="143">
        <f ca="1">IFERROR(__xludf.DUMMYFUNCTION("""COMPUTED_VALUE"""),2162492)</f>
        <v>2162492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IFERROR(__xludf.DUMMYFUNCTION("""COMPUTED_VALUE"""),87.85)</f>
        <v>87.85</v>
      </c>
      <c r="D255" s="141">
        <f ca="1">IFERROR(__xludf.DUMMYFUNCTION("""COMPUTED_VALUE"""),88.25)</f>
        <v>88.25</v>
      </c>
      <c r="E255" s="141">
        <f ca="1">IFERROR(__xludf.DUMMYFUNCTION("""COMPUTED_VALUE"""),87.46)</f>
        <v>87.46</v>
      </c>
      <c r="F255" s="141">
        <f ca="1">IFERROR(__xludf.DUMMYFUNCTION("""COMPUTED_VALUE"""),87.83)</f>
        <v>87.83</v>
      </c>
      <c r="G255" s="143">
        <f ca="1">IFERROR(__xludf.DUMMYFUNCTION("""COMPUTED_VALUE"""),2209357)</f>
        <v>2209357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IFERROR(__xludf.DUMMYFUNCTION("""COMPUTED_VALUE"""),87.28)</f>
        <v>87.28</v>
      </c>
      <c r="D256" s="141">
        <f ca="1">IFERROR(__xludf.DUMMYFUNCTION("""COMPUTED_VALUE"""),87.65)</f>
        <v>87.65</v>
      </c>
      <c r="E256" s="141">
        <f ca="1">IFERROR(__xludf.DUMMYFUNCTION("""COMPUTED_VALUE"""),87.03)</f>
        <v>87.03</v>
      </c>
      <c r="F256" s="141">
        <f ca="1">IFERROR(__xludf.DUMMYFUNCTION("""COMPUTED_VALUE"""),87.13)</f>
        <v>87.13</v>
      </c>
      <c r="G256" s="143">
        <f ca="1">IFERROR(__xludf.DUMMYFUNCTION("""COMPUTED_VALUE"""),2001521)</f>
        <v>2001521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IFERROR(__xludf.DUMMYFUNCTION("""COMPUTED_VALUE"""),87.63)</f>
        <v>87.63</v>
      </c>
      <c r="D257" s="141">
        <f ca="1">IFERROR(__xludf.DUMMYFUNCTION("""COMPUTED_VALUE"""),88.12)</f>
        <v>88.12</v>
      </c>
      <c r="E257" s="141">
        <f ca="1">IFERROR(__xludf.DUMMYFUNCTION("""COMPUTED_VALUE"""),87.22)</f>
        <v>87.22</v>
      </c>
      <c r="F257" s="141">
        <f ca="1">IFERROR(__xludf.DUMMYFUNCTION("""COMPUTED_VALUE"""),88.07)</f>
        <v>88.07</v>
      </c>
      <c r="G257" s="143">
        <f ca="1">IFERROR(__xludf.DUMMYFUNCTION("""COMPUTED_VALUE"""),1630612)</f>
        <v>1630612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IFERROR(__xludf.DUMMYFUNCTION("""COMPUTED_VALUE"""),88.24)</f>
        <v>88.24</v>
      </c>
      <c r="D258" s="141">
        <f ca="1">IFERROR(__xludf.DUMMYFUNCTION("""COMPUTED_VALUE"""),88.58)</f>
        <v>88.58</v>
      </c>
      <c r="E258" s="141">
        <f ca="1">IFERROR(__xludf.DUMMYFUNCTION("""COMPUTED_VALUE"""),88.03)</f>
        <v>88.03</v>
      </c>
      <c r="F258" s="141">
        <f ca="1">IFERROR(__xludf.DUMMYFUNCTION("""COMPUTED_VALUE"""),88.54)</f>
        <v>88.54</v>
      </c>
      <c r="G258" s="143">
        <f ca="1">IFERROR(__xludf.DUMMYFUNCTION("""COMPUTED_VALUE"""),2067152)</f>
        <v>2067152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IFERROR(__xludf.DUMMYFUNCTION("""COMPUTED_VALUE"""),87.8)</f>
        <v>87.8</v>
      </c>
      <c r="D259" s="141">
        <f ca="1">IFERROR(__xludf.DUMMYFUNCTION("""COMPUTED_VALUE"""),88.05)</f>
        <v>88.05</v>
      </c>
      <c r="E259" s="141">
        <f ca="1">IFERROR(__xludf.DUMMYFUNCTION("""COMPUTED_VALUE"""),87.59)</f>
        <v>87.59</v>
      </c>
      <c r="F259" s="141">
        <f ca="1">IFERROR(__xludf.DUMMYFUNCTION("""COMPUTED_VALUE"""),87.77)</f>
        <v>87.77</v>
      </c>
      <c r="G259" s="143">
        <f ca="1">IFERROR(__xludf.DUMMYFUNCTION("""COMPUTED_VALUE"""),1891027)</f>
        <v>1891027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IFERROR(__xludf.DUMMYFUNCTION("""COMPUTED_VALUE"""),89.33)</f>
        <v>89.33</v>
      </c>
      <c r="D260" s="141">
        <f ca="1">IFERROR(__xludf.DUMMYFUNCTION("""COMPUTED_VALUE"""),89.93)</f>
        <v>89.93</v>
      </c>
      <c r="E260" s="141">
        <f ca="1">IFERROR(__xludf.DUMMYFUNCTION("""COMPUTED_VALUE"""),88.91)</f>
        <v>88.91</v>
      </c>
      <c r="F260" s="141">
        <f ca="1">IFERROR(__xludf.DUMMYFUNCTION("""COMPUTED_VALUE"""),89.35)</f>
        <v>89.35</v>
      </c>
      <c r="G260" s="143">
        <f ca="1">IFERROR(__xludf.DUMMYFUNCTION("""COMPUTED_VALUE"""),2574939)</f>
        <v>2574939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IFERROR(__xludf.DUMMYFUNCTION("""COMPUTED_VALUE"""),89.53)</f>
        <v>89.53</v>
      </c>
      <c r="D261" s="141">
        <f ca="1">IFERROR(__xludf.DUMMYFUNCTION("""COMPUTED_VALUE"""),90)</f>
        <v>90</v>
      </c>
      <c r="E261" s="141">
        <f ca="1">IFERROR(__xludf.DUMMYFUNCTION("""COMPUTED_VALUE"""),89.39)</f>
        <v>89.39</v>
      </c>
      <c r="F261" s="141">
        <f ca="1">IFERROR(__xludf.DUMMYFUNCTION("""COMPUTED_VALUE"""),89.97)</f>
        <v>89.97</v>
      </c>
      <c r="G261" s="143">
        <f ca="1">IFERROR(__xludf.DUMMYFUNCTION("""COMPUTED_VALUE"""),2662790)</f>
        <v>2662790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IFERROR(__xludf.DUMMYFUNCTION("""COMPUTED_VALUE"""),89.83)</f>
        <v>89.83</v>
      </c>
      <c r="D262" s="141">
        <f ca="1">IFERROR(__xludf.DUMMYFUNCTION("""COMPUTED_VALUE"""),90)</f>
        <v>90</v>
      </c>
      <c r="E262" s="141">
        <f ca="1">IFERROR(__xludf.DUMMYFUNCTION("""COMPUTED_VALUE"""),88.81)</f>
        <v>88.81</v>
      </c>
      <c r="F262" s="141">
        <f ca="1">IFERROR(__xludf.DUMMYFUNCTION("""COMPUTED_VALUE"""),89.04)</f>
        <v>89.04</v>
      </c>
      <c r="G262" s="143">
        <f ca="1">IFERROR(__xludf.DUMMYFUNCTION("""COMPUTED_VALUE"""),1997047)</f>
        <v>1997047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IFERROR(__xludf.DUMMYFUNCTION("""COMPUTED_VALUE"""),87.9)</f>
        <v>87.9</v>
      </c>
      <c r="D263" s="141">
        <f ca="1">IFERROR(__xludf.DUMMYFUNCTION("""COMPUTED_VALUE"""),88.2)</f>
        <v>88.2</v>
      </c>
      <c r="E263" s="141">
        <f ca="1">IFERROR(__xludf.DUMMYFUNCTION("""COMPUTED_VALUE"""),87.33)</f>
        <v>87.33</v>
      </c>
      <c r="F263" s="141">
        <f ca="1">IFERROR(__xludf.DUMMYFUNCTION("""COMPUTED_VALUE"""),88.18)</f>
        <v>88.18</v>
      </c>
      <c r="G263" s="143">
        <f ca="1">IFERROR(__xludf.DUMMYFUNCTION("""COMPUTED_VALUE"""),1936135)</f>
        <v>1936135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IFERROR(__xludf.DUMMYFUNCTION("""COMPUTED_VALUE"""),88.37)</f>
        <v>88.37</v>
      </c>
      <c r="D264" s="141">
        <f ca="1">IFERROR(__xludf.DUMMYFUNCTION("""COMPUTED_VALUE"""),88.69)</f>
        <v>88.69</v>
      </c>
      <c r="E264" s="141">
        <f ca="1">IFERROR(__xludf.DUMMYFUNCTION("""COMPUTED_VALUE"""),88.21)</f>
        <v>88.21</v>
      </c>
      <c r="F264" s="141">
        <f ca="1">IFERROR(__xludf.DUMMYFUNCTION("""COMPUTED_VALUE"""),88.41)</f>
        <v>88.41</v>
      </c>
      <c r="G264" s="143">
        <f ca="1">IFERROR(__xludf.DUMMYFUNCTION("""COMPUTED_VALUE"""),1394796)</f>
        <v>1394796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IFERROR(__xludf.DUMMYFUNCTION("""COMPUTED_VALUE"""),88.52)</f>
        <v>88.52</v>
      </c>
      <c r="D265" s="141">
        <f ca="1">IFERROR(__xludf.DUMMYFUNCTION("""COMPUTED_VALUE"""),88.79)</f>
        <v>88.79</v>
      </c>
      <c r="E265" s="141">
        <f ca="1">IFERROR(__xludf.DUMMYFUNCTION("""COMPUTED_VALUE"""),88.09)</f>
        <v>88.09</v>
      </c>
      <c r="F265" s="141">
        <f ca="1">IFERROR(__xludf.DUMMYFUNCTION("""COMPUTED_VALUE"""),88.57)</f>
        <v>88.57</v>
      </c>
      <c r="G265" s="143">
        <f ca="1">IFERROR(__xludf.DUMMYFUNCTION("""COMPUTED_VALUE"""),1479381)</f>
        <v>1479381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IFERROR(__xludf.DUMMYFUNCTION("""COMPUTED_VALUE"""),88.6)</f>
        <v>88.6</v>
      </c>
      <c r="D266" s="141">
        <f ca="1">IFERROR(__xludf.DUMMYFUNCTION("""COMPUTED_VALUE"""),88.61)</f>
        <v>88.61</v>
      </c>
      <c r="E266" s="141">
        <f ca="1">IFERROR(__xludf.DUMMYFUNCTION("""COMPUTED_VALUE"""),87.76)</f>
        <v>87.76</v>
      </c>
      <c r="F266" s="141">
        <f ca="1">IFERROR(__xludf.DUMMYFUNCTION("""COMPUTED_VALUE"""),87.86)</f>
        <v>87.86</v>
      </c>
      <c r="G266" s="143">
        <f ca="1">IFERROR(__xludf.DUMMYFUNCTION("""COMPUTED_VALUE"""),2071960)</f>
        <v>2071960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IFERROR(__xludf.DUMMYFUNCTION("""COMPUTED_VALUE"""),88.58)</f>
        <v>88.58</v>
      </c>
      <c r="D267" s="141">
        <f ca="1">IFERROR(__xludf.DUMMYFUNCTION("""COMPUTED_VALUE"""),88.93)</f>
        <v>88.93</v>
      </c>
      <c r="E267" s="141">
        <f ca="1">IFERROR(__xludf.DUMMYFUNCTION("""COMPUTED_VALUE"""),88.28)</f>
        <v>88.28</v>
      </c>
      <c r="F267" s="141">
        <f ca="1">IFERROR(__xludf.DUMMYFUNCTION("""COMPUTED_VALUE"""),88.3)</f>
        <v>88.3</v>
      </c>
      <c r="G267" s="143">
        <f ca="1">IFERROR(__xludf.DUMMYFUNCTION("""COMPUTED_VALUE"""),1120417)</f>
        <v>1120417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IFERROR(__xludf.DUMMYFUNCTION("""COMPUTED_VALUE"""),88.75)</f>
        <v>88.75</v>
      </c>
      <c r="D268" s="141">
        <f ca="1">IFERROR(__xludf.DUMMYFUNCTION("""COMPUTED_VALUE"""),89.24)</f>
        <v>89.24</v>
      </c>
      <c r="E268" s="141">
        <f ca="1">IFERROR(__xludf.DUMMYFUNCTION("""COMPUTED_VALUE"""),88.42)</f>
        <v>88.42</v>
      </c>
      <c r="F268" s="141">
        <f ca="1">IFERROR(__xludf.DUMMYFUNCTION("""COMPUTED_VALUE"""),89.12)</f>
        <v>89.12</v>
      </c>
      <c r="G268" s="143">
        <f ca="1">IFERROR(__xludf.DUMMYFUNCTION("""COMPUTED_VALUE"""),1446762)</f>
        <v>1446762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IFERROR(__xludf.DUMMYFUNCTION("""COMPUTED_VALUE"""),88.47)</f>
        <v>88.47</v>
      </c>
      <c r="D269" s="141">
        <f ca="1">IFERROR(__xludf.DUMMYFUNCTION("""COMPUTED_VALUE"""),89.08)</f>
        <v>89.08</v>
      </c>
      <c r="E269" s="141">
        <f ca="1">IFERROR(__xludf.DUMMYFUNCTION("""COMPUTED_VALUE"""),88.43)</f>
        <v>88.43</v>
      </c>
      <c r="F269" s="141">
        <f ca="1">IFERROR(__xludf.DUMMYFUNCTION("""COMPUTED_VALUE"""),88.79)</f>
        <v>88.79</v>
      </c>
      <c r="G269" s="143">
        <f ca="1">IFERROR(__xludf.DUMMYFUNCTION("""COMPUTED_VALUE"""),1030867)</f>
        <v>1030867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IFERROR(__xludf.DUMMYFUNCTION("""COMPUTED_VALUE"""),88.14)</f>
        <v>88.14</v>
      </c>
      <c r="D270" s="141">
        <f ca="1">IFERROR(__xludf.DUMMYFUNCTION("""COMPUTED_VALUE"""),88.85)</f>
        <v>88.85</v>
      </c>
      <c r="E270" s="141">
        <f ca="1">IFERROR(__xludf.DUMMYFUNCTION("""COMPUTED_VALUE"""),88.14)</f>
        <v>88.14</v>
      </c>
      <c r="F270" s="141">
        <f ca="1">IFERROR(__xludf.DUMMYFUNCTION("""COMPUTED_VALUE"""),88.59)</f>
        <v>88.59</v>
      </c>
      <c r="G270" s="143">
        <f ca="1">IFERROR(__xludf.DUMMYFUNCTION("""COMPUTED_VALUE"""),1164987)</f>
        <v>1164987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IFERROR(__xludf.DUMMYFUNCTION("""COMPUTED_VALUE"""),88.48)</f>
        <v>88.48</v>
      </c>
      <c r="D271" s="141">
        <f ca="1">IFERROR(__xludf.DUMMYFUNCTION("""COMPUTED_VALUE"""),88.62)</f>
        <v>88.62</v>
      </c>
      <c r="E271" s="141">
        <f ca="1">IFERROR(__xludf.DUMMYFUNCTION("""COMPUTED_VALUE"""),87.62)</f>
        <v>87.62</v>
      </c>
      <c r="F271" s="141">
        <f ca="1">IFERROR(__xludf.DUMMYFUNCTION("""COMPUTED_VALUE"""),87.69)</f>
        <v>87.69</v>
      </c>
      <c r="G271" s="143">
        <f ca="1">IFERROR(__xludf.DUMMYFUNCTION("""COMPUTED_VALUE"""),2553051)</f>
        <v>2553051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IFERROR(__xludf.DUMMYFUNCTION("""COMPUTED_VALUE"""),88.26)</f>
        <v>88.26</v>
      </c>
      <c r="D272" s="141">
        <f ca="1">IFERROR(__xludf.DUMMYFUNCTION("""COMPUTED_VALUE"""),88.83)</f>
        <v>88.83</v>
      </c>
      <c r="E272" s="141">
        <f ca="1">IFERROR(__xludf.DUMMYFUNCTION("""COMPUTED_VALUE"""),88)</f>
        <v>88</v>
      </c>
      <c r="F272" s="141">
        <f ca="1">IFERROR(__xludf.DUMMYFUNCTION("""COMPUTED_VALUE"""),88.76)</f>
        <v>88.76</v>
      </c>
      <c r="G272" s="143">
        <f ca="1">IFERROR(__xludf.DUMMYFUNCTION("""COMPUTED_VALUE"""),2128499)</f>
        <v>2128499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IFERROR(__xludf.DUMMYFUNCTION("""COMPUTED_VALUE"""),89.44)</f>
        <v>89.44</v>
      </c>
      <c r="D273" s="141">
        <f ca="1">IFERROR(__xludf.DUMMYFUNCTION("""COMPUTED_VALUE"""),89.49)</f>
        <v>89.49</v>
      </c>
      <c r="E273" s="141">
        <f ca="1">IFERROR(__xludf.DUMMYFUNCTION("""COMPUTED_VALUE"""),89.05)</f>
        <v>89.05</v>
      </c>
      <c r="F273" s="141">
        <f ca="1">IFERROR(__xludf.DUMMYFUNCTION("""COMPUTED_VALUE"""),89.09)</f>
        <v>89.09</v>
      </c>
      <c r="G273" s="143">
        <f ca="1">IFERROR(__xludf.DUMMYFUNCTION("""COMPUTED_VALUE"""),2169164)</f>
        <v>2169164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IFERROR(__xludf.DUMMYFUNCTION("""COMPUTED_VALUE"""),87.66)</f>
        <v>87.66</v>
      </c>
      <c r="D274" s="141">
        <f ca="1">IFERROR(__xludf.DUMMYFUNCTION("""COMPUTED_VALUE"""),88.1)</f>
        <v>88.1</v>
      </c>
      <c r="E274" s="141">
        <f ca="1">IFERROR(__xludf.DUMMYFUNCTION("""COMPUTED_VALUE"""),87.6)</f>
        <v>87.6</v>
      </c>
      <c r="F274" s="141">
        <f ca="1">IFERROR(__xludf.DUMMYFUNCTION("""COMPUTED_VALUE"""),87.83)</f>
        <v>87.83</v>
      </c>
      <c r="G274" s="143">
        <f ca="1">IFERROR(__xludf.DUMMYFUNCTION("""COMPUTED_VALUE"""),2832181)</f>
        <v>2832181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IFERROR(__xludf.DUMMYFUNCTION("""COMPUTED_VALUE"""),88.49)</f>
        <v>88.49</v>
      </c>
      <c r="D275" s="141">
        <f ca="1">IFERROR(__xludf.DUMMYFUNCTION("""COMPUTED_VALUE"""),88.86)</f>
        <v>88.86</v>
      </c>
      <c r="E275" s="141">
        <f ca="1">IFERROR(__xludf.DUMMYFUNCTION("""COMPUTED_VALUE"""),88.24)</f>
        <v>88.24</v>
      </c>
      <c r="F275" s="141">
        <f ca="1">IFERROR(__xludf.DUMMYFUNCTION("""COMPUTED_VALUE"""),88.41)</f>
        <v>88.41</v>
      </c>
      <c r="G275" s="143">
        <f ca="1">IFERROR(__xludf.DUMMYFUNCTION("""COMPUTED_VALUE"""),2579173)</f>
        <v>2579173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IFERROR(__xludf.DUMMYFUNCTION("""COMPUTED_VALUE"""),89.23)</f>
        <v>89.23</v>
      </c>
      <c r="D276" s="141">
        <f ca="1">IFERROR(__xludf.DUMMYFUNCTION("""COMPUTED_VALUE"""),89.32)</f>
        <v>89.32</v>
      </c>
      <c r="E276" s="141">
        <f ca="1">IFERROR(__xludf.DUMMYFUNCTION("""COMPUTED_VALUE"""),88.53)</f>
        <v>88.53</v>
      </c>
      <c r="F276" s="141">
        <f ca="1">IFERROR(__xludf.DUMMYFUNCTION("""COMPUTED_VALUE"""),88.84)</f>
        <v>88.84</v>
      </c>
      <c r="G276" s="143">
        <f ca="1">IFERROR(__xludf.DUMMYFUNCTION("""COMPUTED_VALUE"""),1920114)</f>
        <v>1920114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IFERROR(__xludf.DUMMYFUNCTION("""COMPUTED_VALUE"""),88.65)</f>
        <v>88.65</v>
      </c>
      <c r="D277" s="141">
        <f ca="1">IFERROR(__xludf.DUMMYFUNCTION("""COMPUTED_VALUE"""),89.45)</f>
        <v>89.45</v>
      </c>
      <c r="E277" s="141">
        <f ca="1">IFERROR(__xludf.DUMMYFUNCTION("""COMPUTED_VALUE"""),88.6)</f>
        <v>88.6</v>
      </c>
      <c r="F277" s="141">
        <f ca="1">IFERROR(__xludf.DUMMYFUNCTION("""COMPUTED_VALUE"""),89.23)</f>
        <v>89.23</v>
      </c>
      <c r="G277" s="143">
        <f ca="1">IFERROR(__xludf.DUMMYFUNCTION("""COMPUTED_VALUE"""),1475059)</f>
        <v>1475059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IFERROR(__xludf.DUMMYFUNCTION("""COMPUTED_VALUE"""),89.12)</f>
        <v>89.12</v>
      </c>
      <c r="D278" s="141">
        <f ca="1">IFERROR(__xludf.DUMMYFUNCTION("""COMPUTED_VALUE"""),89.9)</f>
        <v>89.9</v>
      </c>
      <c r="E278" s="141">
        <f ca="1">IFERROR(__xludf.DUMMYFUNCTION("""COMPUTED_VALUE"""),88.4)</f>
        <v>88.4</v>
      </c>
      <c r="F278" s="141">
        <f ca="1">IFERROR(__xludf.DUMMYFUNCTION("""COMPUTED_VALUE"""),88.86)</f>
        <v>88.86</v>
      </c>
      <c r="G278" s="143">
        <f ca="1">IFERROR(__xludf.DUMMYFUNCTION("""COMPUTED_VALUE"""),2112259)</f>
        <v>2112259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07" priority="5" operator="lessThan">
      <formula>0</formula>
    </cfRule>
    <cfRule type="cellIs" dxfId="106" priority="6" operator="greaterThan">
      <formula>0</formula>
    </cfRule>
  </conditionalFormatting>
  <conditionalFormatting sqref="F28:F1000">
    <cfRule type="expression" dxfId="105" priority="1">
      <formula>AND(F28=MAX(F$28:F$1000),F28&gt;0)</formula>
    </cfRule>
    <cfRule type="expression" dxfId="104" priority="2">
      <formula>AND(F28=MIN(F$28:F$1000),F28&gt;0)</formula>
    </cfRule>
  </conditionalFormatting>
  <conditionalFormatting sqref="F29:F1000">
    <cfRule type="expression" dxfId="103" priority="3">
      <formula>F29&gt;F27</formula>
    </cfRule>
    <cfRule type="expression" dxfId="102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800-000000000000}">
      <formula1>"1 Month,3 Months,6 Months,12 Months,36 Months"</formula1>
    </dataValidation>
  </dataValidations>
  <hyperlinks>
    <hyperlink ref="G2" r:id="rId1" xr:uid="{00000000-0004-0000-0800-000000000000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144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IFERROR(__xludf.DUMMYFUNCTION("GOOGLEFINANCE(B18,""name"")"),"Apple Inc")</f>
        <v>Apple Inc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IFERROR(__xludf.DUMMYFUNCTION("GOOGLEFINANCE(B18,""price"")"),338.19)</f>
        <v>338.19</v>
      </c>
      <c r="C10" s="322"/>
      <c r="D10" s="100">
        <f ca="1">IFERROR(__xludf.DUMMYFUNCTION("IFERROR(GOOGLEFINANCE(B18,""change""),""-"")"),-1.89)</f>
        <v>-1.89</v>
      </c>
      <c r="E10" s="103">
        <f ca="1">IFERROR(__xludf.DUMMYFUNCTION("IFERROR(GOOGLEFINANCE(B18,""changepct"")/100,""-"")"),-0.0056)</f>
        <v>-5.5999999999999999E-3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IFERROR(__xludf.DUMMYFUNCTION("IFERROR(GOOGLEFINANCE(B18,""marketcap""),""-"")"),4967114932357)</f>
        <v>4967114932357</v>
      </c>
      <c r="C14" s="115">
        <f ca="1">IFERROR(__xludf.DUMMYFUNCTION("IFERROR(GOOGLEFINANCE(B18,""pe""),""-"")"),40.91)</f>
        <v>40.909999999999997</v>
      </c>
      <c r="D14" s="115">
        <f ca="1">IFERROR(__xludf.DUMMYFUNCTION("IFERROR(GOOGLEFINANCE(B18,""beta""),""-"")"),1.1)</f>
        <v>1.1000000000000001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145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AAPL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IFERROR(__xludf.DUMMYFUNCTION("""COMPUTED_VALUE"""),45138.6666666666)</f>
        <v>45138.666666666599</v>
      </c>
      <c r="C28" s="141">
        <f ca="1">IFERROR(__xludf.DUMMYFUNCTION("""COMPUTED_VALUE"""),196.06)</f>
        <v>196.06</v>
      </c>
      <c r="D28" s="141">
        <f ca="1">IFERROR(__xludf.DUMMYFUNCTION("""COMPUTED_VALUE"""),196.49)</f>
        <v>196.49</v>
      </c>
      <c r="E28" s="141">
        <f ca="1">IFERROR(__xludf.DUMMYFUNCTION("""COMPUTED_VALUE"""),195.26)</f>
        <v>195.26</v>
      </c>
      <c r="F28" s="141">
        <f ca="1">IFERROR(__xludf.DUMMYFUNCTION("""COMPUTED_VALUE"""),196.45)</f>
        <v>196.45</v>
      </c>
      <c r="G28" s="143">
        <f ca="1">IFERROR(__xludf.DUMMYFUNCTION("""COMPUTED_VALUE"""),38824113)</f>
        <v>38824113</v>
      </c>
      <c r="H28" s="26"/>
    </row>
    <row r="29" spans="1:8" ht="17.25" customHeight="1" x14ac:dyDescent="0.2">
      <c r="A29" s="26"/>
      <c r="B29" s="139">
        <f ca="1">IFERROR(__xludf.DUMMYFUNCTION("""COMPUTED_VALUE"""),45139.6666666666)</f>
        <v>45139.666666666599</v>
      </c>
      <c r="C29" s="141">
        <f ca="1">IFERROR(__xludf.DUMMYFUNCTION("""COMPUTED_VALUE"""),196.24)</f>
        <v>196.24</v>
      </c>
      <c r="D29" s="141">
        <f ca="1">IFERROR(__xludf.DUMMYFUNCTION("""COMPUTED_VALUE"""),196.73)</f>
        <v>196.73</v>
      </c>
      <c r="E29" s="141">
        <f ca="1">IFERROR(__xludf.DUMMYFUNCTION("""COMPUTED_VALUE"""),195.28)</f>
        <v>195.28</v>
      </c>
      <c r="F29" s="141">
        <f ca="1">IFERROR(__xludf.DUMMYFUNCTION("""COMPUTED_VALUE"""),195.61)</f>
        <v>195.61</v>
      </c>
      <c r="G29" s="143">
        <f ca="1">IFERROR(__xludf.DUMMYFUNCTION("""COMPUTED_VALUE"""),35281426)</f>
        <v>35281426</v>
      </c>
      <c r="H29" s="26"/>
    </row>
    <row r="30" spans="1:8" ht="17.25" customHeight="1" x14ac:dyDescent="0.2">
      <c r="A30" s="26"/>
      <c r="B30" s="139">
        <f ca="1">IFERROR(__xludf.DUMMYFUNCTION("""COMPUTED_VALUE"""),45140.6666666666)</f>
        <v>45140.666666666599</v>
      </c>
      <c r="C30" s="141">
        <f ca="1">IFERROR(__xludf.DUMMYFUNCTION("""COMPUTED_VALUE"""),195.04)</f>
        <v>195.04</v>
      </c>
      <c r="D30" s="141">
        <f ca="1">IFERROR(__xludf.DUMMYFUNCTION("""COMPUTED_VALUE"""),195.18)</f>
        <v>195.18</v>
      </c>
      <c r="E30" s="141">
        <f ca="1">IFERROR(__xludf.DUMMYFUNCTION("""COMPUTED_VALUE"""),191.85)</f>
        <v>191.85</v>
      </c>
      <c r="F30" s="141">
        <f ca="1">IFERROR(__xludf.DUMMYFUNCTION("""COMPUTED_VALUE"""),192.58)</f>
        <v>192.58</v>
      </c>
      <c r="G30" s="143">
        <f ca="1">IFERROR(__xludf.DUMMYFUNCTION("""COMPUTED_VALUE"""),50389327)</f>
        <v>50389327</v>
      </c>
      <c r="H30" s="26"/>
    </row>
    <row r="31" spans="1:8" ht="17.25" customHeight="1" x14ac:dyDescent="0.2">
      <c r="A31" s="26"/>
      <c r="B31" s="139">
        <f ca="1">IFERROR(__xludf.DUMMYFUNCTION("""COMPUTED_VALUE"""),45141.6666666666)</f>
        <v>45141.666666666599</v>
      </c>
      <c r="C31" s="141">
        <f ca="1">IFERROR(__xludf.DUMMYFUNCTION("""COMPUTED_VALUE"""),191.57)</f>
        <v>191.57</v>
      </c>
      <c r="D31" s="141">
        <f ca="1">IFERROR(__xludf.DUMMYFUNCTION("""COMPUTED_VALUE"""),192.37)</f>
        <v>192.37</v>
      </c>
      <c r="E31" s="141">
        <f ca="1">IFERROR(__xludf.DUMMYFUNCTION("""COMPUTED_VALUE"""),190.69)</f>
        <v>190.69</v>
      </c>
      <c r="F31" s="141">
        <f ca="1">IFERROR(__xludf.DUMMYFUNCTION("""COMPUTED_VALUE"""),191.17)</f>
        <v>191.17</v>
      </c>
      <c r="G31" s="143">
        <f ca="1">IFERROR(__xludf.DUMMYFUNCTION("""COMPUTED_VALUE"""),62243282)</f>
        <v>62243282</v>
      </c>
      <c r="H31" s="26"/>
    </row>
    <row r="32" spans="1:8" ht="17.25" customHeight="1" x14ac:dyDescent="0.2">
      <c r="A32" s="26"/>
      <c r="B32" s="139">
        <f ca="1">IFERROR(__xludf.DUMMYFUNCTION("""COMPUTED_VALUE"""),45142.6666666666)</f>
        <v>45142.666666666599</v>
      </c>
      <c r="C32" s="141">
        <f ca="1">IFERROR(__xludf.DUMMYFUNCTION("""COMPUTED_VALUE"""),185.52)</f>
        <v>185.52</v>
      </c>
      <c r="D32" s="141">
        <f ca="1">IFERROR(__xludf.DUMMYFUNCTION("""COMPUTED_VALUE"""),187.38)</f>
        <v>187.38</v>
      </c>
      <c r="E32" s="141">
        <f ca="1">IFERROR(__xludf.DUMMYFUNCTION("""COMPUTED_VALUE"""),181.92)</f>
        <v>181.92</v>
      </c>
      <c r="F32" s="141">
        <f ca="1">IFERROR(__xludf.DUMMYFUNCTION("""COMPUTED_VALUE"""),181.99)</f>
        <v>181.99</v>
      </c>
      <c r="G32" s="143">
        <f ca="1">IFERROR(__xludf.DUMMYFUNCTION("""COMPUTED_VALUE"""),115956841)</f>
        <v>115956841</v>
      </c>
      <c r="H32" s="26"/>
    </row>
    <row r="33" spans="1:8" ht="17.25" customHeight="1" x14ac:dyDescent="0.2">
      <c r="A33" s="26"/>
      <c r="B33" s="139">
        <f ca="1">IFERROR(__xludf.DUMMYFUNCTION("""COMPUTED_VALUE"""),45145.6666666666)</f>
        <v>45145.666666666599</v>
      </c>
      <c r="C33" s="141">
        <f ca="1">IFERROR(__xludf.DUMMYFUNCTION("""COMPUTED_VALUE"""),182.13)</f>
        <v>182.13</v>
      </c>
      <c r="D33" s="141">
        <f ca="1">IFERROR(__xludf.DUMMYFUNCTION("""COMPUTED_VALUE"""),183.13)</f>
        <v>183.13</v>
      </c>
      <c r="E33" s="141">
        <f ca="1">IFERROR(__xludf.DUMMYFUNCTION("""COMPUTED_VALUE"""),177.35)</f>
        <v>177.35</v>
      </c>
      <c r="F33" s="141">
        <f ca="1">IFERROR(__xludf.DUMMYFUNCTION("""COMPUTED_VALUE"""),178.85)</f>
        <v>178.85</v>
      </c>
      <c r="G33" s="143">
        <f ca="1">IFERROR(__xludf.DUMMYFUNCTION("""COMPUTED_VALUE"""),97576069)</f>
        <v>97576069</v>
      </c>
      <c r="H33" s="26"/>
    </row>
    <row r="34" spans="1:8" ht="17.25" customHeight="1" x14ac:dyDescent="0.2">
      <c r="A34" s="26"/>
      <c r="B34" s="139">
        <f ca="1">IFERROR(__xludf.DUMMYFUNCTION("""COMPUTED_VALUE"""),45146.6666666666)</f>
        <v>45146.666666666599</v>
      </c>
      <c r="C34" s="141">
        <f ca="1">IFERROR(__xludf.DUMMYFUNCTION("""COMPUTED_VALUE"""),179.69)</f>
        <v>179.69</v>
      </c>
      <c r="D34" s="141">
        <f ca="1">IFERROR(__xludf.DUMMYFUNCTION("""COMPUTED_VALUE"""),180.27)</f>
        <v>180.27</v>
      </c>
      <c r="E34" s="141">
        <f ca="1">IFERROR(__xludf.DUMMYFUNCTION("""COMPUTED_VALUE"""),177.58)</f>
        <v>177.58</v>
      </c>
      <c r="F34" s="141">
        <f ca="1">IFERROR(__xludf.DUMMYFUNCTION("""COMPUTED_VALUE"""),179.8)</f>
        <v>179.8</v>
      </c>
      <c r="G34" s="143">
        <f ca="1">IFERROR(__xludf.DUMMYFUNCTION("""COMPUTED_VALUE"""),67823003)</f>
        <v>67823003</v>
      </c>
      <c r="H34" s="26"/>
    </row>
    <row r="35" spans="1:8" ht="17.25" customHeight="1" x14ac:dyDescent="0.2">
      <c r="A35" s="26"/>
      <c r="B35" s="139">
        <f ca="1">IFERROR(__xludf.DUMMYFUNCTION("""COMPUTED_VALUE"""),45147.6666666666)</f>
        <v>45147.666666666599</v>
      </c>
      <c r="C35" s="141">
        <f ca="1">IFERROR(__xludf.DUMMYFUNCTION("""COMPUTED_VALUE"""),180.87)</f>
        <v>180.87</v>
      </c>
      <c r="D35" s="141">
        <f ca="1">IFERROR(__xludf.DUMMYFUNCTION("""COMPUTED_VALUE"""),180.93)</f>
        <v>180.93</v>
      </c>
      <c r="E35" s="141">
        <f ca="1">IFERROR(__xludf.DUMMYFUNCTION("""COMPUTED_VALUE"""),177.01)</f>
        <v>177.01</v>
      </c>
      <c r="F35" s="141">
        <f ca="1">IFERROR(__xludf.DUMMYFUNCTION("""COMPUTED_VALUE"""),178.19)</f>
        <v>178.19</v>
      </c>
      <c r="G35" s="143">
        <f ca="1">IFERROR(__xludf.DUMMYFUNCTION("""COMPUTED_VALUE"""),60378492)</f>
        <v>60378492</v>
      </c>
      <c r="H35" s="26"/>
    </row>
    <row r="36" spans="1:8" ht="17.25" customHeight="1" x14ac:dyDescent="0.2">
      <c r="A36" s="26"/>
      <c r="B36" s="139">
        <f ca="1">IFERROR(__xludf.DUMMYFUNCTION("""COMPUTED_VALUE"""),45148.6666666666)</f>
        <v>45148.666666666599</v>
      </c>
      <c r="C36" s="141">
        <f ca="1">IFERROR(__xludf.DUMMYFUNCTION("""COMPUTED_VALUE"""),179.48)</f>
        <v>179.48</v>
      </c>
      <c r="D36" s="141">
        <f ca="1">IFERROR(__xludf.DUMMYFUNCTION("""COMPUTED_VALUE"""),180.75)</f>
        <v>180.75</v>
      </c>
      <c r="E36" s="141">
        <f ca="1">IFERROR(__xludf.DUMMYFUNCTION("""COMPUTED_VALUE"""),177.6)</f>
        <v>177.6</v>
      </c>
      <c r="F36" s="141">
        <f ca="1">IFERROR(__xludf.DUMMYFUNCTION("""COMPUTED_VALUE"""),177.97)</f>
        <v>177.97</v>
      </c>
      <c r="G36" s="143">
        <f ca="1">IFERROR(__xludf.DUMMYFUNCTION("""COMPUTED_VALUE"""),54686851)</f>
        <v>54686851</v>
      </c>
      <c r="H36" s="26"/>
    </row>
    <row r="37" spans="1:8" ht="17.25" customHeight="1" x14ac:dyDescent="0.2">
      <c r="A37" s="26"/>
      <c r="B37" s="139">
        <f ca="1">IFERROR(__xludf.DUMMYFUNCTION("""COMPUTED_VALUE"""),45149.6666666666)</f>
        <v>45149.666666666599</v>
      </c>
      <c r="C37" s="141">
        <f ca="1">IFERROR(__xludf.DUMMYFUNCTION("""COMPUTED_VALUE"""),177.32)</f>
        <v>177.32</v>
      </c>
      <c r="D37" s="141">
        <f ca="1">IFERROR(__xludf.DUMMYFUNCTION("""COMPUTED_VALUE"""),178.62)</f>
        <v>178.62</v>
      </c>
      <c r="E37" s="141">
        <f ca="1">IFERROR(__xludf.DUMMYFUNCTION("""COMPUTED_VALUE"""),176.55)</f>
        <v>176.55</v>
      </c>
      <c r="F37" s="141">
        <f ca="1">IFERROR(__xludf.DUMMYFUNCTION("""COMPUTED_VALUE"""),177.79)</f>
        <v>177.79</v>
      </c>
      <c r="G37" s="143">
        <f ca="1">IFERROR(__xludf.DUMMYFUNCTION("""COMPUTED_VALUE"""),52036672)</f>
        <v>52036672</v>
      </c>
      <c r="H37" s="26"/>
    </row>
    <row r="38" spans="1:8" ht="17.25" customHeight="1" x14ac:dyDescent="0.2">
      <c r="A38" s="26"/>
      <c r="B38" s="139">
        <f ca="1">IFERROR(__xludf.DUMMYFUNCTION("""COMPUTED_VALUE"""),45152.6666666666)</f>
        <v>45152.666666666599</v>
      </c>
      <c r="C38" s="141">
        <f ca="1">IFERROR(__xludf.DUMMYFUNCTION("""COMPUTED_VALUE"""),177.97)</f>
        <v>177.97</v>
      </c>
      <c r="D38" s="141">
        <f ca="1">IFERROR(__xludf.DUMMYFUNCTION("""COMPUTED_VALUE"""),179.69)</f>
        <v>179.69</v>
      </c>
      <c r="E38" s="141">
        <f ca="1">IFERROR(__xludf.DUMMYFUNCTION("""COMPUTED_VALUE"""),177.31)</f>
        <v>177.31</v>
      </c>
      <c r="F38" s="141">
        <f ca="1">IFERROR(__xludf.DUMMYFUNCTION("""COMPUTED_VALUE"""),179.46)</f>
        <v>179.46</v>
      </c>
      <c r="G38" s="143">
        <f ca="1">IFERROR(__xludf.DUMMYFUNCTION("""COMPUTED_VALUE"""),43675627)</f>
        <v>43675627</v>
      </c>
      <c r="H38" s="26"/>
    </row>
    <row r="39" spans="1:8" ht="17.25" customHeight="1" x14ac:dyDescent="0.2">
      <c r="A39" s="26"/>
      <c r="B39" s="139">
        <f ca="1">IFERROR(__xludf.DUMMYFUNCTION("""COMPUTED_VALUE"""),45153.6666666666)</f>
        <v>45153.666666666599</v>
      </c>
      <c r="C39" s="141">
        <f ca="1">IFERROR(__xludf.DUMMYFUNCTION("""COMPUTED_VALUE"""),178.88)</f>
        <v>178.88</v>
      </c>
      <c r="D39" s="141">
        <f ca="1">IFERROR(__xludf.DUMMYFUNCTION("""COMPUTED_VALUE"""),179.48)</f>
        <v>179.48</v>
      </c>
      <c r="E39" s="141">
        <f ca="1">IFERROR(__xludf.DUMMYFUNCTION("""COMPUTED_VALUE"""),177.05)</f>
        <v>177.05</v>
      </c>
      <c r="F39" s="141">
        <f ca="1">IFERROR(__xludf.DUMMYFUNCTION("""COMPUTED_VALUE"""),177.45)</f>
        <v>177.45</v>
      </c>
      <c r="G39" s="143">
        <f ca="1">IFERROR(__xludf.DUMMYFUNCTION("""COMPUTED_VALUE"""),43622593)</f>
        <v>43622593</v>
      </c>
      <c r="H39" s="26"/>
    </row>
    <row r="40" spans="1:8" ht="17.25" customHeight="1" x14ac:dyDescent="0.2">
      <c r="A40" s="26"/>
      <c r="B40" s="139">
        <f ca="1">IFERROR(__xludf.DUMMYFUNCTION("""COMPUTED_VALUE"""),45154.6666666666)</f>
        <v>45154.666666666599</v>
      </c>
      <c r="C40" s="141">
        <f ca="1">IFERROR(__xludf.DUMMYFUNCTION("""COMPUTED_VALUE"""),177.13)</f>
        <v>177.13</v>
      </c>
      <c r="D40" s="141">
        <f ca="1">IFERROR(__xludf.DUMMYFUNCTION("""COMPUTED_VALUE"""),178.54)</f>
        <v>178.54</v>
      </c>
      <c r="E40" s="141">
        <f ca="1">IFERROR(__xludf.DUMMYFUNCTION("""COMPUTED_VALUE"""),176.5)</f>
        <v>176.5</v>
      </c>
      <c r="F40" s="141">
        <f ca="1">IFERROR(__xludf.DUMMYFUNCTION("""COMPUTED_VALUE"""),176.57)</f>
        <v>176.57</v>
      </c>
      <c r="G40" s="143">
        <f ca="1">IFERROR(__xludf.DUMMYFUNCTION("""COMPUTED_VALUE"""),46964857)</f>
        <v>46964857</v>
      </c>
      <c r="H40" s="26"/>
    </row>
    <row r="41" spans="1:8" ht="17.25" customHeight="1" x14ac:dyDescent="0.2">
      <c r="A41" s="26"/>
      <c r="B41" s="139">
        <f ca="1">IFERROR(__xludf.DUMMYFUNCTION("""COMPUTED_VALUE"""),45155.6666666666)</f>
        <v>45155.666666666599</v>
      </c>
      <c r="C41" s="141">
        <f ca="1">IFERROR(__xludf.DUMMYFUNCTION("""COMPUTED_VALUE"""),177.14)</f>
        <v>177.14</v>
      </c>
      <c r="D41" s="141">
        <f ca="1">IFERROR(__xludf.DUMMYFUNCTION("""COMPUTED_VALUE"""),177.51)</f>
        <v>177.51</v>
      </c>
      <c r="E41" s="141">
        <f ca="1">IFERROR(__xludf.DUMMYFUNCTION("""COMPUTED_VALUE"""),173.48)</f>
        <v>173.48</v>
      </c>
      <c r="F41" s="141">
        <f ca="1">IFERROR(__xludf.DUMMYFUNCTION("""COMPUTED_VALUE"""),174)</f>
        <v>174</v>
      </c>
      <c r="G41" s="143">
        <f ca="1">IFERROR(__xludf.DUMMYFUNCTION("""COMPUTED_VALUE"""),66062882)</f>
        <v>66062882</v>
      </c>
      <c r="H41" s="26"/>
    </row>
    <row r="42" spans="1:8" ht="17.25" customHeight="1" x14ac:dyDescent="0.2">
      <c r="A42" s="26"/>
      <c r="B42" s="139">
        <f ca="1">IFERROR(__xludf.DUMMYFUNCTION("""COMPUTED_VALUE"""),45156.6666666666)</f>
        <v>45156.666666666599</v>
      </c>
      <c r="C42" s="141">
        <f ca="1">IFERROR(__xludf.DUMMYFUNCTION("""COMPUTED_VALUE"""),172.3)</f>
        <v>172.3</v>
      </c>
      <c r="D42" s="141">
        <f ca="1">IFERROR(__xludf.DUMMYFUNCTION("""COMPUTED_VALUE"""),175.1)</f>
        <v>175.1</v>
      </c>
      <c r="E42" s="141">
        <f ca="1">IFERROR(__xludf.DUMMYFUNCTION("""COMPUTED_VALUE"""),171.96)</f>
        <v>171.96</v>
      </c>
      <c r="F42" s="141">
        <f ca="1">IFERROR(__xludf.DUMMYFUNCTION("""COMPUTED_VALUE"""),174.49)</f>
        <v>174.49</v>
      </c>
      <c r="G42" s="143">
        <f ca="1">IFERROR(__xludf.DUMMYFUNCTION("""COMPUTED_VALUE"""),61172150)</f>
        <v>61172150</v>
      </c>
      <c r="H42" s="26"/>
    </row>
    <row r="43" spans="1:8" ht="17.25" customHeight="1" x14ac:dyDescent="0.2">
      <c r="A43" s="26"/>
      <c r="B43" s="139">
        <f ca="1">IFERROR(__xludf.DUMMYFUNCTION("""COMPUTED_VALUE"""),45159.6666666666)</f>
        <v>45159.666666666599</v>
      </c>
      <c r="C43" s="141">
        <f ca="1">IFERROR(__xludf.DUMMYFUNCTION("""COMPUTED_VALUE"""),175.07)</f>
        <v>175.07</v>
      </c>
      <c r="D43" s="141">
        <f ca="1">IFERROR(__xludf.DUMMYFUNCTION("""COMPUTED_VALUE"""),176.13)</f>
        <v>176.13</v>
      </c>
      <c r="E43" s="141">
        <f ca="1">IFERROR(__xludf.DUMMYFUNCTION("""COMPUTED_VALUE"""),173.74)</f>
        <v>173.74</v>
      </c>
      <c r="F43" s="141">
        <f ca="1">IFERROR(__xludf.DUMMYFUNCTION("""COMPUTED_VALUE"""),175.84)</f>
        <v>175.84</v>
      </c>
      <c r="G43" s="143">
        <f ca="1">IFERROR(__xludf.DUMMYFUNCTION("""COMPUTED_VALUE"""),46311879)</f>
        <v>46311879</v>
      </c>
      <c r="H43" s="26"/>
    </row>
    <row r="44" spans="1:8" ht="17.25" customHeight="1" x14ac:dyDescent="0.2">
      <c r="A44" s="26"/>
      <c r="B44" s="139">
        <f ca="1">IFERROR(__xludf.DUMMYFUNCTION("""COMPUTED_VALUE"""),45160.6666666666)</f>
        <v>45160.666666666599</v>
      </c>
      <c r="C44" s="141">
        <f ca="1">IFERROR(__xludf.DUMMYFUNCTION("""COMPUTED_VALUE"""),177.06)</f>
        <v>177.06</v>
      </c>
      <c r="D44" s="141">
        <f ca="1">IFERROR(__xludf.DUMMYFUNCTION("""COMPUTED_VALUE"""),177.68)</f>
        <v>177.68</v>
      </c>
      <c r="E44" s="141">
        <f ca="1">IFERROR(__xludf.DUMMYFUNCTION("""COMPUTED_VALUE"""),176.25)</f>
        <v>176.25</v>
      </c>
      <c r="F44" s="141">
        <f ca="1">IFERROR(__xludf.DUMMYFUNCTION("""COMPUTED_VALUE"""),177.23)</f>
        <v>177.23</v>
      </c>
      <c r="G44" s="143">
        <f ca="1">IFERROR(__xludf.DUMMYFUNCTION("""COMPUTED_VALUE"""),42084245)</f>
        <v>42084245</v>
      </c>
      <c r="H44" s="26"/>
    </row>
    <row r="45" spans="1:8" ht="17.25" customHeight="1" x14ac:dyDescent="0.2">
      <c r="A45" s="26"/>
      <c r="B45" s="139">
        <f ca="1">IFERROR(__xludf.DUMMYFUNCTION("""COMPUTED_VALUE"""),45161.6666666666)</f>
        <v>45161.666666666599</v>
      </c>
      <c r="C45" s="141">
        <f ca="1">IFERROR(__xludf.DUMMYFUNCTION("""COMPUTED_VALUE"""),178.52)</f>
        <v>178.52</v>
      </c>
      <c r="D45" s="141">
        <f ca="1">IFERROR(__xludf.DUMMYFUNCTION("""COMPUTED_VALUE"""),181.55)</f>
        <v>181.55</v>
      </c>
      <c r="E45" s="141">
        <f ca="1">IFERROR(__xludf.DUMMYFUNCTION("""COMPUTED_VALUE"""),178.33)</f>
        <v>178.33</v>
      </c>
      <c r="F45" s="141">
        <f ca="1">IFERROR(__xludf.DUMMYFUNCTION("""COMPUTED_VALUE"""),181.12)</f>
        <v>181.12</v>
      </c>
      <c r="G45" s="143">
        <f ca="1">IFERROR(__xludf.DUMMYFUNCTION("""COMPUTED_VALUE"""),52722752)</f>
        <v>52722752</v>
      </c>
      <c r="H45" s="26"/>
    </row>
    <row r="46" spans="1:8" ht="17.25" customHeight="1" x14ac:dyDescent="0.2">
      <c r="A46" s="26"/>
      <c r="B46" s="139">
        <f ca="1">IFERROR(__xludf.DUMMYFUNCTION("""COMPUTED_VALUE"""),45162.6666666666)</f>
        <v>45162.666666666599</v>
      </c>
      <c r="C46" s="141">
        <f ca="1">IFERROR(__xludf.DUMMYFUNCTION("""COMPUTED_VALUE"""),180.67)</f>
        <v>180.67</v>
      </c>
      <c r="D46" s="141">
        <f ca="1">IFERROR(__xludf.DUMMYFUNCTION("""COMPUTED_VALUE"""),181.1)</f>
        <v>181.1</v>
      </c>
      <c r="E46" s="141">
        <f ca="1">IFERROR(__xludf.DUMMYFUNCTION("""COMPUTED_VALUE"""),176.01)</f>
        <v>176.01</v>
      </c>
      <c r="F46" s="141">
        <f ca="1">IFERROR(__xludf.DUMMYFUNCTION("""COMPUTED_VALUE"""),176.38)</f>
        <v>176.38</v>
      </c>
      <c r="G46" s="143">
        <f ca="1">IFERROR(__xludf.DUMMYFUNCTION("""COMPUTED_VALUE"""),54945798)</f>
        <v>54945798</v>
      </c>
      <c r="H46" s="26"/>
    </row>
    <row r="47" spans="1:8" ht="17.25" customHeight="1" x14ac:dyDescent="0.2">
      <c r="A47" s="26"/>
      <c r="B47" s="139">
        <f ca="1">IFERROR(__xludf.DUMMYFUNCTION("""COMPUTED_VALUE"""),45163.6666666666)</f>
        <v>45163.666666666599</v>
      </c>
      <c r="C47" s="141">
        <f ca="1">IFERROR(__xludf.DUMMYFUNCTION("""COMPUTED_VALUE"""),177.38)</f>
        <v>177.38</v>
      </c>
      <c r="D47" s="141">
        <f ca="1">IFERROR(__xludf.DUMMYFUNCTION("""COMPUTED_VALUE"""),179.15)</f>
        <v>179.15</v>
      </c>
      <c r="E47" s="141">
        <f ca="1">IFERROR(__xludf.DUMMYFUNCTION("""COMPUTED_VALUE"""),175.82)</f>
        <v>175.82</v>
      </c>
      <c r="F47" s="141">
        <f ca="1">IFERROR(__xludf.DUMMYFUNCTION("""COMPUTED_VALUE"""),178.61)</f>
        <v>178.61</v>
      </c>
      <c r="G47" s="143">
        <f ca="1">IFERROR(__xludf.DUMMYFUNCTION("""COMPUTED_VALUE"""),51449594)</f>
        <v>51449594</v>
      </c>
      <c r="H47" s="26"/>
    </row>
    <row r="48" spans="1:8" ht="17.25" customHeight="1" x14ac:dyDescent="0.2">
      <c r="A48" s="26"/>
      <c r="B48" s="139">
        <f ca="1">IFERROR(__xludf.DUMMYFUNCTION("""COMPUTED_VALUE"""),45166.6666666666)</f>
        <v>45166.666666666599</v>
      </c>
      <c r="C48" s="141">
        <f ca="1">IFERROR(__xludf.DUMMYFUNCTION("""COMPUTED_VALUE"""),180.09)</f>
        <v>180.09</v>
      </c>
      <c r="D48" s="141">
        <f ca="1">IFERROR(__xludf.DUMMYFUNCTION("""COMPUTED_VALUE"""),180.59)</f>
        <v>180.59</v>
      </c>
      <c r="E48" s="141">
        <f ca="1">IFERROR(__xludf.DUMMYFUNCTION("""COMPUTED_VALUE"""),178.55)</f>
        <v>178.55</v>
      </c>
      <c r="F48" s="141">
        <f ca="1">IFERROR(__xludf.DUMMYFUNCTION("""COMPUTED_VALUE"""),180.19)</f>
        <v>180.19</v>
      </c>
      <c r="G48" s="143">
        <f ca="1">IFERROR(__xludf.DUMMYFUNCTION("""COMPUTED_VALUE"""),43820697)</f>
        <v>43820697</v>
      </c>
      <c r="H48" s="26"/>
    </row>
    <row r="49" spans="1:8" ht="17.25" customHeight="1" x14ac:dyDescent="0.2">
      <c r="A49" s="26"/>
      <c r="B49" s="139">
        <f ca="1">IFERROR(__xludf.DUMMYFUNCTION("""COMPUTED_VALUE"""),45167.6666666666)</f>
        <v>45167.666666666599</v>
      </c>
      <c r="C49" s="141">
        <f ca="1">IFERROR(__xludf.DUMMYFUNCTION("""COMPUTED_VALUE"""),179.7)</f>
        <v>179.7</v>
      </c>
      <c r="D49" s="141">
        <f ca="1">IFERROR(__xludf.DUMMYFUNCTION("""COMPUTED_VALUE"""),184.9)</f>
        <v>184.9</v>
      </c>
      <c r="E49" s="141">
        <f ca="1">IFERROR(__xludf.DUMMYFUNCTION("""COMPUTED_VALUE"""),179.5)</f>
        <v>179.5</v>
      </c>
      <c r="F49" s="141">
        <f ca="1">IFERROR(__xludf.DUMMYFUNCTION("""COMPUTED_VALUE"""),184.12)</f>
        <v>184.12</v>
      </c>
      <c r="G49" s="143">
        <f ca="1">IFERROR(__xludf.DUMMYFUNCTION("""COMPUTED_VALUE"""),53003948)</f>
        <v>53003948</v>
      </c>
      <c r="H49" s="26"/>
    </row>
    <row r="50" spans="1:8" ht="17.25" customHeight="1" x14ac:dyDescent="0.2">
      <c r="A50" s="26"/>
      <c r="B50" s="139">
        <f ca="1">IFERROR(__xludf.DUMMYFUNCTION("""COMPUTED_VALUE"""),45168.6666666666)</f>
        <v>45168.666666666599</v>
      </c>
      <c r="C50" s="141">
        <f ca="1">IFERROR(__xludf.DUMMYFUNCTION("""COMPUTED_VALUE"""),184.94)</f>
        <v>184.94</v>
      </c>
      <c r="D50" s="141">
        <f ca="1">IFERROR(__xludf.DUMMYFUNCTION("""COMPUTED_VALUE"""),187.85)</f>
        <v>187.85</v>
      </c>
      <c r="E50" s="141">
        <f ca="1">IFERROR(__xludf.DUMMYFUNCTION("""COMPUTED_VALUE"""),184.74)</f>
        <v>184.74</v>
      </c>
      <c r="F50" s="141">
        <f ca="1">IFERROR(__xludf.DUMMYFUNCTION("""COMPUTED_VALUE"""),187.65)</f>
        <v>187.65</v>
      </c>
      <c r="G50" s="143">
        <f ca="1">IFERROR(__xludf.DUMMYFUNCTION("""COMPUTED_VALUE"""),60813888)</f>
        <v>60813888</v>
      </c>
      <c r="H50" s="26"/>
    </row>
    <row r="51" spans="1:8" ht="17.25" customHeight="1" x14ac:dyDescent="0.2">
      <c r="A51" s="26"/>
      <c r="B51" s="139">
        <f ca="1">IFERROR(__xludf.DUMMYFUNCTION("""COMPUTED_VALUE"""),45169.6666666666)</f>
        <v>45169.666666666599</v>
      </c>
      <c r="C51" s="141">
        <f ca="1">IFERROR(__xludf.DUMMYFUNCTION("""COMPUTED_VALUE"""),187.84)</f>
        <v>187.84</v>
      </c>
      <c r="D51" s="141">
        <f ca="1">IFERROR(__xludf.DUMMYFUNCTION("""COMPUTED_VALUE"""),189.12)</f>
        <v>189.12</v>
      </c>
      <c r="E51" s="141">
        <f ca="1">IFERROR(__xludf.DUMMYFUNCTION("""COMPUTED_VALUE"""),187.48)</f>
        <v>187.48</v>
      </c>
      <c r="F51" s="141">
        <f ca="1">IFERROR(__xludf.DUMMYFUNCTION("""COMPUTED_VALUE"""),187.87)</f>
        <v>187.87</v>
      </c>
      <c r="G51" s="143">
        <f ca="1">IFERROR(__xludf.DUMMYFUNCTION("""COMPUTED_VALUE"""),60794467)</f>
        <v>60794467</v>
      </c>
      <c r="H51" s="26"/>
    </row>
    <row r="52" spans="1:8" ht="17.25" customHeight="1" x14ac:dyDescent="0.2">
      <c r="A52" s="26"/>
      <c r="B52" s="139">
        <f ca="1">IFERROR(__xludf.DUMMYFUNCTION("""COMPUTED_VALUE"""),45170.6666666666)</f>
        <v>45170.666666666599</v>
      </c>
      <c r="C52" s="141">
        <f ca="1">IFERROR(__xludf.DUMMYFUNCTION("""COMPUTED_VALUE"""),189.49)</f>
        <v>189.49</v>
      </c>
      <c r="D52" s="141">
        <f ca="1">IFERROR(__xludf.DUMMYFUNCTION("""COMPUTED_VALUE"""),189.92)</f>
        <v>189.92</v>
      </c>
      <c r="E52" s="141">
        <f ca="1">IFERROR(__xludf.DUMMYFUNCTION("""COMPUTED_VALUE"""),188.28)</f>
        <v>188.28</v>
      </c>
      <c r="F52" s="141">
        <f ca="1">IFERROR(__xludf.DUMMYFUNCTION("""COMPUTED_VALUE"""),189.46)</f>
        <v>189.46</v>
      </c>
      <c r="G52" s="143">
        <f ca="1">IFERROR(__xludf.DUMMYFUNCTION("""COMPUTED_VALUE"""),45766503)</f>
        <v>45766503</v>
      </c>
      <c r="H52" s="26"/>
    </row>
    <row r="53" spans="1:8" ht="17.25" customHeight="1" x14ac:dyDescent="0.2">
      <c r="A53" s="26"/>
      <c r="B53" s="139">
        <f ca="1">IFERROR(__xludf.DUMMYFUNCTION("""COMPUTED_VALUE"""),45174.6666666666)</f>
        <v>45174.666666666599</v>
      </c>
      <c r="C53" s="141">
        <f ca="1">IFERROR(__xludf.DUMMYFUNCTION("""COMPUTED_VALUE"""),188.28)</f>
        <v>188.28</v>
      </c>
      <c r="D53" s="141">
        <f ca="1">IFERROR(__xludf.DUMMYFUNCTION("""COMPUTED_VALUE"""),189.98)</f>
        <v>189.98</v>
      </c>
      <c r="E53" s="141">
        <f ca="1">IFERROR(__xludf.DUMMYFUNCTION("""COMPUTED_VALUE"""),187.61)</f>
        <v>187.61</v>
      </c>
      <c r="F53" s="141">
        <f ca="1">IFERROR(__xludf.DUMMYFUNCTION("""COMPUTED_VALUE"""),189.7)</f>
        <v>189.7</v>
      </c>
      <c r="G53" s="143">
        <f ca="1">IFERROR(__xludf.DUMMYFUNCTION("""COMPUTED_VALUE"""),45280027)</f>
        <v>45280027</v>
      </c>
      <c r="H53" s="26"/>
    </row>
    <row r="54" spans="1:8" ht="17.25" customHeight="1" x14ac:dyDescent="0.2">
      <c r="A54" s="26"/>
      <c r="B54" s="139">
        <f ca="1">IFERROR(__xludf.DUMMYFUNCTION("""COMPUTED_VALUE"""),45175.6666666666)</f>
        <v>45175.666666666599</v>
      </c>
      <c r="C54" s="141">
        <f ca="1">IFERROR(__xludf.DUMMYFUNCTION("""COMPUTED_VALUE"""),188.4)</f>
        <v>188.4</v>
      </c>
      <c r="D54" s="141">
        <f ca="1">IFERROR(__xludf.DUMMYFUNCTION("""COMPUTED_VALUE"""),188.85)</f>
        <v>188.85</v>
      </c>
      <c r="E54" s="141">
        <f ca="1">IFERROR(__xludf.DUMMYFUNCTION("""COMPUTED_VALUE"""),181.47)</f>
        <v>181.47</v>
      </c>
      <c r="F54" s="141">
        <f ca="1">IFERROR(__xludf.DUMMYFUNCTION("""COMPUTED_VALUE"""),182.91)</f>
        <v>182.91</v>
      </c>
      <c r="G54" s="143">
        <f ca="1">IFERROR(__xludf.DUMMYFUNCTION("""COMPUTED_VALUE"""),81755816)</f>
        <v>81755816</v>
      </c>
      <c r="H54" s="26"/>
    </row>
    <row r="55" spans="1:8" ht="17.25" customHeight="1" x14ac:dyDescent="0.2">
      <c r="A55" s="26"/>
      <c r="B55" s="139">
        <f ca="1">IFERROR(__xludf.DUMMYFUNCTION("""COMPUTED_VALUE"""),45176.6666666666)</f>
        <v>45176.666666666599</v>
      </c>
      <c r="C55" s="141">
        <f ca="1">IFERROR(__xludf.DUMMYFUNCTION("""COMPUTED_VALUE"""),175.18)</f>
        <v>175.18</v>
      </c>
      <c r="D55" s="141">
        <f ca="1">IFERROR(__xludf.DUMMYFUNCTION("""COMPUTED_VALUE"""),178.21)</f>
        <v>178.21</v>
      </c>
      <c r="E55" s="141">
        <f ca="1">IFERROR(__xludf.DUMMYFUNCTION("""COMPUTED_VALUE"""),173.54)</f>
        <v>173.54</v>
      </c>
      <c r="F55" s="141">
        <f ca="1">IFERROR(__xludf.DUMMYFUNCTION("""COMPUTED_VALUE"""),177.56)</f>
        <v>177.56</v>
      </c>
      <c r="G55" s="143">
        <f ca="1">IFERROR(__xludf.DUMMYFUNCTION("""COMPUTED_VALUE"""),112488803)</f>
        <v>112488803</v>
      </c>
      <c r="H55" s="26"/>
    </row>
    <row r="56" spans="1:8" ht="17.25" customHeight="1" x14ac:dyDescent="0.2">
      <c r="A56" s="26"/>
      <c r="B56" s="139">
        <f ca="1">IFERROR(__xludf.DUMMYFUNCTION("""COMPUTED_VALUE"""),45177.6666666666)</f>
        <v>45177.666666666599</v>
      </c>
      <c r="C56" s="141">
        <f ca="1">IFERROR(__xludf.DUMMYFUNCTION("""COMPUTED_VALUE"""),178.35)</f>
        <v>178.35</v>
      </c>
      <c r="D56" s="141">
        <f ca="1">IFERROR(__xludf.DUMMYFUNCTION("""COMPUTED_VALUE"""),180.24)</f>
        <v>180.24</v>
      </c>
      <c r="E56" s="141">
        <f ca="1">IFERROR(__xludf.DUMMYFUNCTION("""COMPUTED_VALUE"""),177.79)</f>
        <v>177.79</v>
      </c>
      <c r="F56" s="141">
        <f ca="1">IFERROR(__xludf.DUMMYFUNCTION("""COMPUTED_VALUE"""),178.18)</f>
        <v>178.18</v>
      </c>
      <c r="G56" s="143">
        <f ca="1">IFERROR(__xludf.DUMMYFUNCTION("""COMPUTED_VALUE"""),65602066)</f>
        <v>65602066</v>
      </c>
      <c r="H56" s="26"/>
    </row>
    <row r="57" spans="1:8" ht="17.25" customHeight="1" x14ac:dyDescent="0.2">
      <c r="A57" s="26"/>
      <c r="B57" s="139">
        <f ca="1">IFERROR(__xludf.DUMMYFUNCTION("""COMPUTED_VALUE"""),45180.6666666666)</f>
        <v>45180.666666666599</v>
      </c>
      <c r="C57" s="141">
        <f ca="1">IFERROR(__xludf.DUMMYFUNCTION("""COMPUTED_VALUE"""),180.07)</f>
        <v>180.07</v>
      </c>
      <c r="D57" s="141">
        <f ca="1">IFERROR(__xludf.DUMMYFUNCTION("""COMPUTED_VALUE"""),180.3)</f>
        <v>180.3</v>
      </c>
      <c r="E57" s="141">
        <f ca="1">IFERROR(__xludf.DUMMYFUNCTION("""COMPUTED_VALUE"""),177.34)</f>
        <v>177.34</v>
      </c>
      <c r="F57" s="141">
        <f ca="1">IFERROR(__xludf.DUMMYFUNCTION("""COMPUTED_VALUE"""),179.36)</f>
        <v>179.36</v>
      </c>
      <c r="G57" s="143">
        <f ca="1">IFERROR(__xludf.DUMMYFUNCTION("""COMPUTED_VALUE"""),58953052)</f>
        <v>58953052</v>
      </c>
      <c r="H57" s="26"/>
    </row>
    <row r="58" spans="1:8" ht="17.25" customHeight="1" x14ac:dyDescent="0.2">
      <c r="A58" s="26"/>
      <c r="B58" s="139">
        <f ca="1">IFERROR(__xludf.DUMMYFUNCTION("""COMPUTED_VALUE"""),45181.6666666666)</f>
        <v>45181.666666666599</v>
      </c>
      <c r="C58" s="141">
        <f ca="1">IFERROR(__xludf.DUMMYFUNCTION("""COMPUTED_VALUE"""),179.49)</f>
        <v>179.49</v>
      </c>
      <c r="D58" s="141">
        <f ca="1">IFERROR(__xludf.DUMMYFUNCTION("""COMPUTED_VALUE"""),180.13)</f>
        <v>180.13</v>
      </c>
      <c r="E58" s="141">
        <f ca="1">IFERROR(__xludf.DUMMYFUNCTION("""COMPUTED_VALUE"""),174.82)</f>
        <v>174.82</v>
      </c>
      <c r="F58" s="141">
        <f ca="1">IFERROR(__xludf.DUMMYFUNCTION("""COMPUTED_VALUE"""),176.3)</f>
        <v>176.3</v>
      </c>
      <c r="G58" s="143">
        <f ca="1">IFERROR(__xludf.DUMMYFUNCTION("""COMPUTED_VALUE"""),90370192)</f>
        <v>90370192</v>
      </c>
      <c r="H58" s="26"/>
    </row>
    <row r="59" spans="1:8" ht="17.25" customHeight="1" x14ac:dyDescent="0.2">
      <c r="A59" s="26"/>
      <c r="B59" s="139">
        <f ca="1">IFERROR(__xludf.DUMMYFUNCTION("""COMPUTED_VALUE"""),45182.6666666666)</f>
        <v>45182.666666666599</v>
      </c>
      <c r="C59" s="141">
        <f ca="1">IFERROR(__xludf.DUMMYFUNCTION("""COMPUTED_VALUE"""),176.51)</f>
        <v>176.51</v>
      </c>
      <c r="D59" s="141">
        <f ca="1">IFERROR(__xludf.DUMMYFUNCTION("""COMPUTED_VALUE"""),177.3)</f>
        <v>177.3</v>
      </c>
      <c r="E59" s="141">
        <f ca="1">IFERROR(__xludf.DUMMYFUNCTION("""COMPUTED_VALUE"""),173.98)</f>
        <v>173.98</v>
      </c>
      <c r="F59" s="141">
        <f ca="1">IFERROR(__xludf.DUMMYFUNCTION("""COMPUTED_VALUE"""),174.21)</f>
        <v>174.21</v>
      </c>
      <c r="G59" s="143">
        <f ca="1">IFERROR(__xludf.DUMMYFUNCTION("""COMPUTED_VALUE"""),84267928)</f>
        <v>84267928</v>
      </c>
      <c r="H59" s="26"/>
    </row>
    <row r="60" spans="1:8" ht="17.25" customHeight="1" x14ac:dyDescent="0.2">
      <c r="A60" s="26"/>
      <c r="B60" s="139">
        <f ca="1">IFERROR(__xludf.DUMMYFUNCTION("""COMPUTED_VALUE"""),45183.6666666666)</f>
        <v>45183.666666666599</v>
      </c>
      <c r="C60" s="141">
        <f ca="1">IFERROR(__xludf.DUMMYFUNCTION("""COMPUTED_VALUE"""),174)</f>
        <v>174</v>
      </c>
      <c r="D60" s="141">
        <f ca="1">IFERROR(__xludf.DUMMYFUNCTION("""COMPUTED_VALUE"""),176.1)</f>
        <v>176.1</v>
      </c>
      <c r="E60" s="141">
        <f ca="1">IFERROR(__xludf.DUMMYFUNCTION("""COMPUTED_VALUE"""),173.58)</f>
        <v>173.58</v>
      </c>
      <c r="F60" s="141">
        <f ca="1">IFERROR(__xludf.DUMMYFUNCTION("""COMPUTED_VALUE"""),175.74)</f>
        <v>175.74</v>
      </c>
      <c r="G60" s="143">
        <f ca="1">IFERROR(__xludf.DUMMYFUNCTION("""COMPUTED_VALUE"""),60895757)</f>
        <v>60895757</v>
      </c>
      <c r="H60" s="26"/>
    </row>
    <row r="61" spans="1:8" ht="17.25" customHeight="1" x14ac:dyDescent="0.2">
      <c r="A61" s="26"/>
      <c r="B61" s="139">
        <f ca="1">IFERROR(__xludf.DUMMYFUNCTION("""COMPUTED_VALUE"""),45184.6666666666)</f>
        <v>45184.666666666599</v>
      </c>
      <c r="C61" s="141">
        <f ca="1">IFERROR(__xludf.DUMMYFUNCTION("""COMPUTED_VALUE"""),176.48)</f>
        <v>176.48</v>
      </c>
      <c r="D61" s="141">
        <f ca="1">IFERROR(__xludf.DUMMYFUNCTION("""COMPUTED_VALUE"""),176.5)</f>
        <v>176.5</v>
      </c>
      <c r="E61" s="141">
        <f ca="1">IFERROR(__xludf.DUMMYFUNCTION("""COMPUTED_VALUE"""),173.82)</f>
        <v>173.82</v>
      </c>
      <c r="F61" s="141">
        <f ca="1">IFERROR(__xludf.DUMMYFUNCTION("""COMPUTED_VALUE"""),175.01)</f>
        <v>175.01</v>
      </c>
      <c r="G61" s="143">
        <f ca="1">IFERROR(__xludf.DUMMYFUNCTION("""COMPUTED_VALUE"""),109259461)</f>
        <v>109259461</v>
      </c>
      <c r="H61" s="26"/>
    </row>
    <row r="62" spans="1:8" ht="17.25" customHeight="1" x14ac:dyDescent="0.2">
      <c r="A62" s="26"/>
      <c r="B62" s="139">
        <f ca="1">IFERROR(__xludf.DUMMYFUNCTION("""COMPUTED_VALUE"""),45187.6666666666)</f>
        <v>45187.666666666599</v>
      </c>
      <c r="C62" s="141">
        <f ca="1">IFERROR(__xludf.DUMMYFUNCTION("""COMPUTED_VALUE"""),176.48)</f>
        <v>176.48</v>
      </c>
      <c r="D62" s="141">
        <f ca="1">IFERROR(__xludf.DUMMYFUNCTION("""COMPUTED_VALUE"""),179.38)</f>
        <v>179.38</v>
      </c>
      <c r="E62" s="141">
        <f ca="1">IFERROR(__xludf.DUMMYFUNCTION("""COMPUTED_VALUE"""),176.17)</f>
        <v>176.17</v>
      </c>
      <c r="F62" s="141">
        <f ca="1">IFERROR(__xludf.DUMMYFUNCTION("""COMPUTED_VALUE"""),177.97)</f>
        <v>177.97</v>
      </c>
      <c r="G62" s="143">
        <f ca="1">IFERROR(__xludf.DUMMYFUNCTION("""COMPUTED_VALUE"""),67257573)</f>
        <v>67257573</v>
      </c>
      <c r="H62" s="26"/>
    </row>
    <row r="63" spans="1:8" ht="17.25" customHeight="1" x14ac:dyDescent="0.2">
      <c r="A63" s="26"/>
      <c r="B63" s="139">
        <f ca="1">IFERROR(__xludf.DUMMYFUNCTION("""COMPUTED_VALUE"""),45188.6666666666)</f>
        <v>45188.666666666599</v>
      </c>
      <c r="C63" s="141">
        <f ca="1">IFERROR(__xludf.DUMMYFUNCTION("""COMPUTED_VALUE"""),177.52)</f>
        <v>177.52</v>
      </c>
      <c r="D63" s="141">
        <f ca="1">IFERROR(__xludf.DUMMYFUNCTION("""COMPUTED_VALUE"""),179.63)</f>
        <v>179.63</v>
      </c>
      <c r="E63" s="141">
        <f ca="1">IFERROR(__xludf.DUMMYFUNCTION("""COMPUTED_VALUE"""),177.13)</f>
        <v>177.13</v>
      </c>
      <c r="F63" s="141">
        <f ca="1">IFERROR(__xludf.DUMMYFUNCTION("""COMPUTED_VALUE"""),179.07)</f>
        <v>179.07</v>
      </c>
      <c r="G63" s="143">
        <f ca="1">IFERROR(__xludf.DUMMYFUNCTION("""COMPUTED_VALUE"""),51826941)</f>
        <v>51826941</v>
      </c>
      <c r="H63" s="26"/>
    </row>
    <row r="64" spans="1:8" ht="17.25" customHeight="1" x14ac:dyDescent="0.2">
      <c r="A64" s="26"/>
      <c r="B64" s="139">
        <f ca="1">IFERROR(__xludf.DUMMYFUNCTION("""COMPUTED_VALUE"""),45189.6666666666)</f>
        <v>45189.666666666599</v>
      </c>
      <c r="C64" s="141">
        <f ca="1">IFERROR(__xludf.DUMMYFUNCTION("""COMPUTED_VALUE"""),179.26)</f>
        <v>179.26</v>
      </c>
      <c r="D64" s="141">
        <f ca="1">IFERROR(__xludf.DUMMYFUNCTION("""COMPUTED_VALUE"""),179.7)</f>
        <v>179.7</v>
      </c>
      <c r="E64" s="141">
        <f ca="1">IFERROR(__xludf.DUMMYFUNCTION("""COMPUTED_VALUE"""),175.4)</f>
        <v>175.4</v>
      </c>
      <c r="F64" s="141">
        <f ca="1">IFERROR(__xludf.DUMMYFUNCTION("""COMPUTED_VALUE"""),175.49)</f>
        <v>175.49</v>
      </c>
      <c r="G64" s="143">
        <f ca="1">IFERROR(__xludf.DUMMYFUNCTION("""COMPUTED_VALUE"""),58436181)</f>
        <v>58436181</v>
      </c>
      <c r="H64" s="26"/>
    </row>
    <row r="65" spans="1:8" ht="17.25" customHeight="1" x14ac:dyDescent="0.2">
      <c r="A65" s="26"/>
      <c r="B65" s="139">
        <f ca="1">IFERROR(__xludf.DUMMYFUNCTION("""COMPUTED_VALUE"""),45190.6666666666)</f>
        <v>45190.666666666599</v>
      </c>
      <c r="C65" s="141">
        <f ca="1">IFERROR(__xludf.DUMMYFUNCTION("""COMPUTED_VALUE"""),174.55)</f>
        <v>174.55</v>
      </c>
      <c r="D65" s="141">
        <f ca="1">IFERROR(__xludf.DUMMYFUNCTION("""COMPUTED_VALUE"""),176.3)</f>
        <v>176.3</v>
      </c>
      <c r="E65" s="141">
        <f ca="1">IFERROR(__xludf.DUMMYFUNCTION("""COMPUTED_VALUE"""),173.86)</f>
        <v>173.86</v>
      </c>
      <c r="F65" s="141">
        <f ca="1">IFERROR(__xludf.DUMMYFUNCTION("""COMPUTED_VALUE"""),173.93)</f>
        <v>173.93</v>
      </c>
      <c r="G65" s="143">
        <f ca="1">IFERROR(__xludf.DUMMYFUNCTION("""COMPUTED_VALUE"""),63149116)</f>
        <v>63149116</v>
      </c>
      <c r="H65" s="26"/>
    </row>
    <row r="66" spans="1:8" ht="17.25" customHeight="1" x14ac:dyDescent="0.2">
      <c r="A66" s="26"/>
      <c r="B66" s="139">
        <f ca="1">IFERROR(__xludf.DUMMYFUNCTION("""COMPUTED_VALUE"""),45191.6666666666)</f>
        <v>45191.666666666599</v>
      </c>
      <c r="C66" s="141">
        <f ca="1">IFERROR(__xludf.DUMMYFUNCTION("""COMPUTED_VALUE"""),174.67)</f>
        <v>174.67</v>
      </c>
      <c r="D66" s="141">
        <f ca="1">IFERROR(__xludf.DUMMYFUNCTION("""COMPUTED_VALUE"""),177.08)</f>
        <v>177.08</v>
      </c>
      <c r="E66" s="141">
        <f ca="1">IFERROR(__xludf.DUMMYFUNCTION("""COMPUTED_VALUE"""),174.05)</f>
        <v>174.05</v>
      </c>
      <c r="F66" s="141">
        <f ca="1">IFERROR(__xludf.DUMMYFUNCTION("""COMPUTED_VALUE"""),174.79)</f>
        <v>174.79</v>
      </c>
      <c r="G66" s="143">
        <f ca="1">IFERROR(__xludf.DUMMYFUNCTION("""COMPUTED_VALUE"""),56725385)</f>
        <v>56725385</v>
      </c>
      <c r="H66" s="26"/>
    </row>
    <row r="67" spans="1:8" ht="17.25" customHeight="1" x14ac:dyDescent="0.2">
      <c r="A67" s="26"/>
      <c r="B67" s="139">
        <f ca="1">IFERROR(__xludf.DUMMYFUNCTION("""COMPUTED_VALUE"""),45194.6666666666)</f>
        <v>45194.666666666599</v>
      </c>
      <c r="C67" s="141">
        <f ca="1">IFERROR(__xludf.DUMMYFUNCTION("""COMPUTED_VALUE"""),174.2)</f>
        <v>174.2</v>
      </c>
      <c r="D67" s="141">
        <f ca="1">IFERROR(__xludf.DUMMYFUNCTION("""COMPUTED_VALUE"""),176.97)</f>
        <v>176.97</v>
      </c>
      <c r="E67" s="141">
        <f ca="1">IFERROR(__xludf.DUMMYFUNCTION("""COMPUTED_VALUE"""),174.15)</f>
        <v>174.15</v>
      </c>
      <c r="F67" s="141">
        <f ca="1">IFERROR(__xludf.DUMMYFUNCTION("""COMPUTED_VALUE"""),176.08)</f>
        <v>176.08</v>
      </c>
      <c r="G67" s="143">
        <f ca="1">IFERROR(__xludf.DUMMYFUNCTION("""COMPUTED_VALUE"""),46172740)</f>
        <v>46172740</v>
      </c>
      <c r="H67" s="26"/>
    </row>
    <row r="68" spans="1:8" ht="17.25" customHeight="1" x14ac:dyDescent="0.2">
      <c r="A68" s="26"/>
      <c r="B68" s="139">
        <f ca="1">IFERROR(__xludf.DUMMYFUNCTION("""COMPUTED_VALUE"""),45195.6666666666)</f>
        <v>45195.666666666599</v>
      </c>
      <c r="C68" s="141">
        <f ca="1">IFERROR(__xludf.DUMMYFUNCTION("""COMPUTED_VALUE"""),174.82)</f>
        <v>174.82</v>
      </c>
      <c r="D68" s="141">
        <f ca="1">IFERROR(__xludf.DUMMYFUNCTION("""COMPUTED_VALUE"""),175.2)</f>
        <v>175.2</v>
      </c>
      <c r="E68" s="141">
        <f ca="1">IFERROR(__xludf.DUMMYFUNCTION("""COMPUTED_VALUE"""),171.66)</f>
        <v>171.66</v>
      </c>
      <c r="F68" s="141">
        <f ca="1">IFERROR(__xludf.DUMMYFUNCTION("""COMPUTED_VALUE"""),171.96)</f>
        <v>171.96</v>
      </c>
      <c r="G68" s="143">
        <f ca="1">IFERROR(__xludf.DUMMYFUNCTION("""COMPUTED_VALUE"""),64588945)</f>
        <v>64588945</v>
      </c>
      <c r="H68" s="26"/>
    </row>
    <row r="69" spans="1:8" ht="17.25" customHeight="1" x14ac:dyDescent="0.2">
      <c r="A69" s="26"/>
      <c r="B69" s="139">
        <f ca="1">IFERROR(__xludf.DUMMYFUNCTION("""COMPUTED_VALUE"""),45196.6666666666)</f>
        <v>45196.666666666599</v>
      </c>
      <c r="C69" s="141">
        <f ca="1">IFERROR(__xludf.DUMMYFUNCTION("""COMPUTED_VALUE"""),172.62)</f>
        <v>172.62</v>
      </c>
      <c r="D69" s="141">
        <f ca="1">IFERROR(__xludf.DUMMYFUNCTION("""COMPUTED_VALUE"""),173.04)</f>
        <v>173.04</v>
      </c>
      <c r="E69" s="141">
        <f ca="1">IFERROR(__xludf.DUMMYFUNCTION("""COMPUTED_VALUE"""),169.05)</f>
        <v>169.05</v>
      </c>
      <c r="F69" s="141">
        <f ca="1">IFERROR(__xludf.DUMMYFUNCTION("""COMPUTED_VALUE"""),170.43)</f>
        <v>170.43</v>
      </c>
      <c r="G69" s="143">
        <f ca="1">IFERROR(__xludf.DUMMYFUNCTION("""COMPUTED_VALUE"""),66921808)</f>
        <v>66921808</v>
      </c>
      <c r="H69" s="26"/>
    </row>
    <row r="70" spans="1:8" ht="17.25" customHeight="1" x14ac:dyDescent="0.2">
      <c r="A70" s="26"/>
      <c r="B70" s="139">
        <f ca="1">IFERROR(__xludf.DUMMYFUNCTION("""COMPUTED_VALUE"""),45197.6666666666)</f>
        <v>45197.666666666599</v>
      </c>
      <c r="C70" s="141">
        <f ca="1">IFERROR(__xludf.DUMMYFUNCTION("""COMPUTED_VALUE"""),169.34)</f>
        <v>169.34</v>
      </c>
      <c r="D70" s="141">
        <f ca="1">IFERROR(__xludf.DUMMYFUNCTION("""COMPUTED_VALUE"""),172.03)</f>
        <v>172.03</v>
      </c>
      <c r="E70" s="141">
        <f ca="1">IFERROR(__xludf.DUMMYFUNCTION("""COMPUTED_VALUE"""),167.62)</f>
        <v>167.62</v>
      </c>
      <c r="F70" s="141">
        <f ca="1">IFERROR(__xludf.DUMMYFUNCTION("""COMPUTED_VALUE"""),170.69)</f>
        <v>170.69</v>
      </c>
      <c r="G70" s="143">
        <f ca="1">IFERROR(__xludf.DUMMYFUNCTION("""COMPUTED_VALUE"""),56294419)</f>
        <v>56294419</v>
      </c>
      <c r="H70" s="26"/>
    </row>
    <row r="71" spans="1:8" ht="17.25" customHeight="1" x14ac:dyDescent="0.2">
      <c r="A71" s="26"/>
      <c r="B71" s="139">
        <f ca="1">IFERROR(__xludf.DUMMYFUNCTION("""COMPUTED_VALUE"""),45198.6666666666)</f>
        <v>45198.666666666599</v>
      </c>
      <c r="C71" s="141">
        <f ca="1">IFERROR(__xludf.DUMMYFUNCTION("""COMPUTED_VALUE"""),172.02)</f>
        <v>172.02</v>
      </c>
      <c r="D71" s="141">
        <f ca="1">IFERROR(__xludf.DUMMYFUNCTION("""COMPUTED_VALUE"""),173.07)</f>
        <v>173.07</v>
      </c>
      <c r="E71" s="141">
        <f ca="1">IFERROR(__xludf.DUMMYFUNCTION("""COMPUTED_VALUE"""),170.34)</f>
        <v>170.34</v>
      </c>
      <c r="F71" s="141">
        <f ca="1">IFERROR(__xludf.DUMMYFUNCTION("""COMPUTED_VALUE"""),171.21)</f>
        <v>171.21</v>
      </c>
      <c r="G71" s="143">
        <f ca="1">IFERROR(__xludf.DUMMYFUNCTION("""COMPUTED_VALUE"""),51861083)</f>
        <v>51861083</v>
      </c>
      <c r="H71" s="26"/>
    </row>
    <row r="72" spans="1:8" ht="17.25" customHeight="1" x14ac:dyDescent="0.2">
      <c r="A72" s="26"/>
      <c r="B72" s="139">
        <f ca="1">IFERROR(__xludf.DUMMYFUNCTION("""COMPUTED_VALUE"""),45201.6666666666)</f>
        <v>45201.666666666599</v>
      </c>
      <c r="C72" s="141">
        <f ca="1">IFERROR(__xludf.DUMMYFUNCTION("""COMPUTED_VALUE"""),171.22)</f>
        <v>171.22</v>
      </c>
      <c r="D72" s="141">
        <f ca="1">IFERROR(__xludf.DUMMYFUNCTION("""COMPUTED_VALUE"""),174.3)</f>
        <v>174.3</v>
      </c>
      <c r="E72" s="141">
        <f ca="1">IFERROR(__xludf.DUMMYFUNCTION("""COMPUTED_VALUE"""),170.93)</f>
        <v>170.93</v>
      </c>
      <c r="F72" s="141">
        <f ca="1">IFERROR(__xludf.DUMMYFUNCTION("""COMPUTED_VALUE"""),173.75)</f>
        <v>173.75</v>
      </c>
      <c r="G72" s="143">
        <f ca="1">IFERROR(__xludf.DUMMYFUNCTION("""COMPUTED_VALUE"""),52164535)</f>
        <v>52164535</v>
      </c>
      <c r="H72" s="26"/>
    </row>
    <row r="73" spans="1:8" ht="17.25" customHeight="1" x14ac:dyDescent="0.2">
      <c r="A73" s="26"/>
      <c r="B73" s="139">
        <f ca="1">IFERROR(__xludf.DUMMYFUNCTION("""COMPUTED_VALUE"""),45202.6666666666)</f>
        <v>45202.666666666599</v>
      </c>
      <c r="C73" s="141">
        <f ca="1">IFERROR(__xludf.DUMMYFUNCTION("""COMPUTED_VALUE"""),172.26)</f>
        <v>172.26</v>
      </c>
      <c r="D73" s="141">
        <f ca="1">IFERROR(__xludf.DUMMYFUNCTION("""COMPUTED_VALUE"""),173.63)</f>
        <v>173.63</v>
      </c>
      <c r="E73" s="141">
        <f ca="1">IFERROR(__xludf.DUMMYFUNCTION("""COMPUTED_VALUE"""),170.82)</f>
        <v>170.82</v>
      </c>
      <c r="F73" s="141">
        <f ca="1">IFERROR(__xludf.DUMMYFUNCTION("""COMPUTED_VALUE"""),172.4)</f>
        <v>172.4</v>
      </c>
      <c r="G73" s="143">
        <f ca="1">IFERROR(__xludf.DUMMYFUNCTION("""COMPUTED_VALUE"""),49594613)</f>
        <v>49594613</v>
      </c>
      <c r="H73" s="26"/>
    </row>
    <row r="74" spans="1:8" ht="17.25" customHeight="1" x14ac:dyDescent="0.2">
      <c r="A74" s="26"/>
      <c r="B74" s="139">
        <f ca="1">IFERROR(__xludf.DUMMYFUNCTION("""COMPUTED_VALUE"""),45203.6666666666)</f>
        <v>45203.666666666599</v>
      </c>
      <c r="C74" s="141">
        <f ca="1">IFERROR(__xludf.DUMMYFUNCTION("""COMPUTED_VALUE"""),171.09)</f>
        <v>171.09</v>
      </c>
      <c r="D74" s="141">
        <f ca="1">IFERROR(__xludf.DUMMYFUNCTION("""COMPUTED_VALUE"""),174.21)</f>
        <v>174.21</v>
      </c>
      <c r="E74" s="141">
        <f ca="1">IFERROR(__xludf.DUMMYFUNCTION("""COMPUTED_VALUE"""),170.97)</f>
        <v>170.97</v>
      </c>
      <c r="F74" s="141">
        <f ca="1">IFERROR(__xludf.DUMMYFUNCTION("""COMPUTED_VALUE"""),173.66)</f>
        <v>173.66</v>
      </c>
      <c r="G74" s="143">
        <f ca="1">IFERROR(__xludf.DUMMYFUNCTION("""COMPUTED_VALUE"""),53020286)</f>
        <v>53020286</v>
      </c>
      <c r="H74" s="26"/>
    </row>
    <row r="75" spans="1:8" ht="17.25" customHeight="1" x14ac:dyDescent="0.2">
      <c r="A75" s="26"/>
      <c r="B75" s="139">
        <f ca="1">IFERROR(__xludf.DUMMYFUNCTION("""COMPUTED_VALUE"""),45204.6666666666)</f>
        <v>45204.666666666599</v>
      </c>
      <c r="C75" s="141">
        <f ca="1">IFERROR(__xludf.DUMMYFUNCTION("""COMPUTED_VALUE"""),173.79)</f>
        <v>173.79</v>
      </c>
      <c r="D75" s="141">
        <f ca="1">IFERROR(__xludf.DUMMYFUNCTION("""COMPUTED_VALUE"""),175.45)</f>
        <v>175.45</v>
      </c>
      <c r="E75" s="141">
        <f ca="1">IFERROR(__xludf.DUMMYFUNCTION("""COMPUTED_VALUE"""),172.68)</f>
        <v>172.68</v>
      </c>
      <c r="F75" s="141">
        <f ca="1">IFERROR(__xludf.DUMMYFUNCTION("""COMPUTED_VALUE"""),174.91)</f>
        <v>174.91</v>
      </c>
      <c r="G75" s="143">
        <f ca="1">IFERROR(__xludf.DUMMYFUNCTION("""COMPUTED_VALUE"""),48527918)</f>
        <v>48527918</v>
      </c>
      <c r="H75" s="26"/>
    </row>
    <row r="76" spans="1:8" ht="17.25" customHeight="1" x14ac:dyDescent="0.2">
      <c r="A76" s="26"/>
      <c r="B76" s="139">
        <f ca="1">IFERROR(__xludf.DUMMYFUNCTION("""COMPUTED_VALUE"""),45205.6666666666)</f>
        <v>45205.666666666599</v>
      </c>
      <c r="C76" s="141">
        <f ca="1">IFERROR(__xludf.DUMMYFUNCTION("""COMPUTED_VALUE"""),173.8)</f>
        <v>173.8</v>
      </c>
      <c r="D76" s="141">
        <f ca="1">IFERROR(__xludf.DUMMYFUNCTION("""COMPUTED_VALUE"""),177.99)</f>
        <v>177.99</v>
      </c>
      <c r="E76" s="141">
        <f ca="1">IFERROR(__xludf.DUMMYFUNCTION("""COMPUTED_VALUE"""),173.18)</f>
        <v>173.18</v>
      </c>
      <c r="F76" s="141">
        <f ca="1">IFERROR(__xludf.DUMMYFUNCTION("""COMPUTED_VALUE"""),177.49)</f>
        <v>177.49</v>
      </c>
      <c r="G76" s="143">
        <f ca="1">IFERROR(__xludf.DUMMYFUNCTION("""COMPUTED_VALUE"""),57266675)</f>
        <v>57266675</v>
      </c>
      <c r="H76" s="26"/>
    </row>
    <row r="77" spans="1:8" ht="17.25" customHeight="1" x14ac:dyDescent="0.2">
      <c r="A77" s="26"/>
      <c r="B77" s="139">
        <f ca="1">IFERROR(__xludf.DUMMYFUNCTION("""COMPUTED_VALUE"""),45208.6666666666)</f>
        <v>45208.666666666599</v>
      </c>
      <c r="C77" s="141">
        <f ca="1">IFERROR(__xludf.DUMMYFUNCTION("""COMPUTED_VALUE"""),176.81)</f>
        <v>176.81</v>
      </c>
      <c r="D77" s="141">
        <f ca="1">IFERROR(__xludf.DUMMYFUNCTION("""COMPUTED_VALUE"""),179.05)</f>
        <v>179.05</v>
      </c>
      <c r="E77" s="141">
        <f ca="1">IFERROR(__xludf.DUMMYFUNCTION("""COMPUTED_VALUE"""),175.8)</f>
        <v>175.8</v>
      </c>
      <c r="F77" s="141">
        <f ca="1">IFERROR(__xludf.DUMMYFUNCTION("""COMPUTED_VALUE"""),178.99)</f>
        <v>178.99</v>
      </c>
      <c r="G77" s="143">
        <f ca="1">IFERROR(__xludf.DUMMYFUNCTION("""COMPUTED_VALUE"""),42390772)</f>
        <v>42390772</v>
      </c>
      <c r="H77" s="26"/>
    </row>
    <row r="78" spans="1:8" ht="17.25" customHeight="1" x14ac:dyDescent="0.2">
      <c r="A78" s="26"/>
      <c r="B78" s="139">
        <f ca="1">IFERROR(__xludf.DUMMYFUNCTION("""COMPUTED_VALUE"""),45209.6666666666)</f>
        <v>45209.666666666599</v>
      </c>
      <c r="C78" s="141">
        <f ca="1">IFERROR(__xludf.DUMMYFUNCTION("""COMPUTED_VALUE"""),178.1)</f>
        <v>178.1</v>
      </c>
      <c r="D78" s="141">
        <f ca="1">IFERROR(__xludf.DUMMYFUNCTION("""COMPUTED_VALUE"""),179.72)</f>
        <v>179.72</v>
      </c>
      <c r="E78" s="141">
        <f ca="1">IFERROR(__xludf.DUMMYFUNCTION("""COMPUTED_VALUE"""),177.95)</f>
        <v>177.95</v>
      </c>
      <c r="F78" s="141">
        <f ca="1">IFERROR(__xludf.DUMMYFUNCTION("""COMPUTED_VALUE"""),178.39)</f>
        <v>178.39</v>
      </c>
      <c r="G78" s="143">
        <f ca="1">IFERROR(__xludf.DUMMYFUNCTION("""COMPUTED_VALUE"""),43698019)</f>
        <v>43698019</v>
      </c>
      <c r="H78" s="26"/>
    </row>
    <row r="79" spans="1:8" ht="17.25" customHeight="1" x14ac:dyDescent="0.2">
      <c r="A79" s="26"/>
      <c r="B79" s="139">
        <f ca="1">IFERROR(__xludf.DUMMYFUNCTION("""COMPUTED_VALUE"""),45210.6666666666)</f>
        <v>45210.666666666599</v>
      </c>
      <c r="C79" s="141">
        <f ca="1">IFERROR(__xludf.DUMMYFUNCTION("""COMPUTED_VALUE"""),178.2)</f>
        <v>178.2</v>
      </c>
      <c r="D79" s="141">
        <f ca="1">IFERROR(__xludf.DUMMYFUNCTION("""COMPUTED_VALUE"""),179.85)</f>
        <v>179.85</v>
      </c>
      <c r="E79" s="141">
        <f ca="1">IFERROR(__xludf.DUMMYFUNCTION("""COMPUTED_VALUE"""),177.6)</f>
        <v>177.6</v>
      </c>
      <c r="F79" s="141">
        <f ca="1">IFERROR(__xludf.DUMMYFUNCTION("""COMPUTED_VALUE"""),179.8)</f>
        <v>179.8</v>
      </c>
      <c r="G79" s="143">
        <f ca="1">IFERROR(__xludf.DUMMYFUNCTION("""COMPUTED_VALUE"""),47551098)</f>
        <v>47551098</v>
      </c>
      <c r="H79" s="26"/>
    </row>
    <row r="80" spans="1:8" ht="17.25" customHeight="1" x14ac:dyDescent="0.2">
      <c r="A80" s="26"/>
      <c r="B80" s="139">
        <f ca="1">IFERROR(__xludf.DUMMYFUNCTION("""COMPUTED_VALUE"""),45211.6666666666)</f>
        <v>45211.666666666599</v>
      </c>
      <c r="C80" s="141">
        <f ca="1">IFERROR(__xludf.DUMMYFUNCTION("""COMPUTED_VALUE"""),180.07)</f>
        <v>180.07</v>
      </c>
      <c r="D80" s="141">
        <f ca="1">IFERROR(__xludf.DUMMYFUNCTION("""COMPUTED_VALUE"""),182.34)</f>
        <v>182.34</v>
      </c>
      <c r="E80" s="141">
        <f ca="1">IFERROR(__xludf.DUMMYFUNCTION("""COMPUTED_VALUE"""),179.04)</f>
        <v>179.04</v>
      </c>
      <c r="F80" s="141">
        <f ca="1">IFERROR(__xludf.DUMMYFUNCTION("""COMPUTED_VALUE"""),180.71)</f>
        <v>180.71</v>
      </c>
      <c r="G80" s="143">
        <f ca="1">IFERROR(__xludf.DUMMYFUNCTION("""COMPUTED_VALUE"""),56743119)</f>
        <v>56743119</v>
      </c>
      <c r="H80" s="26"/>
    </row>
    <row r="81" spans="1:8" ht="17.25" customHeight="1" x14ac:dyDescent="0.2">
      <c r="A81" s="26"/>
      <c r="B81" s="139">
        <f ca="1">IFERROR(__xludf.DUMMYFUNCTION("""COMPUTED_VALUE"""),45212.6666666666)</f>
        <v>45212.666666666599</v>
      </c>
      <c r="C81" s="141">
        <f ca="1">IFERROR(__xludf.DUMMYFUNCTION("""COMPUTED_VALUE"""),181.42)</f>
        <v>181.42</v>
      </c>
      <c r="D81" s="141">
        <f ca="1">IFERROR(__xludf.DUMMYFUNCTION("""COMPUTED_VALUE"""),181.93)</f>
        <v>181.93</v>
      </c>
      <c r="E81" s="141">
        <f ca="1">IFERROR(__xludf.DUMMYFUNCTION("""COMPUTED_VALUE"""),178.14)</f>
        <v>178.14</v>
      </c>
      <c r="F81" s="141">
        <f ca="1">IFERROR(__xludf.DUMMYFUNCTION("""COMPUTED_VALUE"""),178.85)</f>
        <v>178.85</v>
      </c>
      <c r="G81" s="143">
        <f ca="1">IFERROR(__xludf.DUMMYFUNCTION("""COMPUTED_VALUE"""),51456082)</f>
        <v>51456082</v>
      </c>
      <c r="H81" s="26"/>
    </row>
    <row r="82" spans="1:8" ht="17.25" customHeight="1" x14ac:dyDescent="0.2">
      <c r="A82" s="26"/>
      <c r="B82" s="139">
        <f ca="1">IFERROR(__xludf.DUMMYFUNCTION("""COMPUTED_VALUE"""),45215.6666666666)</f>
        <v>45215.666666666599</v>
      </c>
      <c r="C82" s="141">
        <f ca="1">IFERROR(__xludf.DUMMYFUNCTION("""COMPUTED_VALUE"""),176.75)</f>
        <v>176.75</v>
      </c>
      <c r="D82" s="141">
        <f ca="1">IFERROR(__xludf.DUMMYFUNCTION("""COMPUTED_VALUE"""),179.08)</f>
        <v>179.08</v>
      </c>
      <c r="E82" s="141">
        <f ca="1">IFERROR(__xludf.DUMMYFUNCTION("""COMPUTED_VALUE"""),176.51)</f>
        <v>176.51</v>
      </c>
      <c r="F82" s="141">
        <f ca="1">IFERROR(__xludf.DUMMYFUNCTION("""COMPUTED_VALUE"""),178.72)</f>
        <v>178.72</v>
      </c>
      <c r="G82" s="143">
        <f ca="1">IFERROR(__xludf.DUMMYFUNCTION("""COMPUTED_VALUE"""),52516984)</f>
        <v>52516984</v>
      </c>
      <c r="H82" s="26"/>
    </row>
    <row r="83" spans="1:8" ht="17.25" customHeight="1" x14ac:dyDescent="0.2">
      <c r="A83" s="26"/>
      <c r="B83" s="139">
        <f ca="1">IFERROR(__xludf.DUMMYFUNCTION("""COMPUTED_VALUE"""),45216.6666666666)</f>
        <v>45216.666666666599</v>
      </c>
      <c r="C83" s="141">
        <f ca="1">IFERROR(__xludf.DUMMYFUNCTION("""COMPUTED_VALUE"""),176.65)</f>
        <v>176.65</v>
      </c>
      <c r="D83" s="141">
        <f ca="1">IFERROR(__xludf.DUMMYFUNCTION("""COMPUTED_VALUE"""),178.42)</f>
        <v>178.42</v>
      </c>
      <c r="E83" s="141">
        <f ca="1">IFERROR(__xludf.DUMMYFUNCTION("""COMPUTED_VALUE"""),174.8)</f>
        <v>174.8</v>
      </c>
      <c r="F83" s="141">
        <f ca="1">IFERROR(__xludf.DUMMYFUNCTION("""COMPUTED_VALUE"""),177.15)</f>
        <v>177.15</v>
      </c>
      <c r="G83" s="143">
        <f ca="1">IFERROR(__xludf.DUMMYFUNCTION("""COMPUTED_VALUE"""),57549350)</f>
        <v>57549350</v>
      </c>
      <c r="H83" s="26"/>
    </row>
    <row r="84" spans="1:8" ht="17.25" customHeight="1" x14ac:dyDescent="0.2">
      <c r="A84" s="26"/>
      <c r="B84" s="139">
        <f ca="1">IFERROR(__xludf.DUMMYFUNCTION("""COMPUTED_VALUE"""),45217.6666666666)</f>
        <v>45217.666666666599</v>
      </c>
      <c r="C84" s="141">
        <f ca="1">IFERROR(__xludf.DUMMYFUNCTION("""COMPUTED_VALUE"""),175.58)</f>
        <v>175.58</v>
      </c>
      <c r="D84" s="141">
        <f ca="1">IFERROR(__xludf.DUMMYFUNCTION("""COMPUTED_VALUE"""),177.58)</f>
        <v>177.58</v>
      </c>
      <c r="E84" s="141">
        <f ca="1">IFERROR(__xludf.DUMMYFUNCTION("""COMPUTED_VALUE"""),175.11)</f>
        <v>175.11</v>
      </c>
      <c r="F84" s="141">
        <f ca="1">IFERROR(__xludf.DUMMYFUNCTION("""COMPUTED_VALUE"""),175.84)</f>
        <v>175.84</v>
      </c>
      <c r="G84" s="143">
        <f ca="1">IFERROR(__xludf.DUMMYFUNCTION("""COMPUTED_VALUE"""),54764375)</f>
        <v>54764375</v>
      </c>
      <c r="H84" s="26"/>
    </row>
    <row r="85" spans="1:8" ht="17.25" customHeight="1" x14ac:dyDescent="0.2">
      <c r="A85" s="26"/>
      <c r="B85" s="139">
        <f ca="1">IFERROR(__xludf.DUMMYFUNCTION("""COMPUTED_VALUE"""),45218.6666666666)</f>
        <v>45218.666666666599</v>
      </c>
      <c r="C85" s="141">
        <f ca="1">IFERROR(__xludf.DUMMYFUNCTION("""COMPUTED_VALUE"""),176.04)</f>
        <v>176.04</v>
      </c>
      <c r="D85" s="141">
        <f ca="1">IFERROR(__xludf.DUMMYFUNCTION("""COMPUTED_VALUE"""),177.84)</f>
        <v>177.84</v>
      </c>
      <c r="E85" s="141">
        <f ca="1">IFERROR(__xludf.DUMMYFUNCTION("""COMPUTED_VALUE"""),175.19)</f>
        <v>175.19</v>
      </c>
      <c r="F85" s="141">
        <f ca="1">IFERROR(__xludf.DUMMYFUNCTION("""COMPUTED_VALUE"""),175.46)</f>
        <v>175.46</v>
      </c>
      <c r="G85" s="143">
        <f ca="1">IFERROR(__xludf.DUMMYFUNCTION("""COMPUTED_VALUE"""),59302863)</f>
        <v>59302863</v>
      </c>
      <c r="H85" s="26"/>
    </row>
    <row r="86" spans="1:8" ht="17.25" customHeight="1" x14ac:dyDescent="0.2">
      <c r="A86" s="26"/>
      <c r="B86" s="139">
        <f ca="1">IFERROR(__xludf.DUMMYFUNCTION("""COMPUTED_VALUE"""),45219.6666666666)</f>
        <v>45219.666666666599</v>
      </c>
      <c r="C86" s="141">
        <f ca="1">IFERROR(__xludf.DUMMYFUNCTION("""COMPUTED_VALUE"""),175.31)</f>
        <v>175.31</v>
      </c>
      <c r="D86" s="141">
        <f ca="1">IFERROR(__xludf.DUMMYFUNCTION("""COMPUTED_VALUE"""),175.42)</f>
        <v>175.42</v>
      </c>
      <c r="E86" s="141">
        <f ca="1">IFERROR(__xludf.DUMMYFUNCTION("""COMPUTED_VALUE"""),172.64)</f>
        <v>172.64</v>
      </c>
      <c r="F86" s="141">
        <f ca="1">IFERROR(__xludf.DUMMYFUNCTION("""COMPUTED_VALUE"""),172.88)</f>
        <v>172.88</v>
      </c>
      <c r="G86" s="143">
        <f ca="1">IFERROR(__xludf.DUMMYFUNCTION("""COMPUTED_VALUE"""),64244028)</f>
        <v>64244028</v>
      </c>
      <c r="H86" s="26"/>
    </row>
    <row r="87" spans="1:8" ht="17.25" customHeight="1" x14ac:dyDescent="0.2">
      <c r="A87" s="26"/>
      <c r="B87" s="139">
        <f ca="1">IFERROR(__xludf.DUMMYFUNCTION("""COMPUTED_VALUE"""),45222.6666666666)</f>
        <v>45222.666666666599</v>
      </c>
      <c r="C87" s="141">
        <f ca="1">IFERROR(__xludf.DUMMYFUNCTION("""COMPUTED_VALUE"""),170.91)</f>
        <v>170.91</v>
      </c>
      <c r="D87" s="141">
        <f ca="1">IFERROR(__xludf.DUMMYFUNCTION("""COMPUTED_VALUE"""),174.01)</f>
        <v>174.01</v>
      </c>
      <c r="E87" s="141">
        <f ca="1">IFERROR(__xludf.DUMMYFUNCTION("""COMPUTED_VALUE"""),169.93)</f>
        <v>169.93</v>
      </c>
      <c r="F87" s="141">
        <f ca="1">IFERROR(__xludf.DUMMYFUNCTION("""COMPUTED_VALUE"""),173)</f>
        <v>173</v>
      </c>
      <c r="G87" s="143">
        <f ca="1">IFERROR(__xludf.DUMMYFUNCTION("""COMPUTED_VALUE"""),55980109)</f>
        <v>55980109</v>
      </c>
      <c r="H87" s="26"/>
    </row>
    <row r="88" spans="1:8" ht="17.25" customHeight="1" x14ac:dyDescent="0.2">
      <c r="A88" s="26"/>
      <c r="B88" s="139">
        <f ca="1">IFERROR(__xludf.DUMMYFUNCTION("""COMPUTED_VALUE"""),45223.6666666666)</f>
        <v>45223.666666666599</v>
      </c>
      <c r="C88" s="141">
        <f ca="1">IFERROR(__xludf.DUMMYFUNCTION("""COMPUTED_VALUE"""),173.05)</f>
        <v>173.05</v>
      </c>
      <c r="D88" s="141">
        <f ca="1">IFERROR(__xludf.DUMMYFUNCTION("""COMPUTED_VALUE"""),173.67)</f>
        <v>173.67</v>
      </c>
      <c r="E88" s="141">
        <f ca="1">IFERROR(__xludf.DUMMYFUNCTION("""COMPUTED_VALUE"""),171.45)</f>
        <v>171.45</v>
      </c>
      <c r="F88" s="141">
        <f ca="1">IFERROR(__xludf.DUMMYFUNCTION("""COMPUTED_VALUE"""),173.44)</f>
        <v>173.44</v>
      </c>
      <c r="G88" s="143">
        <f ca="1">IFERROR(__xludf.DUMMYFUNCTION("""COMPUTED_VALUE"""),43816644)</f>
        <v>43816644</v>
      </c>
      <c r="H88" s="26"/>
    </row>
    <row r="89" spans="1:8" ht="17.25" customHeight="1" x14ac:dyDescent="0.2">
      <c r="A89" s="26"/>
      <c r="B89" s="139">
        <f ca="1">IFERROR(__xludf.DUMMYFUNCTION("""COMPUTED_VALUE"""),45224.6666666666)</f>
        <v>45224.666666666599</v>
      </c>
      <c r="C89" s="141">
        <f ca="1">IFERROR(__xludf.DUMMYFUNCTION("""COMPUTED_VALUE"""),171.88)</f>
        <v>171.88</v>
      </c>
      <c r="D89" s="141">
        <f ca="1">IFERROR(__xludf.DUMMYFUNCTION("""COMPUTED_VALUE"""),173.06)</f>
        <v>173.06</v>
      </c>
      <c r="E89" s="141">
        <f ca="1">IFERROR(__xludf.DUMMYFUNCTION("""COMPUTED_VALUE"""),170.65)</f>
        <v>170.65</v>
      </c>
      <c r="F89" s="141">
        <f ca="1">IFERROR(__xludf.DUMMYFUNCTION("""COMPUTED_VALUE"""),171.1)</f>
        <v>171.1</v>
      </c>
      <c r="G89" s="143">
        <f ca="1">IFERROR(__xludf.DUMMYFUNCTION("""COMPUTED_VALUE"""),57156962)</f>
        <v>57156962</v>
      </c>
      <c r="H89" s="26"/>
    </row>
    <row r="90" spans="1:8" ht="17.25" customHeight="1" x14ac:dyDescent="0.2">
      <c r="A90" s="26"/>
      <c r="B90" s="139">
        <f ca="1">IFERROR(__xludf.DUMMYFUNCTION("""COMPUTED_VALUE"""),45225.6666666666)</f>
        <v>45225.666666666599</v>
      </c>
      <c r="C90" s="141">
        <f ca="1">IFERROR(__xludf.DUMMYFUNCTION("""COMPUTED_VALUE"""),170.37)</f>
        <v>170.37</v>
      </c>
      <c r="D90" s="141">
        <f ca="1">IFERROR(__xludf.DUMMYFUNCTION("""COMPUTED_VALUE"""),171.38)</f>
        <v>171.38</v>
      </c>
      <c r="E90" s="141">
        <f ca="1">IFERROR(__xludf.DUMMYFUNCTION("""COMPUTED_VALUE"""),165.67)</f>
        <v>165.67</v>
      </c>
      <c r="F90" s="141">
        <f ca="1">IFERROR(__xludf.DUMMYFUNCTION("""COMPUTED_VALUE"""),166.89)</f>
        <v>166.89</v>
      </c>
      <c r="G90" s="143">
        <f ca="1">IFERROR(__xludf.DUMMYFUNCTION("""COMPUTED_VALUE"""),70625258)</f>
        <v>70625258</v>
      </c>
      <c r="H90" s="26"/>
    </row>
    <row r="91" spans="1:8" ht="17.25" customHeight="1" x14ac:dyDescent="0.2">
      <c r="A91" s="26"/>
      <c r="B91" s="139">
        <f ca="1">IFERROR(__xludf.DUMMYFUNCTION("""COMPUTED_VALUE"""),45226.6666666666)</f>
        <v>45226.666666666599</v>
      </c>
      <c r="C91" s="141">
        <f ca="1">IFERROR(__xludf.DUMMYFUNCTION("""COMPUTED_VALUE"""),166.91)</f>
        <v>166.91</v>
      </c>
      <c r="D91" s="141">
        <f ca="1">IFERROR(__xludf.DUMMYFUNCTION("""COMPUTED_VALUE"""),168.96)</f>
        <v>168.96</v>
      </c>
      <c r="E91" s="141">
        <f ca="1">IFERROR(__xludf.DUMMYFUNCTION("""COMPUTED_VALUE"""),166.83)</f>
        <v>166.83</v>
      </c>
      <c r="F91" s="141">
        <f ca="1">IFERROR(__xludf.DUMMYFUNCTION("""COMPUTED_VALUE"""),168.22)</f>
        <v>168.22</v>
      </c>
      <c r="G91" s="143">
        <f ca="1">IFERROR(__xludf.DUMMYFUNCTION("""COMPUTED_VALUE"""),58499129)</f>
        <v>58499129</v>
      </c>
      <c r="H91" s="26"/>
    </row>
    <row r="92" spans="1:8" ht="17.25" customHeight="1" x14ac:dyDescent="0.2">
      <c r="A92" s="26"/>
      <c r="B92" s="139">
        <f ca="1">IFERROR(__xludf.DUMMYFUNCTION("""COMPUTED_VALUE"""),45229.6666666666)</f>
        <v>45229.666666666599</v>
      </c>
      <c r="C92" s="141">
        <f ca="1">IFERROR(__xludf.DUMMYFUNCTION("""COMPUTED_VALUE"""),169.02)</f>
        <v>169.02</v>
      </c>
      <c r="D92" s="141">
        <f ca="1">IFERROR(__xludf.DUMMYFUNCTION("""COMPUTED_VALUE"""),171.17)</f>
        <v>171.17</v>
      </c>
      <c r="E92" s="141">
        <f ca="1">IFERROR(__xludf.DUMMYFUNCTION("""COMPUTED_VALUE"""),168.87)</f>
        <v>168.87</v>
      </c>
      <c r="F92" s="141">
        <f ca="1">IFERROR(__xludf.DUMMYFUNCTION("""COMPUTED_VALUE"""),170.29)</f>
        <v>170.29</v>
      </c>
      <c r="G92" s="143">
        <f ca="1">IFERROR(__xludf.DUMMYFUNCTION("""COMPUTED_VALUE"""),51130955)</f>
        <v>51130955</v>
      </c>
      <c r="H92" s="26"/>
    </row>
    <row r="93" spans="1:8" ht="17.25" customHeight="1" x14ac:dyDescent="0.2">
      <c r="A93" s="26"/>
      <c r="B93" s="139">
        <f ca="1">IFERROR(__xludf.DUMMYFUNCTION("""COMPUTED_VALUE"""),45230.6666666666)</f>
        <v>45230.666666666599</v>
      </c>
      <c r="C93" s="141">
        <f ca="1">IFERROR(__xludf.DUMMYFUNCTION("""COMPUTED_VALUE"""),169.35)</f>
        <v>169.35</v>
      </c>
      <c r="D93" s="141">
        <f ca="1">IFERROR(__xludf.DUMMYFUNCTION("""COMPUTED_VALUE"""),170.9)</f>
        <v>170.9</v>
      </c>
      <c r="E93" s="141">
        <f ca="1">IFERROR(__xludf.DUMMYFUNCTION("""COMPUTED_VALUE"""),167.9)</f>
        <v>167.9</v>
      </c>
      <c r="F93" s="141">
        <f ca="1">IFERROR(__xludf.DUMMYFUNCTION("""COMPUTED_VALUE"""),170.77)</f>
        <v>170.77</v>
      </c>
      <c r="G93" s="143">
        <f ca="1">IFERROR(__xludf.DUMMYFUNCTION("""COMPUTED_VALUE"""),44846017)</f>
        <v>44846017</v>
      </c>
      <c r="H93" s="26"/>
    </row>
    <row r="94" spans="1:8" ht="17.25" customHeight="1" x14ac:dyDescent="0.2">
      <c r="A94" s="26"/>
      <c r="B94" s="139">
        <f ca="1">IFERROR(__xludf.DUMMYFUNCTION("""COMPUTED_VALUE"""),45231.6666666666)</f>
        <v>45231.666666666599</v>
      </c>
      <c r="C94" s="141">
        <f ca="1">IFERROR(__xludf.DUMMYFUNCTION("""COMPUTED_VALUE"""),171)</f>
        <v>171</v>
      </c>
      <c r="D94" s="141">
        <f ca="1">IFERROR(__xludf.DUMMYFUNCTION("""COMPUTED_VALUE"""),174.23)</f>
        <v>174.23</v>
      </c>
      <c r="E94" s="141">
        <f ca="1">IFERROR(__xludf.DUMMYFUNCTION("""COMPUTED_VALUE"""),170.12)</f>
        <v>170.12</v>
      </c>
      <c r="F94" s="141">
        <f ca="1">IFERROR(__xludf.DUMMYFUNCTION("""COMPUTED_VALUE"""),173.97)</f>
        <v>173.97</v>
      </c>
      <c r="G94" s="143">
        <f ca="1">IFERROR(__xludf.DUMMYFUNCTION("""COMPUTED_VALUE"""),56934906)</f>
        <v>56934906</v>
      </c>
      <c r="H94" s="26"/>
    </row>
    <row r="95" spans="1:8" ht="17.25" customHeight="1" x14ac:dyDescent="0.2">
      <c r="A95" s="26"/>
      <c r="B95" s="139">
        <f ca="1">IFERROR(__xludf.DUMMYFUNCTION("""COMPUTED_VALUE"""),45232.6666666666)</f>
        <v>45232.666666666599</v>
      </c>
      <c r="C95" s="141">
        <f ca="1">IFERROR(__xludf.DUMMYFUNCTION("""COMPUTED_VALUE"""),175.52)</f>
        <v>175.52</v>
      </c>
      <c r="D95" s="141">
        <f ca="1">IFERROR(__xludf.DUMMYFUNCTION("""COMPUTED_VALUE"""),177.78)</f>
        <v>177.78</v>
      </c>
      <c r="E95" s="141">
        <f ca="1">IFERROR(__xludf.DUMMYFUNCTION("""COMPUTED_VALUE"""),175.46)</f>
        <v>175.46</v>
      </c>
      <c r="F95" s="141">
        <f ca="1">IFERROR(__xludf.DUMMYFUNCTION("""COMPUTED_VALUE"""),177.57)</f>
        <v>177.57</v>
      </c>
      <c r="G95" s="143">
        <f ca="1">IFERROR(__xludf.DUMMYFUNCTION("""COMPUTED_VALUE"""),77334752)</f>
        <v>77334752</v>
      </c>
      <c r="H95" s="26"/>
    </row>
    <row r="96" spans="1:8" ht="17.25" customHeight="1" x14ac:dyDescent="0.2">
      <c r="A96" s="26"/>
      <c r="B96" s="139">
        <f ca="1">IFERROR(__xludf.DUMMYFUNCTION("""COMPUTED_VALUE"""),45233.6666666666)</f>
        <v>45233.666666666599</v>
      </c>
      <c r="C96" s="141">
        <f ca="1">IFERROR(__xludf.DUMMYFUNCTION("""COMPUTED_VALUE"""),174.24)</f>
        <v>174.24</v>
      </c>
      <c r="D96" s="141">
        <f ca="1">IFERROR(__xludf.DUMMYFUNCTION("""COMPUTED_VALUE"""),176.82)</f>
        <v>176.82</v>
      </c>
      <c r="E96" s="141">
        <f ca="1">IFERROR(__xludf.DUMMYFUNCTION("""COMPUTED_VALUE"""),173.35)</f>
        <v>173.35</v>
      </c>
      <c r="F96" s="141">
        <f ca="1">IFERROR(__xludf.DUMMYFUNCTION("""COMPUTED_VALUE"""),176.65)</f>
        <v>176.65</v>
      </c>
      <c r="G96" s="143">
        <f ca="1">IFERROR(__xludf.DUMMYFUNCTION("""COMPUTED_VALUE"""),79829246)</f>
        <v>79829246</v>
      </c>
      <c r="H96" s="26"/>
    </row>
    <row r="97" spans="1:8" ht="17.25" customHeight="1" x14ac:dyDescent="0.2">
      <c r="A97" s="26"/>
      <c r="B97" s="139">
        <f ca="1">IFERROR(__xludf.DUMMYFUNCTION("""COMPUTED_VALUE"""),45236.6666666666)</f>
        <v>45236.666666666599</v>
      </c>
      <c r="C97" s="141">
        <f ca="1">IFERROR(__xludf.DUMMYFUNCTION("""COMPUTED_VALUE"""),176.38)</f>
        <v>176.38</v>
      </c>
      <c r="D97" s="141">
        <f ca="1">IFERROR(__xludf.DUMMYFUNCTION("""COMPUTED_VALUE"""),179.43)</f>
        <v>179.43</v>
      </c>
      <c r="E97" s="141">
        <f ca="1">IFERROR(__xludf.DUMMYFUNCTION("""COMPUTED_VALUE"""),176.21)</f>
        <v>176.21</v>
      </c>
      <c r="F97" s="141">
        <f ca="1">IFERROR(__xludf.DUMMYFUNCTION("""COMPUTED_VALUE"""),179.23)</f>
        <v>179.23</v>
      </c>
      <c r="G97" s="143">
        <f ca="1">IFERROR(__xludf.DUMMYFUNCTION("""COMPUTED_VALUE"""),63841310)</f>
        <v>63841310</v>
      </c>
      <c r="H97" s="26"/>
    </row>
    <row r="98" spans="1:8" ht="17.25" customHeight="1" x14ac:dyDescent="0.2">
      <c r="A98" s="26"/>
      <c r="B98" s="139">
        <f ca="1">IFERROR(__xludf.DUMMYFUNCTION("""COMPUTED_VALUE"""),45237.6666666666)</f>
        <v>45237.666666666599</v>
      </c>
      <c r="C98" s="141">
        <f ca="1">IFERROR(__xludf.DUMMYFUNCTION("""COMPUTED_VALUE"""),179.18)</f>
        <v>179.18</v>
      </c>
      <c r="D98" s="141">
        <f ca="1">IFERROR(__xludf.DUMMYFUNCTION("""COMPUTED_VALUE"""),182.44)</f>
        <v>182.44</v>
      </c>
      <c r="E98" s="141">
        <f ca="1">IFERROR(__xludf.DUMMYFUNCTION("""COMPUTED_VALUE"""),178.97)</f>
        <v>178.97</v>
      </c>
      <c r="F98" s="141">
        <f ca="1">IFERROR(__xludf.DUMMYFUNCTION("""COMPUTED_VALUE"""),181.82)</f>
        <v>181.82</v>
      </c>
      <c r="G98" s="143">
        <f ca="1">IFERROR(__xludf.DUMMYFUNCTION("""COMPUTED_VALUE"""),70529966)</f>
        <v>70529966</v>
      </c>
      <c r="H98" s="26"/>
    </row>
    <row r="99" spans="1:8" ht="17.25" customHeight="1" x14ac:dyDescent="0.2">
      <c r="A99" s="26"/>
      <c r="B99" s="139">
        <f ca="1">IFERROR(__xludf.DUMMYFUNCTION("""COMPUTED_VALUE"""),45238.6666666666)</f>
        <v>45238.666666666599</v>
      </c>
      <c r="C99" s="141">
        <f ca="1">IFERROR(__xludf.DUMMYFUNCTION("""COMPUTED_VALUE"""),182.35)</f>
        <v>182.35</v>
      </c>
      <c r="D99" s="141">
        <f ca="1">IFERROR(__xludf.DUMMYFUNCTION("""COMPUTED_VALUE"""),183.45)</f>
        <v>183.45</v>
      </c>
      <c r="E99" s="141">
        <f ca="1">IFERROR(__xludf.DUMMYFUNCTION("""COMPUTED_VALUE"""),181.59)</f>
        <v>181.59</v>
      </c>
      <c r="F99" s="141">
        <f ca="1">IFERROR(__xludf.DUMMYFUNCTION("""COMPUTED_VALUE"""),182.89)</f>
        <v>182.89</v>
      </c>
      <c r="G99" s="143">
        <f ca="1">IFERROR(__xludf.DUMMYFUNCTION("""COMPUTED_VALUE"""),49340282)</f>
        <v>49340282</v>
      </c>
      <c r="H99" s="26"/>
    </row>
    <row r="100" spans="1:8" ht="17.25" customHeight="1" x14ac:dyDescent="0.2">
      <c r="A100" s="26"/>
      <c r="B100" s="139">
        <f ca="1">IFERROR(__xludf.DUMMYFUNCTION("""COMPUTED_VALUE"""),45239.6666666666)</f>
        <v>45239.666666666599</v>
      </c>
      <c r="C100" s="141">
        <f ca="1">IFERROR(__xludf.DUMMYFUNCTION("""COMPUTED_VALUE"""),182.96)</f>
        <v>182.96</v>
      </c>
      <c r="D100" s="141">
        <f ca="1">IFERROR(__xludf.DUMMYFUNCTION("""COMPUTED_VALUE"""),184.12)</f>
        <v>184.12</v>
      </c>
      <c r="E100" s="141">
        <f ca="1">IFERROR(__xludf.DUMMYFUNCTION("""COMPUTED_VALUE"""),181.81)</f>
        <v>181.81</v>
      </c>
      <c r="F100" s="141">
        <f ca="1">IFERROR(__xludf.DUMMYFUNCTION("""COMPUTED_VALUE"""),182.41)</f>
        <v>182.41</v>
      </c>
      <c r="G100" s="143">
        <f ca="1">IFERROR(__xludf.DUMMYFUNCTION("""COMPUTED_VALUE"""),53763540)</f>
        <v>53763540</v>
      </c>
      <c r="H100" s="26"/>
    </row>
    <row r="101" spans="1:8" ht="17.25" customHeight="1" x14ac:dyDescent="0.2">
      <c r="A101" s="26"/>
      <c r="B101" s="139">
        <f ca="1">IFERROR(__xludf.DUMMYFUNCTION("""COMPUTED_VALUE"""),45240.6666666666)</f>
        <v>45240.666666666599</v>
      </c>
      <c r="C101" s="141">
        <f ca="1">IFERROR(__xludf.DUMMYFUNCTION("""COMPUTED_VALUE"""),183.97)</f>
        <v>183.97</v>
      </c>
      <c r="D101" s="141">
        <f ca="1">IFERROR(__xludf.DUMMYFUNCTION("""COMPUTED_VALUE"""),186.57)</f>
        <v>186.57</v>
      </c>
      <c r="E101" s="141">
        <f ca="1">IFERROR(__xludf.DUMMYFUNCTION("""COMPUTED_VALUE"""),183.53)</f>
        <v>183.53</v>
      </c>
      <c r="F101" s="141">
        <f ca="1">IFERROR(__xludf.DUMMYFUNCTION("""COMPUTED_VALUE"""),186.4)</f>
        <v>186.4</v>
      </c>
      <c r="G101" s="143">
        <f ca="1">IFERROR(__xludf.DUMMYFUNCTION("""COMPUTED_VALUE"""),66177922)</f>
        <v>66177922</v>
      </c>
      <c r="H101" s="26"/>
    </row>
    <row r="102" spans="1:8" ht="17.25" customHeight="1" x14ac:dyDescent="0.2">
      <c r="A102" s="26"/>
      <c r="B102" s="139">
        <f ca="1">IFERROR(__xludf.DUMMYFUNCTION("""COMPUTED_VALUE"""),45243.6666666666)</f>
        <v>45243.666666666599</v>
      </c>
      <c r="C102" s="141">
        <f ca="1">IFERROR(__xludf.DUMMYFUNCTION("""COMPUTED_VALUE"""),185.82)</f>
        <v>185.82</v>
      </c>
      <c r="D102" s="141">
        <f ca="1">IFERROR(__xludf.DUMMYFUNCTION("""COMPUTED_VALUE"""),186.03)</f>
        <v>186.03</v>
      </c>
      <c r="E102" s="141">
        <f ca="1">IFERROR(__xludf.DUMMYFUNCTION("""COMPUTED_VALUE"""),184.21)</f>
        <v>184.21</v>
      </c>
      <c r="F102" s="141">
        <f ca="1">IFERROR(__xludf.DUMMYFUNCTION("""COMPUTED_VALUE"""),184.8)</f>
        <v>184.8</v>
      </c>
      <c r="G102" s="143">
        <f ca="1">IFERROR(__xludf.DUMMYFUNCTION("""COMPUTED_VALUE"""),43627519)</f>
        <v>43627519</v>
      </c>
      <c r="H102" s="26"/>
    </row>
    <row r="103" spans="1:8" ht="17.25" customHeight="1" x14ac:dyDescent="0.2">
      <c r="A103" s="26"/>
      <c r="B103" s="139">
        <f ca="1">IFERROR(__xludf.DUMMYFUNCTION("""COMPUTED_VALUE"""),45244.6666666666)</f>
        <v>45244.666666666599</v>
      </c>
      <c r="C103" s="141">
        <f ca="1">IFERROR(__xludf.DUMMYFUNCTION("""COMPUTED_VALUE"""),187.7)</f>
        <v>187.7</v>
      </c>
      <c r="D103" s="141">
        <f ca="1">IFERROR(__xludf.DUMMYFUNCTION("""COMPUTED_VALUE"""),188.11)</f>
        <v>188.11</v>
      </c>
      <c r="E103" s="141">
        <f ca="1">IFERROR(__xludf.DUMMYFUNCTION("""COMPUTED_VALUE"""),186.3)</f>
        <v>186.3</v>
      </c>
      <c r="F103" s="141">
        <f ca="1">IFERROR(__xludf.DUMMYFUNCTION("""COMPUTED_VALUE"""),187.44)</f>
        <v>187.44</v>
      </c>
      <c r="G103" s="143">
        <f ca="1">IFERROR(__xludf.DUMMYFUNCTION("""COMPUTED_VALUE"""),60108378)</f>
        <v>60108378</v>
      </c>
      <c r="H103" s="26"/>
    </row>
    <row r="104" spans="1:8" ht="17.25" customHeight="1" x14ac:dyDescent="0.2">
      <c r="A104" s="26"/>
      <c r="B104" s="139">
        <f ca="1">IFERROR(__xludf.DUMMYFUNCTION("""COMPUTED_VALUE"""),45245.6666666666)</f>
        <v>45245.666666666599</v>
      </c>
      <c r="C104" s="141">
        <f ca="1">IFERROR(__xludf.DUMMYFUNCTION("""COMPUTED_VALUE"""),187.85)</f>
        <v>187.85</v>
      </c>
      <c r="D104" s="141">
        <f ca="1">IFERROR(__xludf.DUMMYFUNCTION("""COMPUTED_VALUE"""),189.5)</f>
        <v>189.5</v>
      </c>
      <c r="E104" s="141">
        <f ca="1">IFERROR(__xludf.DUMMYFUNCTION("""COMPUTED_VALUE"""),187.78)</f>
        <v>187.78</v>
      </c>
      <c r="F104" s="141">
        <f ca="1">IFERROR(__xludf.DUMMYFUNCTION("""COMPUTED_VALUE"""),188.01)</f>
        <v>188.01</v>
      </c>
      <c r="G104" s="143">
        <f ca="1">IFERROR(__xludf.DUMMYFUNCTION("""COMPUTED_VALUE"""),53790499)</f>
        <v>53790499</v>
      </c>
      <c r="H104" s="26"/>
    </row>
    <row r="105" spans="1:8" ht="17.25" customHeight="1" x14ac:dyDescent="0.2">
      <c r="A105" s="26"/>
      <c r="B105" s="139">
        <f ca="1">IFERROR(__xludf.DUMMYFUNCTION("""COMPUTED_VALUE"""),45246.6666666666)</f>
        <v>45246.666666666599</v>
      </c>
      <c r="C105" s="141">
        <f ca="1">IFERROR(__xludf.DUMMYFUNCTION("""COMPUTED_VALUE"""),189.57)</f>
        <v>189.57</v>
      </c>
      <c r="D105" s="141">
        <f ca="1">IFERROR(__xludf.DUMMYFUNCTION("""COMPUTED_VALUE"""),190.96)</f>
        <v>190.96</v>
      </c>
      <c r="E105" s="141">
        <f ca="1">IFERROR(__xludf.DUMMYFUNCTION("""COMPUTED_VALUE"""),188.65)</f>
        <v>188.65</v>
      </c>
      <c r="F105" s="141">
        <f ca="1">IFERROR(__xludf.DUMMYFUNCTION("""COMPUTED_VALUE"""),189.71)</f>
        <v>189.71</v>
      </c>
      <c r="G105" s="143">
        <f ca="1">IFERROR(__xludf.DUMMYFUNCTION("""COMPUTED_VALUE"""),54412915)</f>
        <v>54412915</v>
      </c>
      <c r="H105" s="26"/>
    </row>
    <row r="106" spans="1:8" ht="17.25" customHeight="1" x14ac:dyDescent="0.2">
      <c r="A106" s="26"/>
      <c r="B106" s="139">
        <f ca="1">IFERROR(__xludf.DUMMYFUNCTION("""COMPUTED_VALUE"""),45247.6666666666)</f>
        <v>45247.666666666599</v>
      </c>
      <c r="C106" s="141">
        <f ca="1">IFERROR(__xludf.DUMMYFUNCTION("""COMPUTED_VALUE"""),190.25)</f>
        <v>190.25</v>
      </c>
      <c r="D106" s="141">
        <f ca="1">IFERROR(__xludf.DUMMYFUNCTION("""COMPUTED_VALUE"""),190.38)</f>
        <v>190.38</v>
      </c>
      <c r="E106" s="141">
        <f ca="1">IFERROR(__xludf.DUMMYFUNCTION("""COMPUTED_VALUE"""),188.57)</f>
        <v>188.57</v>
      </c>
      <c r="F106" s="141">
        <f ca="1">IFERROR(__xludf.DUMMYFUNCTION("""COMPUTED_VALUE"""),189.69)</f>
        <v>189.69</v>
      </c>
      <c r="G106" s="143">
        <f ca="1">IFERROR(__xludf.DUMMYFUNCTION("""COMPUTED_VALUE"""),50941404)</f>
        <v>50941404</v>
      </c>
      <c r="H106" s="26"/>
    </row>
    <row r="107" spans="1:8" ht="17.25" customHeight="1" x14ac:dyDescent="0.2">
      <c r="A107" s="26"/>
      <c r="B107" s="139">
        <f ca="1">IFERROR(__xludf.DUMMYFUNCTION("""COMPUTED_VALUE"""),45250.6666666666)</f>
        <v>45250.666666666599</v>
      </c>
      <c r="C107" s="141">
        <f ca="1">IFERROR(__xludf.DUMMYFUNCTION("""COMPUTED_VALUE"""),189.89)</f>
        <v>189.89</v>
      </c>
      <c r="D107" s="141">
        <f ca="1">IFERROR(__xludf.DUMMYFUNCTION("""COMPUTED_VALUE"""),191.91)</f>
        <v>191.91</v>
      </c>
      <c r="E107" s="141">
        <f ca="1">IFERROR(__xludf.DUMMYFUNCTION("""COMPUTED_VALUE"""),189.88)</f>
        <v>189.88</v>
      </c>
      <c r="F107" s="141">
        <f ca="1">IFERROR(__xludf.DUMMYFUNCTION("""COMPUTED_VALUE"""),191.45)</f>
        <v>191.45</v>
      </c>
      <c r="G107" s="143">
        <f ca="1">IFERROR(__xludf.DUMMYFUNCTION("""COMPUTED_VALUE"""),46538614)</f>
        <v>46538614</v>
      </c>
      <c r="H107" s="26"/>
    </row>
    <row r="108" spans="1:8" ht="17.25" customHeight="1" x14ac:dyDescent="0.2">
      <c r="A108" s="26"/>
      <c r="B108" s="139">
        <f ca="1">IFERROR(__xludf.DUMMYFUNCTION("""COMPUTED_VALUE"""),45251.6666666666)</f>
        <v>45251.666666666599</v>
      </c>
      <c r="C108" s="141">
        <f ca="1">IFERROR(__xludf.DUMMYFUNCTION("""COMPUTED_VALUE"""),191.41)</f>
        <v>191.41</v>
      </c>
      <c r="D108" s="141">
        <f ca="1">IFERROR(__xludf.DUMMYFUNCTION("""COMPUTED_VALUE"""),191.52)</f>
        <v>191.52</v>
      </c>
      <c r="E108" s="141">
        <f ca="1">IFERROR(__xludf.DUMMYFUNCTION("""COMPUTED_VALUE"""),189.74)</f>
        <v>189.74</v>
      </c>
      <c r="F108" s="141">
        <f ca="1">IFERROR(__xludf.DUMMYFUNCTION("""COMPUTED_VALUE"""),190.64)</f>
        <v>190.64</v>
      </c>
      <c r="G108" s="143">
        <f ca="1">IFERROR(__xludf.DUMMYFUNCTION("""COMPUTED_VALUE"""),38134485)</f>
        <v>38134485</v>
      </c>
      <c r="H108" s="26"/>
    </row>
    <row r="109" spans="1:8" ht="17.25" customHeight="1" x14ac:dyDescent="0.2">
      <c r="A109" s="26"/>
      <c r="B109" s="139">
        <f ca="1">IFERROR(__xludf.DUMMYFUNCTION("""COMPUTED_VALUE"""),45252.6666666666)</f>
        <v>45252.666666666599</v>
      </c>
      <c r="C109" s="141">
        <f ca="1">IFERROR(__xludf.DUMMYFUNCTION("""COMPUTED_VALUE"""),191.49)</f>
        <v>191.49</v>
      </c>
      <c r="D109" s="141">
        <f ca="1">IFERROR(__xludf.DUMMYFUNCTION("""COMPUTED_VALUE"""),192.93)</f>
        <v>192.93</v>
      </c>
      <c r="E109" s="141">
        <f ca="1">IFERROR(__xludf.DUMMYFUNCTION("""COMPUTED_VALUE"""),190.83)</f>
        <v>190.83</v>
      </c>
      <c r="F109" s="141">
        <f ca="1">IFERROR(__xludf.DUMMYFUNCTION("""COMPUTED_VALUE"""),191.31)</f>
        <v>191.31</v>
      </c>
      <c r="G109" s="143">
        <f ca="1">IFERROR(__xludf.DUMMYFUNCTION("""COMPUTED_VALUE"""),39630011)</f>
        <v>39630011</v>
      </c>
      <c r="H109" s="26"/>
    </row>
    <row r="110" spans="1:8" ht="17.25" customHeight="1" x14ac:dyDescent="0.2">
      <c r="A110" s="26"/>
      <c r="B110" s="139">
        <f ca="1">IFERROR(__xludf.DUMMYFUNCTION("""COMPUTED_VALUE"""),45254.5451388888)</f>
        <v>45254.545138888803</v>
      </c>
      <c r="C110" s="141">
        <f ca="1">IFERROR(__xludf.DUMMYFUNCTION("""COMPUTED_VALUE"""),190.87)</f>
        <v>190.87</v>
      </c>
      <c r="D110" s="141">
        <f ca="1">IFERROR(__xludf.DUMMYFUNCTION("""COMPUTED_VALUE"""),190.9)</f>
        <v>190.9</v>
      </c>
      <c r="E110" s="141">
        <f ca="1">IFERROR(__xludf.DUMMYFUNCTION("""COMPUTED_VALUE"""),189.25)</f>
        <v>189.25</v>
      </c>
      <c r="F110" s="141">
        <f ca="1">IFERROR(__xludf.DUMMYFUNCTION("""COMPUTED_VALUE"""),189.97)</f>
        <v>189.97</v>
      </c>
      <c r="G110" s="143">
        <f ca="1">IFERROR(__xludf.DUMMYFUNCTION("""COMPUTED_VALUE"""),24048344)</f>
        <v>24048344</v>
      </c>
      <c r="H110" s="26"/>
    </row>
    <row r="111" spans="1:8" ht="17.25" customHeight="1" x14ac:dyDescent="0.2">
      <c r="A111" s="26"/>
      <c r="B111" s="139">
        <f ca="1">IFERROR(__xludf.DUMMYFUNCTION("""COMPUTED_VALUE"""),45257.6666666666)</f>
        <v>45257.666666666599</v>
      </c>
      <c r="C111" s="141">
        <f ca="1">IFERROR(__xludf.DUMMYFUNCTION("""COMPUTED_VALUE"""),189.92)</f>
        <v>189.92</v>
      </c>
      <c r="D111" s="141">
        <f ca="1">IFERROR(__xludf.DUMMYFUNCTION("""COMPUTED_VALUE"""),190.67)</f>
        <v>190.67</v>
      </c>
      <c r="E111" s="141">
        <f ca="1">IFERROR(__xludf.DUMMYFUNCTION("""COMPUTED_VALUE"""),188.9)</f>
        <v>188.9</v>
      </c>
      <c r="F111" s="141">
        <f ca="1">IFERROR(__xludf.DUMMYFUNCTION("""COMPUTED_VALUE"""),189.79)</f>
        <v>189.79</v>
      </c>
      <c r="G111" s="143">
        <f ca="1">IFERROR(__xludf.DUMMYFUNCTION("""COMPUTED_VALUE"""),40552609)</f>
        <v>40552609</v>
      </c>
      <c r="H111" s="26"/>
    </row>
    <row r="112" spans="1:8" ht="17.25" customHeight="1" x14ac:dyDescent="0.2">
      <c r="A112" s="26"/>
      <c r="B112" s="139">
        <f ca="1">IFERROR(__xludf.DUMMYFUNCTION("""COMPUTED_VALUE"""),45258.6666666666)</f>
        <v>45258.666666666599</v>
      </c>
      <c r="C112" s="141">
        <f ca="1">IFERROR(__xludf.DUMMYFUNCTION("""COMPUTED_VALUE"""),189.78)</f>
        <v>189.78</v>
      </c>
      <c r="D112" s="141">
        <f ca="1">IFERROR(__xludf.DUMMYFUNCTION("""COMPUTED_VALUE"""),191.08)</f>
        <v>191.08</v>
      </c>
      <c r="E112" s="141">
        <f ca="1">IFERROR(__xludf.DUMMYFUNCTION("""COMPUTED_VALUE"""),189.4)</f>
        <v>189.4</v>
      </c>
      <c r="F112" s="141">
        <f ca="1">IFERROR(__xludf.DUMMYFUNCTION("""COMPUTED_VALUE"""),190.4)</f>
        <v>190.4</v>
      </c>
      <c r="G112" s="143">
        <f ca="1">IFERROR(__xludf.DUMMYFUNCTION("""COMPUTED_VALUE"""),38415419)</f>
        <v>38415419</v>
      </c>
      <c r="H112" s="26"/>
    </row>
    <row r="113" spans="1:8" ht="17.25" customHeight="1" x14ac:dyDescent="0.2">
      <c r="A113" s="26"/>
      <c r="B113" s="139">
        <f ca="1">IFERROR(__xludf.DUMMYFUNCTION("""COMPUTED_VALUE"""),45259.6666666666)</f>
        <v>45259.666666666599</v>
      </c>
      <c r="C113" s="141">
        <f ca="1">IFERROR(__xludf.DUMMYFUNCTION("""COMPUTED_VALUE"""),190.9)</f>
        <v>190.9</v>
      </c>
      <c r="D113" s="141">
        <f ca="1">IFERROR(__xludf.DUMMYFUNCTION("""COMPUTED_VALUE"""),192.09)</f>
        <v>192.09</v>
      </c>
      <c r="E113" s="141">
        <f ca="1">IFERROR(__xludf.DUMMYFUNCTION("""COMPUTED_VALUE"""),188.97)</f>
        <v>188.97</v>
      </c>
      <c r="F113" s="141">
        <f ca="1">IFERROR(__xludf.DUMMYFUNCTION("""COMPUTED_VALUE"""),189.37)</f>
        <v>189.37</v>
      </c>
      <c r="G113" s="143">
        <f ca="1">IFERROR(__xludf.DUMMYFUNCTION("""COMPUTED_VALUE"""),43014224)</f>
        <v>43014224</v>
      </c>
      <c r="H113" s="26"/>
    </row>
    <row r="114" spans="1:8" ht="17.25" customHeight="1" x14ac:dyDescent="0.2">
      <c r="A114" s="26"/>
      <c r="B114" s="139">
        <f ca="1">IFERROR(__xludf.DUMMYFUNCTION("""COMPUTED_VALUE"""),45260.6666666666)</f>
        <v>45260.666666666599</v>
      </c>
      <c r="C114" s="141">
        <f ca="1">IFERROR(__xludf.DUMMYFUNCTION("""COMPUTED_VALUE"""),189.84)</f>
        <v>189.84</v>
      </c>
      <c r="D114" s="141">
        <f ca="1">IFERROR(__xludf.DUMMYFUNCTION("""COMPUTED_VALUE"""),190.32)</f>
        <v>190.32</v>
      </c>
      <c r="E114" s="141">
        <f ca="1">IFERROR(__xludf.DUMMYFUNCTION("""COMPUTED_VALUE"""),188.19)</f>
        <v>188.19</v>
      </c>
      <c r="F114" s="141">
        <f ca="1">IFERROR(__xludf.DUMMYFUNCTION("""COMPUTED_VALUE"""),189.95)</f>
        <v>189.95</v>
      </c>
      <c r="G114" s="143">
        <f ca="1">IFERROR(__xludf.DUMMYFUNCTION("""COMPUTED_VALUE"""),48794366)</f>
        <v>48794366</v>
      </c>
      <c r="H114" s="26"/>
    </row>
    <row r="115" spans="1:8" ht="17.25" customHeight="1" x14ac:dyDescent="0.2">
      <c r="A115" s="26"/>
      <c r="B115" s="139">
        <f ca="1">IFERROR(__xludf.DUMMYFUNCTION("""COMPUTED_VALUE"""),45261.6666666666)</f>
        <v>45261.666666666599</v>
      </c>
      <c r="C115" s="141">
        <f ca="1">IFERROR(__xludf.DUMMYFUNCTION("""COMPUTED_VALUE"""),190.33)</f>
        <v>190.33</v>
      </c>
      <c r="D115" s="141">
        <f ca="1">IFERROR(__xludf.DUMMYFUNCTION("""COMPUTED_VALUE"""),191.56)</f>
        <v>191.56</v>
      </c>
      <c r="E115" s="141">
        <f ca="1">IFERROR(__xludf.DUMMYFUNCTION("""COMPUTED_VALUE"""),189.23)</f>
        <v>189.23</v>
      </c>
      <c r="F115" s="141">
        <f ca="1">IFERROR(__xludf.DUMMYFUNCTION("""COMPUTED_VALUE"""),191.24)</f>
        <v>191.24</v>
      </c>
      <c r="G115" s="143">
        <f ca="1">IFERROR(__xludf.DUMMYFUNCTION("""COMPUTED_VALUE"""),45704823)</f>
        <v>45704823</v>
      </c>
      <c r="H115" s="26"/>
    </row>
    <row r="116" spans="1:8" ht="17.25" customHeight="1" x14ac:dyDescent="0.2">
      <c r="A116" s="26"/>
      <c r="B116" s="139">
        <f ca="1">IFERROR(__xludf.DUMMYFUNCTION("""COMPUTED_VALUE"""),45264.6666666666)</f>
        <v>45264.666666666599</v>
      </c>
      <c r="C116" s="141">
        <f ca="1">IFERROR(__xludf.DUMMYFUNCTION("""COMPUTED_VALUE"""),189.98)</f>
        <v>189.98</v>
      </c>
      <c r="D116" s="141">
        <f ca="1">IFERROR(__xludf.DUMMYFUNCTION("""COMPUTED_VALUE"""),190.05)</f>
        <v>190.05</v>
      </c>
      <c r="E116" s="141">
        <f ca="1">IFERROR(__xludf.DUMMYFUNCTION("""COMPUTED_VALUE"""),187.45)</f>
        <v>187.45</v>
      </c>
      <c r="F116" s="141">
        <f ca="1">IFERROR(__xludf.DUMMYFUNCTION("""COMPUTED_VALUE"""),189.43)</f>
        <v>189.43</v>
      </c>
      <c r="G116" s="143">
        <f ca="1">IFERROR(__xludf.DUMMYFUNCTION("""COMPUTED_VALUE"""),43389519)</f>
        <v>43389519</v>
      </c>
      <c r="H116" s="26"/>
    </row>
    <row r="117" spans="1:8" ht="17.25" customHeight="1" x14ac:dyDescent="0.2">
      <c r="A117" s="26"/>
      <c r="B117" s="139">
        <f ca="1">IFERROR(__xludf.DUMMYFUNCTION("""COMPUTED_VALUE"""),45265.6666666666)</f>
        <v>45265.666666666599</v>
      </c>
      <c r="C117" s="141">
        <f ca="1">IFERROR(__xludf.DUMMYFUNCTION("""COMPUTED_VALUE"""),190.21)</f>
        <v>190.21</v>
      </c>
      <c r="D117" s="141">
        <f ca="1">IFERROR(__xludf.DUMMYFUNCTION("""COMPUTED_VALUE"""),194.4)</f>
        <v>194.4</v>
      </c>
      <c r="E117" s="141">
        <f ca="1">IFERROR(__xludf.DUMMYFUNCTION("""COMPUTED_VALUE"""),190.18)</f>
        <v>190.18</v>
      </c>
      <c r="F117" s="141">
        <f ca="1">IFERROR(__xludf.DUMMYFUNCTION("""COMPUTED_VALUE"""),193.42)</f>
        <v>193.42</v>
      </c>
      <c r="G117" s="143">
        <f ca="1">IFERROR(__xludf.DUMMYFUNCTION("""COMPUTED_VALUE"""),66628398)</f>
        <v>66628398</v>
      </c>
      <c r="H117" s="26"/>
    </row>
    <row r="118" spans="1:8" ht="17.25" customHeight="1" x14ac:dyDescent="0.2">
      <c r="A118" s="26"/>
      <c r="B118" s="139">
        <f ca="1">IFERROR(__xludf.DUMMYFUNCTION("""COMPUTED_VALUE"""),45266.6666666666)</f>
        <v>45266.666666666599</v>
      </c>
      <c r="C118" s="141">
        <f ca="1">IFERROR(__xludf.DUMMYFUNCTION("""COMPUTED_VALUE"""),194.45)</f>
        <v>194.45</v>
      </c>
      <c r="D118" s="141">
        <f ca="1">IFERROR(__xludf.DUMMYFUNCTION("""COMPUTED_VALUE"""),194.76)</f>
        <v>194.76</v>
      </c>
      <c r="E118" s="141">
        <f ca="1">IFERROR(__xludf.DUMMYFUNCTION("""COMPUTED_VALUE"""),192.11)</f>
        <v>192.11</v>
      </c>
      <c r="F118" s="141">
        <f ca="1">IFERROR(__xludf.DUMMYFUNCTION("""COMPUTED_VALUE"""),192.32)</f>
        <v>192.32</v>
      </c>
      <c r="G118" s="143">
        <f ca="1">IFERROR(__xludf.DUMMYFUNCTION("""COMPUTED_VALUE"""),41089737)</f>
        <v>41089737</v>
      </c>
      <c r="H118" s="26"/>
    </row>
    <row r="119" spans="1:8" ht="17.25" customHeight="1" x14ac:dyDescent="0.2">
      <c r="A119" s="26"/>
      <c r="B119" s="139">
        <f ca="1">IFERROR(__xludf.DUMMYFUNCTION("""COMPUTED_VALUE"""),45267.6666666666)</f>
        <v>45267.666666666599</v>
      </c>
      <c r="C119" s="141">
        <f ca="1">IFERROR(__xludf.DUMMYFUNCTION("""COMPUTED_VALUE"""),193.63)</f>
        <v>193.63</v>
      </c>
      <c r="D119" s="141">
        <f ca="1">IFERROR(__xludf.DUMMYFUNCTION("""COMPUTED_VALUE"""),195)</f>
        <v>195</v>
      </c>
      <c r="E119" s="141">
        <f ca="1">IFERROR(__xludf.DUMMYFUNCTION("""COMPUTED_VALUE"""),193.59)</f>
        <v>193.59</v>
      </c>
      <c r="F119" s="141">
        <f ca="1">IFERROR(__xludf.DUMMYFUNCTION("""COMPUTED_VALUE"""),194.27)</f>
        <v>194.27</v>
      </c>
      <c r="G119" s="143">
        <f ca="1">IFERROR(__xludf.DUMMYFUNCTION("""COMPUTED_VALUE"""),47477655)</f>
        <v>47477655</v>
      </c>
      <c r="H119" s="26"/>
    </row>
    <row r="120" spans="1:8" ht="17.25" customHeight="1" x14ac:dyDescent="0.2">
      <c r="A120" s="26"/>
      <c r="B120" s="139">
        <f ca="1">IFERROR(__xludf.DUMMYFUNCTION("""COMPUTED_VALUE"""),45268.6666666666)</f>
        <v>45268.666666666599</v>
      </c>
      <c r="C120" s="141">
        <f ca="1">IFERROR(__xludf.DUMMYFUNCTION("""COMPUTED_VALUE"""),194.2)</f>
        <v>194.2</v>
      </c>
      <c r="D120" s="141">
        <f ca="1">IFERROR(__xludf.DUMMYFUNCTION("""COMPUTED_VALUE"""),195.99)</f>
        <v>195.99</v>
      </c>
      <c r="E120" s="141">
        <f ca="1">IFERROR(__xludf.DUMMYFUNCTION("""COMPUTED_VALUE"""),193.67)</f>
        <v>193.67</v>
      </c>
      <c r="F120" s="141">
        <f ca="1">IFERROR(__xludf.DUMMYFUNCTION("""COMPUTED_VALUE"""),195.71)</f>
        <v>195.71</v>
      </c>
      <c r="G120" s="143">
        <f ca="1">IFERROR(__xludf.DUMMYFUNCTION("""COMPUTED_VALUE"""),53406358)</f>
        <v>53406358</v>
      </c>
      <c r="H120" s="26"/>
    </row>
    <row r="121" spans="1:8" ht="17.25" customHeight="1" x14ac:dyDescent="0.2">
      <c r="A121" s="26"/>
      <c r="B121" s="139">
        <f ca="1">IFERROR(__xludf.DUMMYFUNCTION("""COMPUTED_VALUE"""),45271.6666666666)</f>
        <v>45271.666666666599</v>
      </c>
      <c r="C121" s="141">
        <f ca="1">IFERROR(__xludf.DUMMYFUNCTION("""COMPUTED_VALUE"""),193.11)</f>
        <v>193.11</v>
      </c>
      <c r="D121" s="141">
        <f ca="1">IFERROR(__xludf.DUMMYFUNCTION("""COMPUTED_VALUE"""),193.49)</f>
        <v>193.49</v>
      </c>
      <c r="E121" s="141">
        <f ca="1">IFERROR(__xludf.DUMMYFUNCTION("""COMPUTED_VALUE"""),191.42)</f>
        <v>191.42</v>
      </c>
      <c r="F121" s="141">
        <f ca="1">IFERROR(__xludf.DUMMYFUNCTION("""COMPUTED_VALUE"""),193.18)</f>
        <v>193.18</v>
      </c>
      <c r="G121" s="143">
        <f ca="1">IFERROR(__xludf.DUMMYFUNCTION("""COMPUTED_VALUE"""),60943699)</f>
        <v>60943699</v>
      </c>
      <c r="H121" s="26"/>
    </row>
    <row r="122" spans="1:8" ht="17.25" customHeight="1" x14ac:dyDescent="0.2">
      <c r="A122" s="26"/>
      <c r="B122" s="139">
        <f ca="1">IFERROR(__xludf.DUMMYFUNCTION("""COMPUTED_VALUE"""),45272.6666666666)</f>
        <v>45272.666666666599</v>
      </c>
      <c r="C122" s="141">
        <f ca="1">IFERROR(__xludf.DUMMYFUNCTION("""COMPUTED_VALUE"""),193.08)</f>
        <v>193.08</v>
      </c>
      <c r="D122" s="141">
        <f ca="1">IFERROR(__xludf.DUMMYFUNCTION("""COMPUTED_VALUE"""),194.72)</f>
        <v>194.72</v>
      </c>
      <c r="E122" s="141">
        <f ca="1">IFERROR(__xludf.DUMMYFUNCTION("""COMPUTED_VALUE"""),191.72)</f>
        <v>191.72</v>
      </c>
      <c r="F122" s="141">
        <f ca="1">IFERROR(__xludf.DUMMYFUNCTION("""COMPUTED_VALUE"""),194.71)</f>
        <v>194.71</v>
      </c>
      <c r="G122" s="143">
        <f ca="1">IFERROR(__xludf.DUMMYFUNCTION("""COMPUTED_VALUE"""),52696900)</f>
        <v>52696900</v>
      </c>
      <c r="H122" s="26"/>
    </row>
    <row r="123" spans="1:8" ht="17.25" customHeight="1" x14ac:dyDescent="0.2">
      <c r="A123" s="26"/>
      <c r="B123" s="139">
        <f ca="1">IFERROR(__xludf.DUMMYFUNCTION("""COMPUTED_VALUE"""),45273.6666666666)</f>
        <v>45273.666666666599</v>
      </c>
      <c r="C123" s="141">
        <f ca="1">IFERROR(__xludf.DUMMYFUNCTION("""COMPUTED_VALUE"""),195.09)</f>
        <v>195.09</v>
      </c>
      <c r="D123" s="141">
        <f ca="1">IFERROR(__xludf.DUMMYFUNCTION("""COMPUTED_VALUE"""),198)</f>
        <v>198</v>
      </c>
      <c r="E123" s="141">
        <f ca="1">IFERROR(__xludf.DUMMYFUNCTION("""COMPUTED_VALUE"""),194.85)</f>
        <v>194.85</v>
      </c>
      <c r="F123" s="141">
        <f ca="1">IFERROR(__xludf.DUMMYFUNCTION("""COMPUTED_VALUE"""),197.96)</f>
        <v>197.96</v>
      </c>
      <c r="G123" s="143">
        <f ca="1">IFERROR(__xludf.DUMMYFUNCTION("""COMPUTED_VALUE"""),70404183)</f>
        <v>70404183</v>
      </c>
      <c r="H123" s="26"/>
    </row>
    <row r="124" spans="1:8" ht="17.25" customHeight="1" x14ac:dyDescent="0.2">
      <c r="A124" s="26"/>
      <c r="B124" s="139">
        <f ca="1">IFERROR(__xludf.DUMMYFUNCTION("""COMPUTED_VALUE"""),45274.6666666666)</f>
        <v>45274.666666666599</v>
      </c>
      <c r="C124" s="141">
        <f ca="1">IFERROR(__xludf.DUMMYFUNCTION("""COMPUTED_VALUE"""),198.02)</f>
        <v>198.02</v>
      </c>
      <c r="D124" s="141">
        <f ca="1">IFERROR(__xludf.DUMMYFUNCTION("""COMPUTED_VALUE"""),199.62)</f>
        <v>199.62</v>
      </c>
      <c r="E124" s="141">
        <f ca="1">IFERROR(__xludf.DUMMYFUNCTION("""COMPUTED_VALUE"""),196.16)</f>
        <v>196.16</v>
      </c>
      <c r="F124" s="141">
        <f ca="1">IFERROR(__xludf.DUMMYFUNCTION("""COMPUTED_VALUE"""),198.11)</f>
        <v>198.11</v>
      </c>
      <c r="G124" s="143">
        <f ca="1">IFERROR(__xludf.DUMMYFUNCTION("""COMPUTED_VALUE"""),66831572)</f>
        <v>66831572</v>
      </c>
      <c r="H124" s="26"/>
    </row>
    <row r="125" spans="1:8" ht="17.25" customHeight="1" x14ac:dyDescent="0.2">
      <c r="A125" s="26"/>
      <c r="B125" s="139">
        <f ca="1">IFERROR(__xludf.DUMMYFUNCTION("""COMPUTED_VALUE"""),45275.6666666666)</f>
        <v>45275.666666666599</v>
      </c>
      <c r="C125" s="141">
        <f ca="1">IFERROR(__xludf.DUMMYFUNCTION("""COMPUTED_VALUE"""),197.53)</f>
        <v>197.53</v>
      </c>
      <c r="D125" s="141">
        <f ca="1">IFERROR(__xludf.DUMMYFUNCTION("""COMPUTED_VALUE"""),198.4)</f>
        <v>198.4</v>
      </c>
      <c r="E125" s="141">
        <f ca="1">IFERROR(__xludf.DUMMYFUNCTION("""COMPUTED_VALUE"""),197)</f>
        <v>197</v>
      </c>
      <c r="F125" s="141">
        <f ca="1">IFERROR(__xludf.DUMMYFUNCTION("""COMPUTED_VALUE"""),197.57)</f>
        <v>197.57</v>
      </c>
      <c r="G125" s="143">
        <f ca="1">IFERROR(__xludf.DUMMYFUNCTION("""COMPUTED_VALUE"""),128538401)</f>
        <v>128538401</v>
      </c>
      <c r="H125" s="26"/>
    </row>
    <row r="126" spans="1:8" ht="17.25" customHeight="1" x14ac:dyDescent="0.2">
      <c r="A126" s="26"/>
      <c r="B126" s="139">
        <f ca="1">IFERROR(__xludf.DUMMYFUNCTION("""COMPUTED_VALUE"""),45278.6666666666)</f>
        <v>45278.666666666599</v>
      </c>
      <c r="C126" s="141">
        <f ca="1">IFERROR(__xludf.DUMMYFUNCTION("""COMPUTED_VALUE"""),196.09)</f>
        <v>196.09</v>
      </c>
      <c r="D126" s="141">
        <f ca="1">IFERROR(__xludf.DUMMYFUNCTION("""COMPUTED_VALUE"""),196.63)</f>
        <v>196.63</v>
      </c>
      <c r="E126" s="141">
        <f ca="1">IFERROR(__xludf.DUMMYFUNCTION("""COMPUTED_VALUE"""),194.39)</f>
        <v>194.39</v>
      </c>
      <c r="F126" s="141">
        <f ca="1">IFERROR(__xludf.DUMMYFUNCTION("""COMPUTED_VALUE"""),195.89)</f>
        <v>195.89</v>
      </c>
      <c r="G126" s="143">
        <f ca="1">IFERROR(__xludf.DUMMYFUNCTION("""COMPUTED_VALUE"""),55751861)</f>
        <v>55751861</v>
      </c>
      <c r="H126" s="26"/>
    </row>
    <row r="127" spans="1:8" ht="17.25" customHeight="1" x14ac:dyDescent="0.2">
      <c r="A127" s="26"/>
      <c r="B127" s="139">
        <f ca="1">IFERROR(__xludf.DUMMYFUNCTION("""COMPUTED_VALUE"""),45279.6666666666)</f>
        <v>45279.666666666599</v>
      </c>
      <c r="C127" s="141">
        <f ca="1">IFERROR(__xludf.DUMMYFUNCTION("""COMPUTED_VALUE"""),196.16)</f>
        <v>196.16</v>
      </c>
      <c r="D127" s="141">
        <f ca="1">IFERROR(__xludf.DUMMYFUNCTION("""COMPUTED_VALUE"""),196.95)</f>
        <v>196.95</v>
      </c>
      <c r="E127" s="141">
        <f ca="1">IFERROR(__xludf.DUMMYFUNCTION("""COMPUTED_VALUE"""),195.89)</f>
        <v>195.89</v>
      </c>
      <c r="F127" s="141">
        <f ca="1">IFERROR(__xludf.DUMMYFUNCTION("""COMPUTED_VALUE"""),196.94)</f>
        <v>196.94</v>
      </c>
      <c r="G127" s="143">
        <f ca="1">IFERROR(__xludf.DUMMYFUNCTION("""COMPUTED_VALUE"""),40714051)</f>
        <v>40714051</v>
      </c>
      <c r="H127" s="26"/>
    </row>
    <row r="128" spans="1:8" ht="17.25" customHeight="1" x14ac:dyDescent="0.2">
      <c r="A128" s="26"/>
      <c r="B128" s="139">
        <f ca="1">IFERROR(__xludf.DUMMYFUNCTION("""COMPUTED_VALUE"""),45280.6666666666)</f>
        <v>45280.666666666599</v>
      </c>
      <c r="C128" s="141">
        <f ca="1">IFERROR(__xludf.DUMMYFUNCTION("""COMPUTED_VALUE"""),196.9)</f>
        <v>196.9</v>
      </c>
      <c r="D128" s="141">
        <f ca="1">IFERROR(__xludf.DUMMYFUNCTION("""COMPUTED_VALUE"""),197.68)</f>
        <v>197.68</v>
      </c>
      <c r="E128" s="141">
        <f ca="1">IFERROR(__xludf.DUMMYFUNCTION("""COMPUTED_VALUE"""),194.83)</f>
        <v>194.83</v>
      </c>
      <c r="F128" s="141">
        <f ca="1">IFERROR(__xludf.DUMMYFUNCTION("""COMPUTED_VALUE"""),194.83)</f>
        <v>194.83</v>
      </c>
      <c r="G128" s="143">
        <f ca="1">IFERROR(__xludf.DUMMYFUNCTION("""COMPUTED_VALUE"""),52242815)</f>
        <v>52242815</v>
      </c>
      <c r="H128" s="26"/>
    </row>
    <row r="129" spans="1:8" ht="17.25" customHeight="1" x14ac:dyDescent="0.2">
      <c r="A129" s="26"/>
      <c r="B129" s="139">
        <f ca="1">IFERROR(__xludf.DUMMYFUNCTION("""COMPUTED_VALUE"""),45281.6666666666)</f>
        <v>45281.666666666599</v>
      </c>
      <c r="C129" s="141">
        <f ca="1">IFERROR(__xludf.DUMMYFUNCTION("""COMPUTED_VALUE"""),196.1)</f>
        <v>196.1</v>
      </c>
      <c r="D129" s="141">
        <f ca="1">IFERROR(__xludf.DUMMYFUNCTION("""COMPUTED_VALUE"""),197.08)</f>
        <v>197.08</v>
      </c>
      <c r="E129" s="141">
        <f ca="1">IFERROR(__xludf.DUMMYFUNCTION("""COMPUTED_VALUE"""),193.5)</f>
        <v>193.5</v>
      </c>
      <c r="F129" s="141">
        <f ca="1">IFERROR(__xludf.DUMMYFUNCTION("""COMPUTED_VALUE"""),194.68)</f>
        <v>194.68</v>
      </c>
      <c r="G129" s="143">
        <f ca="1">IFERROR(__xludf.DUMMYFUNCTION("""COMPUTED_VALUE"""),46482549)</f>
        <v>46482549</v>
      </c>
      <c r="H129" s="26"/>
    </row>
    <row r="130" spans="1:8" ht="17.25" customHeight="1" x14ac:dyDescent="0.2">
      <c r="A130" s="26"/>
      <c r="B130" s="139">
        <f ca="1">IFERROR(__xludf.DUMMYFUNCTION("""COMPUTED_VALUE"""),45282.6666666666)</f>
        <v>45282.666666666599</v>
      </c>
      <c r="C130" s="141">
        <f ca="1">IFERROR(__xludf.DUMMYFUNCTION("""COMPUTED_VALUE"""),195.18)</f>
        <v>195.18</v>
      </c>
      <c r="D130" s="141">
        <f ca="1">IFERROR(__xludf.DUMMYFUNCTION("""COMPUTED_VALUE"""),195.41)</f>
        <v>195.41</v>
      </c>
      <c r="E130" s="141">
        <f ca="1">IFERROR(__xludf.DUMMYFUNCTION("""COMPUTED_VALUE"""),192.97)</f>
        <v>192.97</v>
      </c>
      <c r="F130" s="141">
        <f ca="1">IFERROR(__xludf.DUMMYFUNCTION("""COMPUTED_VALUE"""),193.6)</f>
        <v>193.6</v>
      </c>
      <c r="G130" s="143">
        <f ca="1">IFERROR(__xludf.DUMMYFUNCTION("""COMPUTED_VALUE"""),37149570)</f>
        <v>37149570</v>
      </c>
      <c r="H130" s="26"/>
    </row>
    <row r="131" spans="1:8" ht="17.25" customHeight="1" x14ac:dyDescent="0.2">
      <c r="A131" s="26"/>
      <c r="B131" s="139">
        <f ca="1">IFERROR(__xludf.DUMMYFUNCTION("""COMPUTED_VALUE"""),45286.6666666666)</f>
        <v>45286.666666666599</v>
      </c>
      <c r="C131" s="141">
        <f ca="1">IFERROR(__xludf.DUMMYFUNCTION("""COMPUTED_VALUE"""),193.61)</f>
        <v>193.61</v>
      </c>
      <c r="D131" s="141">
        <f ca="1">IFERROR(__xludf.DUMMYFUNCTION("""COMPUTED_VALUE"""),193.89)</f>
        <v>193.89</v>
      </c>
      <c r="E131" s="141">
        <f ca="1">IFERROR(__xludf.DUMMYFUNCTION("""COMPUTED_VALUE"""),192.83)</f>
        <v>192.83</v>
      </c>
      <c r="F131" s="141">
        <f ca="1">IFERROR(__xludf.DUMMYFUNCTION("""COMPUTED_VALUE"""),193.05)</f>
        <v>193.05</v>
      </c>
      <c r="G131" s="143">
        <f ca="1">IFERROR(__xludf.DUMMYFUNCTION("""COMPUTED_VALUE"""),28919310)</f>
        <v>28919310</v>
      </c>
      <c r="H131" s="26"/>
    </row>
    <row r="132" spans="1:8" ht="17.25" customHeight="1" x14ac:dyDescent="0.2">
      <c r="A132" s="26"/>
      <c r="B132" s="139">
        <f ca="1">IFERROR(__xludf.DUMMYFUNCTION("""COMPUTED_VALUE"""),45287.6666666666)</f>
        <v>45287.666666666599</v>
      </c>
      <c r="C132" s="141">
        <f ca="1">IFERROR(__xludf.DUMMYFUNCTION("""COMPUTED_VALUE"""),192.49)</f>
        <v>192.49</v>
      </c>
      <c r="D132" s="141">
        <f ca="1">IFERROR(__xludf.DUMMYFUNCTION("""COMPUTED_VALUE"""),193.5)</f>
        <v>193.5</v>
      </c>
      <c r="E132" s="141">
        <f ca="1">IFERROR(__xludf.DUMMYFUNCTION("""COMPUTED_VALUE"""),191.09)</f>
        <v>191.09</v>
      </c>
      <c r="F132" s="141">
        <f ca="1">IFERROR(__xludf.DUMMYFUNCTION("""COMPUTED_VALUE"""),193.15)</f>
        <v>193.15</v>
      </c>
      <c r="G132" s="143">
        <f ca="1">IFERROR(__xludf.DUMMYFUNCTION("""COMPUTED_VALUE"""),48087681)</f>
        <v>48087681</v>
      </c>
      <c r="H132" s="26"/>
    </row>
    <row r="133" spans="1:8" ht="17.25" customHeight="1" x14ac:dyDescent="0.2">
      <c r="A133" s="26"/>
      <c r="B133" s="139">
        <f ca="1">IFERROR(__xludf.DUMMYFUNCTION("""COMPUTED_VALUE"""),45288.6666666666)</f>
        <v>45288.666666666599</v>
      </c>
      <c r="C133" s="141">
        <f ca="1">IFERROR(__xludf.DUMMYFUNCTION("""COMPUTED_VALUE"""),194.14)</f>
        <v>194.14</v>
      </c>
      <c r="D133" s="141">
        <f ca="1">IFERROR(__xludf.DUMMYFUNCTION("""COMPUTED_VALUE"""),194.66)</f>
        <v>194.66</v>
      </c>
      <c r="E133" s="141">
        <f ca="1">IFERROR(__xludf.DUMMYFUNCTION("""COMPUTED_VALUE"""),193.17)</f>
        <v>193.17</v>
      </c>
      <c r="F133" s="141">
        <f ca="1">IFERROR(__xludf.DUMMYFUNCTION("""COMPUTED_VALUE"""),193.58)</f>
        <v>193.58</v>
      </c>
      <c r="G133" s="143">
        <f ca="1">IFERROR(__xludf.DUMMYFUNCTION("""COMPUTED_VALUE"""),34049898)</f>
        <v>34049898</v>
      </c>
      <c r="H133" s="26"/>
    </row>
    <row r="134" spans="1:8" ht="17.25" customHeight="1" x14ac:dyDescent="0.2">
      <c r="A134" s="26"/>
      <c r="B134" s="139">
        <f ca="1">IFERROR(__xludf.DUMMYFUNCTION("""COMPUTED_VALUE"""),45289.6666666666)</f>
        <v>45289.666666666599</v>
      </c>
      <c r="C134" s="141">
        <f ca="1">IFERROR(__xludf.DUMMYFUNCTION("""COMPUTED_VALUE"""),193.9)</f>
        <v>193.9</v>
      </c>
      <c r="D134" s="141">
        <f ca="1">IFERROR(__xludf.DUMMYFUNCTION("""COMPUTED_VALUE"""),194.4)</f>
        <v>194.4</v>
      </c>
      <c r="E134" s="141">
        <f ca="1">IFERROR(__xludf.DUMMYFUNCTION("""COMPUTED_VALUE"""),191.73)</f>
        <v>191.73</v>
      </c>
      <c r="F134" s="141">
        <f ca="1">IFERROR(__xludf.DUMMYFUNCTION("""COMPUTED_VALUE"""),192.53)</f>
        <v>192.53</v>
      </c>
      <c r="G134" s="143">
        <f ca="1">IFERROR(__xludf.DUMMYFUNCTION("""COMPUTED_VALUE"""),42672148)</f>
        <v>42672148</v>
      </c>
      <c r="H134" s="26"/>
    </row>
    <row r="135" spans="1:8" ht="17.25" customHeight="1" x14ac:dyDescent="0.2">
      <c r="A135" s="26"/>
      <c r="B135" s="139">
        <f ca="1">IFERROR(__xludf.DUMMYFUNCTION("""COMPUTED_VALUE"""),45293.6666666666)</f>
        <v>45293.666666666599</v>
      </c>
      <c r="C135" s="141">
        <f ca="1">IFERROR(__xludf.DUMMYFUNCTION("""COMPUTED_VALUE"""),187.15)</f>
        <v>187.15</v>
      </c>
      <c r="D135" s="141">
        <f ca="1">IFERROR(__xludf.DUMMYFUNCTION("""COMPUTED_VALUE"""),188.44)</f>
        <v>188.44</v>
      </c>
      <c r="E135" s="141">
        <f ca="1">IFERROR(__xludf.DUMMYFUNCTION("""COMPUTED_VALUE"""),183.89)</f>
        <v>183.89</v>
      </c>
      <c r="F135" s="141">
        <f ca="1">IFERROR(__xludf.DUMMYFUNCTION("""COMPUTED_VALUE"""),185.64)</f>
        <v>185.64</v>
      </c>
      <c r="G135" s="143">
        <f ca="1">IFERROR(__xludf.DUMMYFUNCTION("""COMPUTED_VALUE"""),82488674)</f>
        <v>82488674</v>
      </c>
      <c r="H135" s="26"/>
    </row>
    <row r="136" spans="1:8" ht="17.25" customHeight="1" x14ac:dyDescent="0.2">
      <c r="A136" s="26"/>
      <c r="B136" s="139">
        <f ca="1">IFERROR(__xludf.DUMMYFUNCTION("""COMPUTED_VALUE"""),45294.6666666666)</f>
        <v>45294.666666666599</v>
      </c>
      <c r="C136" s="141">
        <f ca="1">IFERROR(__xludf.DUMMYFUNCTION("""COMPUTED_VALUE"""),184.22)</f>
        <v>184.22</v>
      </c>
      <c r="D136" s="141">
        <f ca="1">IFERROR(__xludf.DUMMYFUNCTION("""COMPUTED_VALUE"""),185.88)</f>
        <v>185.88</v>
      </c>
      <c r="E136" s="141">
        <f ca="1">IFERROR(__xludf.DUMMYFUNCTION("""COMPUTED_VALUE"""),183.43)</f>
        <v>183.43</v>
      </c>
      <c r="F136" s="141">
        <f ca="1">IFERROR(__xludf.DUMMYFUNCTION("""COMPUTED_VALUE"""),184.25)</f>
        <v>184.25</v>
      </c>
      <c r="G136" s="143">
        <f ca="1">IFERROR(__xludf.DUMMYFUNCTION("""COMPUTED_VALUE"""),58414460)</f>
        <v>58414460</v>
      </c>
      <c r="H136" s="26"/>
    </row>
    <row r="137" spans="1:8" ht="17.25" customHeight="1" x14ac:dyDescent="0.2">
      <c r="A137" s="26"/>
      <c r="B137" s="139">
        <f ca="1">IFERROR(__xludf.DUMMYFUNCTION("""COMPUTED_VALUE"""),45295.6666666666)</f>
        <v>45295.666666666599</v>
      </c>
      <c r="C137" s="141">
        <f ca="1">IFERROR(__xludf.DUMMYFUNCTION("""COMPUTED_VALUE"""),182.15)</f>
        <v>182.15</v>
      </c>
      <c r="D137" s="141">
        <f ca="1">IFERROR(__xludf.DUMMYFUNCTION("""COMPUTED_VALUE"""),183.09)</f>
        <v>183.09</v>
      </c>
      <c r="E137" s="141">
        <f ca="1">IFERROR(__xludf.DUMMYFUNCTION("""COMPUTED_VALUE"""),180.88)</f>
        <v>180.88</v>
      </c>
      <c r="F137" s="141">
        <f ca="1">IFERROR(__xludf.DUMMYFUNCTION("""COMPUTED_VALUE"""),181.91)</f>
        <v>181.91</v>
      </c>
      <c r="G137" s="143">
        <f ca="1">IFERROR(__xludf.DUMMYFUNCTION("""COMPUTED_VALUE"""),71983570)</f>
        <v>71983570</v>
      </c>
      <c r="H137" s="26"/>
    </row>
    <row r="138" spans="1:8" ht="17.25" customHeight="1" x14ac:dyDescent="0.2">
      <c r="A138" s="26"/>
      <c r="B138" s="139">
        <f ca="1">IFERROR(__xludf.DUMMYFUNCTION("""COMPUTED_VALUE"""),45296.6666666666)</f>
        <v>45296.666666666599</v>
      </c>
      <c r="C138" s="141">
        <f ca="1">IFERROR(__xludf.DUMMYFUNCTION("""COMPUTED_VALUE"""),181.99)</f>
        <v>181.99</v>
      </c>
      <c r="D138" s="141">
        <f ca="1">IFERROR(__xludf.DUMMYFUNCTION("""COMPUTED_VALUE"""),182.76)</f>
        <v>182.76</v>
      </c>
      <c r="E138" s="141">
        <f ca="1">IFERROR(__xludf.DUMMYFUNCTION("""COMPUTED_VALUE"""),180.17)</f>
        <v>180.17</v>
      </c>
      <c r="F138" s="141">
        <f ca="1">IFERROR(__xludf.DUMMYFUNCTION("""COMPUTED_VALUE"""),181.18)</f>
        <v>181.18</v>
      </c>
      <c r="G138" s="143">
        <f ca="1">IFERROR(__xludf.DUMMYFUNCTION("""COMPUTED_VALUE"""),62379661)</f>
        <v>62379661</v>
      </c>
      <c r="H138" s="26"/>
    </row>
    <row r="139" spans="1:8" ht="17.25" customHeight="1" x14ac:dyDescent="0.2">
      <c r="A139" s="26"/>
      <c r="B139" s="139">
        <f ca="1">IFERROR(__xludf.DUMMYFUNCTION("""COMPUTED_VALUE"""),45299.6666666666)</f>
        <v>45299.666666666599</v>
      </c>
      <c r="C139" s="141">
        <f ca="1">IFERROR(__xludf.DUMMYFUNCTION("""COMPUTED_VALUE"""),182.09)</f>
        <v>182.09</v>
      </c>
      <c r="D139" s="141">
        <f ca="1">IFERROR(__xludf.DUMMYFUNCTION("""COMPUTED_VALUE"""),185.6)</f>
        <v>185.6</v>
      </c>
      <c r="E139" s="141">
        <f ca="1">IFERROR(__xludf.DUMMYFUNCTION("""COMPUTED_VALUE"""),181.5)</f>
        <v>181.5</v>
      </c>
      <c r="F139" s="141">
        <f ca="1">IFERROR(__xludf.DUMMYFUNCTION("""COMPUTED_VALUE"""),185.56)</f>
        <v>185.56</v>
      </c>
      <c r="G139" s="143">
        <f ca="1">IFERROR(__xludf.DUMMYFUNCTION("""COMPUTED_VALUE"""),59144470)</f>
        <v>59144470</v>
      </c>
      <c r="H139" s="26"/>
    </row>
    <row r="140" spans="1:8" ht="17.25" customHeight="1" x14ac:dyDescent="0.2">
      <c r="A140" s="26"/>
      <c r="B140" s="139">
        <f ca="1">IFERROR(__xludf.DUMMYFUNCTION("""COMPUTED_VALUE"""),45300.6666666666)</f>
        <v>45300.666666666599</v>
      </c>
      <c r="C140" s="141">
        <f ca="1">IFERROR(__xludf.DUMMYFUNCTION("""COMPUTED_VALUE"""),183.92)</f>
        <v>183.92</v>
      </c>
      <c r="D140" s="141">
        <f ca="1">IFERROR(__xludf.DUMMYFUNCTION("""COMPUTED_VALUE"""),185.15)</f>
        <v>185.15</v>
      </c>
      <c r="E140" s="141">
        <f ca="1">IFERROR(__xludf.DUMMYFUNCTION("""COMPUTED_VALUE"""),182.73)</f>
        <v>182.73</v>
      </c>
      <c r="F140" s="141">
        <f ca="1">IFERROR(__xludf.DUMMYFUNCTION("""COMPUTED_VALUE"""),185.14)</f>
        <v>185.14</v>
      </c>
      <c r="G140" s="143">
        <f ca="1">IFERROR(__xludf.DUMMYFUNCTION("""COMPUTED_VALUE"""),42841809)</f>
        <v>42841809</v>
      </c>
      <c r="H140" s="26"/>
    </row>
    <row r="141" spans="1:8" ht="17.25" customHeight="1" x14ac:dyDescent="0.2">
      <c r="A141" s="26"/>
      <c r="B141" s="139">
        <f ca="1">IFERROR(__xludf.DUMMYFUNCTION("""COMPUTED_VALUE"""),45301.6666666666)</f>
        <v>45301.666666666599</v>
      </c>
      <c r="C141" s="141">
        <f ca="1">IFERROR(__xludf.DUMMYFUNCTION("""COMPUTED_VALUE"""),184.35)</f>
        <v>184.35</v>
      </c>
      <c r="D141" s="141">
        <f ca="1">IFERROR(__xludf.DUMMYFUNCTION("""COMPUTED_VALUE"""),186.4)</f>
        <v>186.4</v>
      </c>
      <c r="E141" s="141">
        <f ca="1">IFERROR(__xludf.DUMMYFUNCTION("""COMPUTED_VALUE"""),183.92)</f>
        <v>183.92</v>
      </c>
      <c r="F141" s="141">
        <f ca="1">IFERROR(__xludf.DUMMYFUNCTION("""COMPUTED_VALUE"""),186.19)</f>
        <v>186.19</v>
      </c>
      <c r="G141" s="143">
        <f ca="1">IFERROR(__xludf.DUMMYFUNCTION("""COMPUTED_VALUE"""),46792908)</f>
        <v>46792908</v>
      </c>
      <c r="H141" s="26"/>
    </row>
    <row r="142" spans="1:8" ht="17.25" customHeight="1" x14ac:dyDescent="0.2">
      <c r="A142" s="26"/>
      <c r="B142" s="139">
        <f ca="1">IFERROR(__xludf.DUMMYFUNCTION("""COMPUTED_VALUE"""),45302.6666666666)</f>
        <v>45302.666666666599</v>
      </c>
      <c r="C142" s="141">
        <f ca="1">IFERROR(__xludf.DUMMYFUNCTION("""COMPUTED_VALUE"""),186.54)</f>
        <v>186.54</v>
      </c>
      <c r="D142" s="141">
        <f ca="1">IFERROR(__xludf.DUMMYFUNCTION("""COMPUTED_VALUE"""),187.05)</f>
        <v>187.05</v>
      </c>
      <c r="E142" s="141">
        <f ca="1">IFERROR(__xludf.DUMMYFUNCTION("""COMPUTED_VALUE"""),183.62)</f>
        <v>183.62</v>
      </c>
      <c r="F142" s="141">
        <f ca="1">IFERROR(__xludf.DUMMYFUNCTION("""COMPUTED_VALUE"""),185.59)</f>
        <v>185.59</v>
      </c>
      <c r="G142" s="143">
        <f ca="1">IFERROR(__xludf.DUMMYFUNCTION("""COMPUTED_VALUE"""),49128408)</f>
        <v>49128408</v>
      </c>
      <c r="H142" s="26"/>
    </row>
    <row r="143" spans="1:8" ht="17.25" customHeight="1" x14ac:dyDescent="0.2">
      <c r="A143" s="26"/>
      <c r="B143" s="139">
        <f ca="1">IFERROR(__xludf.DUMMYFUNCTION("""COMPUTED_VALUE"""),45303.6666666666)</f>
        <v>45303.666666666599</v>
      </c>
      <c r="C143" s="141">
        <f ca="1">IFERROR(__xludf.DUMMYFUNCTION("""COMPUTED_VALUE"""),186.06)</f>
        <v>186.06</v>
      </c>
      <c r="D143" s="141">
        <f ca="1">IFERROR(__xludf.DUMMYFUNCTION("""COMPUTED_VALUE"""),186.74)</f>
        <v>186.74</v>
      </c>
      <c r="E143" s="141">
        <f ca="1">IFERROR(__xludf.DUMMYFUNCTION("""COMPUTED_VALUE"""),185.19)</f>
        <v>185.19</v>
      </c>
      <c r="F143" s="141">
        <f ca="1">IFERROR(__xludf.DUMMYFUNCTION("""COMPUTED_VALUE"""),185.92)</f>
        <v>185.92</v>
      </c>
      <c r="G143" s="143">
        <f ca="1">IFERROR(__xludf.DUMMYFUNCTION("""COMPUTED_VALUE"""),40477782)</f>
        <v>40477782</v>
      </c>
      <c r="H143" s="26"/>
    </row>
    <row r="144" spans="1:8" ht="17.25" customHeight="1" x14ac:dyDescent="0.2">
      <c r="A144" s="26"/>
      <c r="B144" s="139">
        <f ca="1">IFERROR(__xludf.DUMMYFUNCTION("""COMPUTED_VALUE"""),45307.6666666666)</f>
        <v>45307.666666666599</v>
      </c>
      <c r="C144" s="141">
        <f ca="1">IFERROR(__xludf.DUMMYFUNCTION("""COMPUTED_VALUE"""),182.16)</f>
        <v>182.16</v>
      </c>
      <c r="D144" s="141">
        <f ca="1">IFERROR(__xludf.DUMMYFUNCTION("""COMPUTED_VALUE"""),184.26)</f>
        <v>184.26</v>
      </c>
      <c r="E144" s="141">
        <f ca="1">IFERROR(__xludf.DUMMYFUNCTION("""COMPUTED_VALUE"""),180.93)</f>
        <v>180.93</v>
      </c>
      <c r="F144" s="141">
        <f ca="1">IFERROR(__xludf.DUMMYFUNCTION("""COMPUTED_VALUE"""),183.63)</f>
        <v>183.63</v>
      </c>
      <c r="G144" s="143">
        <f ca="1">IFERROR(__xludf.DUMMYFUNCTION("""COMPUTED_VALUE"""),65603041)</f>
        <v>65603041</v>
      </c>
      <c r="H144" s="26"/>
    </row>
    <row r="145" spans="1:8" ht="17.25" customHeight="1" x14ac:dyDescent="0.2">
      <c r="A145" s="26"/>
      <c r="B145" s="139">
        <f ca="1">IFERROR(__xludf.DUMMYFUNCTION("""COMPUTED_VALUE"""),45308.6666666666)</f>
        <v>45308.666666666599</v>
      </c>
      <c r="C145" s="141">
        <f ca="1">IFERROR(__xludf.DUMMYFUNCTION("""COMPUTED_VALUE"""),181.27)</f>
        <v>181.27</v>
      </c>
      <c r="D145" s="141">
        <f ca="1">IFERROR(__xludf.DUMMYFUNCTION("""COMPUTED_VALUE"""),182.93)</f>
        <v>182.93</v>
      </c>
      <c r="E145" s="141">
        <f ca="1">IFERROR(__xludf.DUMMYFUNCTION("""COMPUTED_VALUE"""),180.3)</f>
        <v>180.3</v>
      </c>
      <c r="F145" s="141">
        <f ca="1">IFERROR(__xludf.DUMMYFUNCTION("""COMPUTED_VALUE"""),182.68)</f>
        <v>182.68</v>
      </c>
      <c r="G145" s="143">
        <f ca="1">IFERROR(__xludf.DUMMYFUNCTION("""COMPUTED_VALUE"""),47317433)</f>
        <v>47317433</v>
      </c>
      <c r="H145" s="26"/>
    </row>
    <row r="146" spans="1:8" ht="17.25" customHeight="1" x14ac:dyDescent="0.2">
      <c r="A146" s="26"/>
      <c r="B146" s="139">
        <f ca="1">IFERROR(__xludf.DUMMYFUNCTION("""COMPUTED_VALUE"""),45309.6666666666)</f>
        <v>45309.666666666599</v>
      </c>
      <c r="C146" s="141">
        <f ca="1">IFERROR(__xludf.DUMMYFUNCTION("""COMPUTED_VALUE"""),186.09)</f>
        <v>186.09</v>
      </c>
      <c r="D146" s="141">
        <f ca="1">IFERROR(__xludf.DUMMYFUNCTION("""COMPUTED_VALUE"""),189.14)</f>
        <v>189.14</v>
      </c>
      <c r="E146" s="141">
        <f ca="1">IFERROR(__xludf.DUMMYFUNCTION("""COMPUTED_VALUE"""),185.83)</f>
        <v>185.83</v>
      </c>
      <c r="F146" s="141">
        <f ca="1">IFERROR(__xludf.DUMMYFUNCTION("""COMPUTED_VALUE"""),188.63)</f>
        <v>188.63</v>
      </c>
      <c r="G146" s="143">
        <f ca="1">IFERROR(__xludf.DUMMYFUNCTION("""COMPUTED_VALUE"""),78005754)</f>
        <v>78005754</v>
      </c>
      <c r="H146" s="26"/>
    </row>
    <row r="147" spans="1:8" ht="17.25" customHeight="1" x14ac:dyDescent="0.2">
      <c r="A147" s="26"/>
      <c r="B147" s="139">
        <f ca="1">IFERROR(__xludf.DUMMYFUNCTION("""COMPUTED_VALUE"""),45310.6666666666)</f>
        <v>45310.666666666599</v>
      </c>
      <c r="C147" s="141">
        <f ca="1">IFERROR(__xludf.DUMMYFUNCTION("""COMPUTED_VALUE"""),189.33)</f>
        <v>189.33</v>
      </c>
      <c r="D147" s="141">
        <f ca="1">IFERROR(__xludf.DUMMYFUNCTION("""COMPUTED_VALUE"""),191.95)</f>
        <v>191.95</v>
      </c>
      <c r="E147" s="141">
        <f ca="1">IFERROR(__xludf.DUMMYFUNCTION("""COMPUTED_VALUE"""),188.82)</f>
        <v>188.82</v>
      </c>
      <c r="F147" s="141">
        <f ca="1">IFERROR(__xludf.DUMMYFUNCTION("""COMPUTED_VALUE"""),191.56)</f>
        <v>191.56</v>
      </c>
      <c r="G147" s="143">
        <f ca="1">IFERROR(__xludf.DUMMYFUNCTION("""COMPUTED_VALUE"""),68902985)</f>
        <v>68902985</v>
      </c>
      <c r="H147" s="26"/>
    </row>
    <row r="148" spans="1:8" ht="17.25" customHeight="1" x14ac:dyDescent="0.2">
      <c r="A148" s="26"/>
      <c r="B148" s="139">
        <f ca="1">IFERROR(__xludf.DUMMYFUNCTION("""COMPUTED_VALUE"""),45313.6666666666)</f>
        <v>45313.666666666599</v>
      </c>
      <c r="C148" s="141">
        <f ca="1">IFERROR(__xludf.DUMMYFUNCTION("""COMPUTED_VALUE"""),192.3)</f>
        <v>192.3</v>
      </c>
      <c r="D148" s="141">
        <f ca="1">IFERROR(__xludf.DUMMYFUNCTION("""COMPUTED_VALUE"""),195.33)</f>
        <v>195.33</v>
      </c>
      <c r="E148" s="141">
        <f ca="1">IFERROR(__xludf.DUMMYFUNCTION("""COMPUTED_VALUE"""),192.26)</f>
        <v>192.26</v>
      </c>
      <c r="F148" s="141">
        <f ca="1">IFERROR(__xludf.DUMMYFUNCTION("""COMPUTED_VALUE"""),193.89)</f>
        <v>193.89</v>
      </c>
      <c r="G148" s="143">
        <f ca="1">IFERROR(__xludf.DUMMYFUNCTION("""COMPUTED_VALUE"""),60133852)</f>
        <v>60133852</v>
      </c>
      <c r="H148" s="26"/>
    </row>
    <row r="149" spans="1:8" ht="17.25" customHeight="1" x14ac:dyDescent="0.2">
      <c r="A149" s="26"/>
      <c r="B149" s="139">
        <f ca="1">IFERROR(__xludf.DUMMYFUNCTION("""COMPUTED_VALUE"""),45314.6666666666)</f>
        <v>45314.666666666599</v>
      </c>
      <c r="C149" s="141">
        <f ca="1">IFERROR(__xludf.DUMMYFUNCTION("""COMPUTED_VALUE"""),195.02)</f>
        <v>195.02</v>
      </c>
      <c r="D149" s="141">
        <f ca="1">IFERROR(__xludf.DUMMYFUNCTION("""COMPUTED_VALUE"""),195.75)</f>
        <v>195.75</v>
      </c>
      <c r="E149" s="141">
        <f ca="1">IFERROR(__xludf.DUMMYFUNCTION("""COMPUTED_VALUE"""),193.83)</f>
        <v>193.83</v>
      </c>
      <c r="F149" s="141">
        <f ca="1">IFERROR(__xludf.DUMMYFUNCTION("""COMPUTED_VALUE"""),195.18)</f>
        <v>195.18</v>
      </c>
      <c r="G149" s="143">
        <f ca="1">IFERROR(__xludf.DUMMYFUNCTION("""COMPUTED_VALUE"""),42355590)</f>
        <v>42355590</v>
      </c>
      <c r="H149" s="26"/>
    </row>
    <row r="150" spans="1:8" ht="17.25" customHeight="1" x14ac:dyDescent="0.2">
      <c r="A150" s="26"/>
      <c r="B150" s="139">
        <f ca="1">IFERROR(__xludf.DUMMYFUNCTION("""COMPUTED_VALUE"""),45315.6666666666)</f>
        <v>45315.666666666599</v>
      </c>
      <c r="C150" s="141">
        <f ca="1">IFERROR(__xludf.DUMMYFUNCTION("""COMPUTED_VALUE"""),195.42)</f>
        <v>195.42</v>
      </c>
      <c r="D150" s="141">
        <f ca="1">IFERROR(__xludf.DUMMYFUNCTION("""COMPUTED_VALUE"""),196.38)</f>
        <v>196.38</v>
      </c>
      <c r="E150" s="141">
        <f ca="1">IFERROR(__xludf.DUMMYFUNCTION("""COMPUTED_VALUE"""),194.34)</f>
        <v>194.34</v>
      </c>
      <c r="F150" s="141">
        <f ca="1">IFERROR(__xludf.DUMMYFUNCTION("""COMPUTED_VALUE"""),194.5)</f>
        <v>194.5</v>
      </c>
      <c r="G150" s="143">
        <f ca="1">IFERROR(__xludf.DUMMYFUNCTION("""COMPUTED_VALUE"""),53631316)</f>
        <v>53631316</v>
      </c>
      <c r="H150" s="26"/>
    </row>
    <row r="151" spans="1:8" ht="17.25" customHeight="1" x14ac:dyDescent="0.2">
      <c r="A151" s="26"/>
      <c r="B151" s="139">
        <f ca="1">IFERROR(__xludf.DUMMYFUNCTION("""COMPUTED_VALUE"""),45316.6666666666)</f>
        <v>45316.666666666599</v>
      </c>
      <c r="C151" s="141">
        <f ca="1">IFERROR(__xludf.DUMMYFUNCTION("""COMPUTED_VALUE"""),195.22)</f>
        <v>195.22</v>
      </c>
      <c r="D151" s="141">
        <f ca="1">IFERROR(__xludf.DUMMYFUNCTION("""COMPUTED_VALUE"""),196.27)</f>
        <v>196.27</v>
      </c>
      <c r="E151" s="141">
        <f ca="1">IFERROR(__xludf.DUMMYFUNCTION("""COMPUTED_VALUE"""),193.11)</f>
        <v>193.11</v>
      </c>
      <c r="F151" s="141">
        <f ca="1">IFERROR(__xludf.DUMMYFUNCTION("""COMPUTED_VALUE"""),194.17)</f>
        <v>194.17</v>
      </c>
      <c r="G151" s="143">
        <f ca="1">IFERROR(__xludf.DUMMYFUNCTION("""COMPUTED_VALUE"""),54822126)</f>
        <v>54822126</v>
      </c>
      <c r="H151" s="26"/>
    </row>
    <row r="152" spans="1:8" ht="17.25" customHeight="1" x14ac:dyDescent="0.2">
      <c r="A152" s="26"/>
      <c r="B152" s="139">
        <f ca="1">IFERROR(__xludf.DUMMYFUNCTION("""COMPUTED_VALUE"""),45317.6666666666)</f>
        <v>45317.666666666599</v>
      </c>
      <c r="C152" s="141">
        <f ca="1">IFERROR(__xludf.DUMMYFUNCTION("""COMPUTED_VALUE"""),194.27)</f>
        <v>194.27</v>
      </c>
      <c r="D152" s="141">
        <f ca="1">IFERROR(__xludf.DUMMYFUNCTION("""COMPUTED_VALUE"""),194.76)</f>
        <v>194.76</v>
      </c>
      <c r="E152" s="141">
        <f ca="1">IFERROR(__xludf.DUMMYFUNCTION("""COMPUTED_VALUE"""),191.94)</f>
        <v>191.94</v>
      </c>
      <c r="F152" s="141">
        <f ca="1">IFERROR(__xludf.DUMMYFUNCTION("""COMPUTED_VALUE"""),192.42)</f>
        <v>192.42</v>
      </c>
      <c r="G152" s="143">
        <f ca="1">IFERROR(__xludf.DUMMYFUNCTION("""COMPUTED_VALUE"""),44594011)</f>
        <v>44594011</v>
      </c>
      <c r="H152" s="26"/>
    </row>
    <row r="153" spans="1:8" ht="17.25" customHeight="1" x14ac:dyDescent="0.2">
      <c r="A153" s="26"/>
      <c r="B153" s="139">
        <f ca="1">IFERROR(__xludf.DUMMYFUNCTION("""COMPUTED_VALUE"""),45320.6666666666)</f>
        <v>45320.666666666599</v>
      </c>
      <c r="C153" s="141">
        <f ca="1">IFERROR(__xludf.DUMMYFUNCTION("""COMPUTED_VALUE"""),192.01)</f>
        <v>192.01</v>
      </c>
      <c r="D153" s="141">
        <f ca="1">IFERROR(__xludf.DUMMYFUNCTION("""COMPUTED_VALUE"""),192.2)</f>
        <v>192.2</v>
      </c>
      <c r="E153" s="141">
        <f ca="1">IFERROR(__xludf.DUMMYFUNCTION("""COMPUTED_VALUE"""),189.58)</f>
        <v>189.58</v>
      </c>
      <c r="F153" s="141">
        <f ca="1">IFERROR(__xludf.DUMMYFUNCTION("""COMPUTED_VALUE"""),191.73)</f>
        <v>191.73</v>
      </c>
      <c r="G153" s="143">
        <f ca="1">IFERROR(__xludf.DUMMYFUNCTION("""COMPUTED_VALUE"""),47145622)</f>
        <v>47145622</v>
      </c>
      <c r="H153" s="26"/>
    </row>
    <row r="154" spans="1:8" ht="17.25" customHeight="1" x14ac:dyDescent="0.2">
      <c r="A154" s="26"/>
      <c r="B154" s="139">
        <f ca="1">IFERROR(__xludf.DUMMYFUNCTION("""COMPUTED_VALUE"""),45321.6666666666)</f>
        <v>45321.666666666599</v>
      </c>
      <c r="C154" s="141">
        <f ca="1">IFERROR(__xludf.DUMMYFUNCTION("""COMPUTED_VALUE"""),190.94)</f>
        <v>190.94</v>
      </c>
      <c r="D154" s="141">
        <f ca="1">IFERROR(__xludf.DUMMYFUNCTION("""COMPUTED_VALUE"""),191.8)</f>
        <v>191.8</v>
      </c>
      <c r="E154" s="141">
        <f ca="1">IFERROR(__xludf.DUMMYFUNCTION("""COMPUTED_VALUE"""),187.47)</f>
        <v>187.47</v>
      </c>
      <c r="F154" s="141">
        <f ca="1">IFERROR(__xludf.DUMMYFUNCTION("""COMPUTED_VALUE"""),188.04)</f>
        <v>188.04</v>
      </c>
      <c r="G154" s="143">
        <f ca="1">IFERROR(__xludf.DUMMYFUNCTION("""COMPUTED_VALUE"""),55859370)</f>
        <v>55859370</v>
      </c>
      <c r="H154" s="26"/>
    </row>
    <row r="155" spans="1:8" ht="17.25" customHeight="1" x14ac:dyDescent="0.2">
      <c r="A155" s="26"/>
      <c r="B155" s="139">
        <f ca="1">IFERROR(__xludf.DUMMYFUNCTION("""COMPUTED_VALUE"""),45322.6666666666)</f>
        <v>45322.666666666599</v>
      </c>
      <c r="C155" s="141">
        <f ca="1">IFERROR(__xludf.DUMMYFUNCTION("""COMPUTED_VALUE"""),187.04)</f>
        <v>187.04</v>
      </c>
      <c r="D155" s="141">
        <f ca="1">IFERROR(__xludf.DUMMYFUNCTION("""COMPUTED_VALUE"""),187.1)</f>
        <v>187.1</v>
      </c>
      <c r="E155" s="141">
        <f ca="1">IFERROR(__xludf.DUMMYFUNCTION("""COMPUTED_VALUE"""),184.35)</f>
        <v>184.35</v>
      </c>
      <c r="F155" s="141">
        <f ca="1">IFERROR(__xludf.DUMMYFUNCTION("""COMPUTED_VALUE"""),184.4)</f>
        <v>184.4</v>
      </c>
      <c r="G155" s="143">
        <f ca="1">IFERROR(__xludf.DUMMYFUNCTION("""COMPUTED_VALUE"""),55467803)</f>
        <v>55467803</v>
      </c>
      <c r="H155" s="26"/>
    </row>
    <row r="156" spans="1:8" ht="17.25" customHeight="1" x14ac:dyDescent="0.2">
      <c r="A156" s="26"/>
      <c r="B156" s="139">
        <f ca="1">IFERROR(__xludf.DUMMYFUNCTION("""COMPUTED_VALUE"""),45323.6666666666)</f>
        <v>45323.666666666599</v>
      </c>
      <c r="C156" s="141">
        <f ca="1">IFERROR(__xludf.DUMMYFUNCTION("""COMPUTED_VALUE"""),183.99)</f>
        <v>183.99</v>
      </c>
      <c r="D156" s="141">
        <f ca="1">IFERROR(__xludf.DUMMYFUNCTION("""COMPUTED_VALUE"""),186.95)</f>
        <v>186.95</v>
      </c>
      <c r="E156" s="141">
        <f ca="1">IFERROR(__xludf.DUMMYFUNCTION("""COMPUTED_VALUE"""),183.82)</f>
        <v>183.82</v>
      </c>
      <c r="F156" s="141">
        <f ca="1">IFERROR(__xludf.DUMMYFUNCTION("""COMPUTED_VALUE"""),186.86)</f>
        <v>186.86</v>
      </c>
      <c r="G156" s="143">
        <f ca="1">IFERROR(__xludf.DUMMYFUNCTION("""COMPUTED_VALUE"""),64885408)</f>
        <v>64885408</v>
      </c>
      <c r="H156" s="26"/>
    </row>
    <row r="157" spans="1:8" ht="17.25" customHeight="1" x14ac:dyDescent="0.2">
      <c r="A157" s="26"/>
      <c r="B157" s="139">
        <f ca="1">IFERROR(__xludf.DUMMYFUNCTION("""COMPUTED_VALUE"""),45324.6666666666)</f>
        <v>45324.666666666599</v>
      </c>
      <c r="C157" s="141">
        <f ca="1">IFERROR(__xludf.DUMMYFUNCTION("""COMPUTED_VALUE"""),179.86)</f>
        <v>179.86</v>
      </c>
      <c r="D157" s="141">
        <f ca="1">IFERROR(__xludf.DUMMYFUNCTION("""COMPUTED_VALUE"""),187.33)</f>
        <v>187.33</v>
      </c>
      <c r="E157" s="141">
        <f ca="1">IFERROR(__xludf.DUMMYFUNCTION("""COMPUTED_VALUE"""),179.25)</f>
        <v>179.25</v>
      </c>
      <c r="F157" s="141">
        <f ca="1">IFERROR(__xludf.DUMMYFUNCTION("""COMPUTED_VALUE"""),185.85)</f>
        <v>185.85</v>
      </c>
      <c r="G157" s="143">
        <f ca="1">IFERROR(__xludf.DUMMYFUNCTION("""COMPUTED_VALUE"""),102551680)</f>
        <v>102551680</v>
      </c>
      <c r="H157" s="26"/>
    </row>
    <row r="158" spans="1:8" ht="17.25" customHeight="1" x14ac:dyDescent="0.2">
      <c r="A158" s="26"/>
      <c r="B158" s="139">
        <f ca="1">IFERROR(__xludf.DUMMYFUNCTION("""COMPUTED_VALUE"""),45327.6666666666)</f>
        <v>45327.666666666599</v>
      </c>
      <c r="C158" s="141">
        <f ca="1">IFERROR(__xludf.DUMMYFUNCTION("""COMPUTED_VALUE"""),188.15)</f>
        <v>188.15</v>
      </c>
      <c r="D158" s="141">
        <f ca="1">IFERROR(__xludf.DUMMYFUNCTION("""COMPUTED_VALUE"""),189.25)</f>
        <v>189.25</v>
      </c>
      <c r="E158" s="141">
        <f ca="1">IFERROR(__xludf.DUMMYFUNCTION("""COMPUTED_VALUE"""),185.84)</f>
        <v>185.84</v>
      </c>
      <c r="F158" s="141">
        <f ca="1">IFERROR(__xludf.DUMMYFUNCTION("""COMPUTED_VALUE"""),187.68)</f>
        <v>187.68</v>
      </c>
      <c r="G158" s="143">
        <f ca="1">IFERROR(__xludf.DUMMYFUNCTION("""COMPUTED_VALUE"""),69668820)</f>
        <v>69668820</v>
      </c>
      <c r="H158" s="26"/>
    </row>
    <row r="159" spans="1:8" ht="17.25" customHeight="1" x14ac:dyDescent="0.2">
      <c r="A159" s="26"/>
      <c r="B159" s="139">
        <f ca="1">IFERROR(__xludf.DUMMYFUNCTION("""COMPUTED_VALUE"""),45328.6666666666)</f>
        <v>45328.666666666599</v>
      </c>
      <c r="C159" s="141">
        <f ca="1">IFERROR(__xludf.DUMMYFUNCTION("""COMPUTED_VALUE"""),186.86)</f>
        <v>186.86</v>
      </c>
      <c r="D159" s="141">
        <f ca="1">IFERROR(__xludf.DUMMYFUNCTION("""COMPUTED_VALUE"""),189.31)</f>
        <v>189.31</v>
      </c>
      <c r="E159" s="141">
        <f ca="1">IFERROR(__xludf.DUMMYFUNCTION("""COMPUTED_VALUE"""),186.77)</f>
        <v>186.77</v>
      </c>
      <c r="F159" s="141">
        <f ca="1">IFERROR(__xludf.DUMMYFUNCTION("""COMPUTED_VALUE"""),189.3)</f>
        <v>189.3</v>
      </c>
      <c r="G159" s="143">
        <f ca="1">IFERROR(__xludf.DUMMYFUNCTION("""COMPUTED_VALUE"""),43490759)</f>
        <v>43490759</v>
      </c>
      <c r="H159" s="26"/>
    </row>
    <row r="160" spans="1:8" ht="17.25" customHeight="1" x14ac:dyDescent="0.2">
      <c r="A160" s="26"/>
      <c r="B160" s="139">
        <f ca="1">IFERROR(__xludf.DUMMYFUNCTION("""COMPUTED_VALUE"""),45329.6666666666)</f>
        <v>45329.666666666599</v>
      </c>
      <c r="C160" s="141">
        <f ca="1">IFERROR(__xludf.DUMMYFUNCTION("""COMPUTED_VALUE"""),190.64)</f>
        <v>190.64</v>
      </c>
      <c r="D160" s="141">
        <f ca="1">IFERROR(__xludf.DUMMYFUNCTION("""COMPUTED_VALUE"""),191.05)</f>
        <v>191.05</v>
      </c>
      <c r="E160" s="141">
        <f ca="1">IFERROR(__xludf.DUMMYFUNCTION("""COMPUTED_VALUE"""),188.61)</f>
        <v>188.61</v>
      </c>
      <c r="F160" s="141">
        <f ca="1">IFERROR(__xludf.DUMMYFUNCTION("""COMPUTED_VALUE"""),189.41)</f>
        <v>189.41</v>
      </c>
      <c r="G160" s="143">
        <f ca="1">IFERROR(__xludf.DUMMYFUNCTION("""COMPUTED_VALUE"""),53438955)</f>
        <v>53438955</v>
      </c>
      <c r="H160" s="26"/>
    </row>
    <row r="161" spans="1:8" ht="17.25" customHeight="1" x14ac:dyDescent="0.2">
      <c r="A161" s="26"/>
      <c r="B161" s="139">
        <f ca="1">IFERROR(__xludf.DUMMYFUNCTION("""COMPUTED_VALUE"""),45330.6666666666)</f>
        <v>45330.666666666599</v>
      </c>
      <c r="C161" s="141">
        <f ca="1">IFERROR(__xludf.DUMMYFUNCTION("""COMPUTED_VALUE"""),189.39)</f>
        <v>189.39</v>
      </c>
      <c r="D161" s="141">
        <f ca="1">IFERROR(__xludf.DUMMYFUNCTION("""COMPUTED_VALUE"""),189.54)</f>
        <v>189.54</v>
      </c>
      <c r="E161" s="141">
        <f ca="1">IFERROR(__xludf.DUMMYFUNCTION("""COMPUTED_VALUE"""),187.35)</f>
        <v>187.35</v>
      </c>
      <c r="F161" s="141">
        <f ca="1">IFERROR(__xludf.DUMMYFUNCTION("""COMPUTED_VALUE"""),188.32)</f>
        <v>188.32</v>
      </c>
      <c r="G161" s="143">
        <f ca="1">IFERROR(__xludf.DUMMYFUNCTION("""COMPUTED_VALUE"""),40962046)</f>
        <v>40962046</v>
      </c>
      <c r="H161" s="26"/>
    </row>
    <row r="162" spans="1:8" ht="17.25" customHeight="1" x14ac:dyDescent="0.2">
      <c r="A162" s="26"/>
      <c r="B162" s="139">
        <f ca="1">IFERROR(__xludf.DUMMYFUNCTION("""COMPUTED_VALUE"""),45331.6666666666)</f>
        <v>45331.666666666599</v>
      </c>
      <c r="C162" s="141">
        <f ca="1">IFERROR(__xludf.DUMMYFUNCTION("""COMPUTED_VALUE"""),188.65)</f>
        <v>188.65</v>
      </c>
      <c r="D162" s="141">
        <f ca="1">IFERROR(__xludf.DUMMYFUNCTION("""COMPUTED_VALUE"""),189.99)</f>
        <v>189.99</v>
      </c>
      <c r="E162" s="141">
        <f ca="1">IFERROR(__xludf.DUMMYFUNCTION("""COMPUTED_VALUE"""),188)</f>
        <v>188</v>
      </c>
      <c r="F162" s="141">
        <f ca="1">IFERROR(__xludf.DUMMYFUNCTION("""COMPUTED_VALUE"""),188.85)</f>
        <v>188.85</v>
      </c>
      <c r="G162" s="143">
        <f ca="1">IFERROR(__xludf.DUMMYFUNCTION("""COMPUTED_VALUE"""),45155216)</f>
        <v>45155216</v>
      </c>
      <c r="H162" s="26"/>
    </row>
    <row r="163" spans="1:8" ht="17.25" customHeight="1" x14ac:dyDescent="0.2">
      <c r="A163" s="26"/>
      <c r="B163" s="139">
        <f ca="1">IFERROR(__xludf.DUMMYFUNCTION("""COMPUTED_VALUE"""),45334.6666666666)</f>
        <v>45334.666666666599</v>
      </c>
      <c r="C163" s="141">
        <f ca="1">IFERROR(__xludf.DUMMYFUNCTION("""COMPUTED_VALUE"""),188.42)</f>
        <v>188.42</v>
      </c>
      <c r="D163" s="141">
        <f ca="1">IFERROR(__xludf.DUMMYFUNCTION("""COMPUTED_VALUE"""),188.67)</f>
        <v>188.67</v>
      </c>
      <c r="E163" s="141">
        <f ca="1">IFERROR(__xludf.DUMMYFUNCTION("""COMPUTED_VALUE"""),186.79)</f>
        <v>186.79</v>
      </c>
      <c r="F163" s="141">
        <f ca="1">IFERROR(__xludf.DUMMYFUNCTION("""COMPUTED_VALUE"""),187.15)</f>
        <v>187.15</v>
      </c>
      <c r="G163" s="143">
        <f ca="1">IFERROR(__xludf.DUMMYFUNCTION("""COMPUTED_VALUE"""),41781934)</f>
        <v>41781934</v>
      </c>
      <c r="H163" s="26"/>
    </row>
    <row r="164" spans="1:8" ht="17.25" customHeight="1" x14ac:dyDescent="0.2">
      <c r="A164" s="26"/>
      <c r="B164" s="139">
        <f ca="1">IFERROR(__xludf.DUMMYFUNCTION("""COMPUTED_VALUE"""),45335.6666666666)</f>
        <v>45335.666666666599</v>
      </c>
      <c r="C164" s="141">
        <f ca="1">IFERROR(__xludf.DUMMYFUNCTION("""COMPUTED_VALUE"""),185.77)</f>
        <v>185.77</v>
      </c>
      <c r="D164" s="141">
        <f ca="1">IFERROR(__xludf.DUMMYFUNCTION("""COMPUTED_VALUE"""),186.21)</f>
        <v>186.21</v>
      </c>
      <c r="E164" s="141">
        <f ca="1">IFERROR(__xludf.DUMMYFUNCTION("""COMPUTED_VALUE"""),183.51)</f>
        <v>183.51</v>
      </c>
      <c r="F164" s="141">
        <f ca="1">IFERROR(__xludf.DUMMYFUNCTION("""COMPUTED_VALUE"""),185.04)</f>
        <v>185.04</v>
      </c>
      <c r="G164" s="143">
        <f ca="1">IFERROR(__xludf.DUMMYFUNCTION("""COMPUTED_VALUE"""),56529529)</f>
        <v>56529529</v>
      </c>
      <c r="H164" s="26"/>
    </row>
    <row r="165" spans="1:8" ht="17.25" customHeight="1" x14ac:dyDescent="0.2">
      <c r="A165" s="26"/>
      <c r="B165" s="139">
        <f ca="1">IFERROR(__xludf.DUMMYFUNCTION("""COMPUTED_VALUE"""),45336.6666666666)</f>
        <v>45336.666666666599</v>
      </c>
      <c r="C165" s="141">
        <f ca="1">IFERROR(__xludf.DUMMYFUNCTION("""COMPUTED_VALUE"""),185.32)</f>
        <v>185.32</v>
      </c>
      <c r="D165" s="141">
        <f ca="1">IFERROR(__xludf.DUMMYFUNCTION("""COMPUTED_VALUE"""),185.53)</f>
        <v>185.53</v>
      </c>
      <c r="E165" s="141">
        <f ca="1">IFERROR(__xludf.DUMMYFUNCTION("""COMPUTED_VALUE"""),182.44)</f>
        <v>182.44</v>
      </c>
      <c r="F165" s="141">
        <f ca="1">IFERROR(__xludf.DUMMYFUNCTION("""COMPUTED_VALUE"""),184.15)</f>
        <v>184.15</v>
      </c>
      <c r="G165" s="143">
        <f ca="1">IFERROR(__xludf.DUMMYFUNCTION("""COMPUTED_VALUE"""),54630517)</f>
        <v>54630517</v>
      </c>
      <c r="H165" s="26"/>
    </row>
    <row r="166" spans="1:8" ht="17.25" customHeight="1" x14ac:dyDescent="0.2">
      <c r="A166" s="26"/>
      <c r="B166" s="139">
        <f ca="1">IFERROR(__xludf.DUMMYFUNCTION("""COMPUTED_VALUE"""),45337.6666666666)</f>
        <v>45337.666666666599</v>
      </c>
      <c r="C166" s="141">
        <f ca="1">IFERROR(__xludf.DUMMYFUNCTION("""COMPUTED_VALUE"""),183.55)</f>
        <v>183.55</v>
      </c>
      <c r="D166" s="141">
        <f ca="1">IFERROR(__xludf.DUMMYFUNCTION("""COMPUTED_VALUE"""),184.49)</f>
        <v>184.49</v>
      </c>
      <c r="E166" s="141">
        <f ca="1">IFERROR(__xludf.DUMMYFUNCTION("""COMPUTED_VALUE"""),181.35)</f>
        <v>181.35</v>
      </c>
      <c r="F166" s="141">
        <f ca="1">IFERROR(__xludf.DUMMYFUNCTION("""COMPUTED_VALUE"""),183.86)</f>
        <v>183.86</v>
      </c>
      <c r="G166" s="143">
        <f ca="1">IFERROR(__xludf.DUMMYFUNCTION("""COMPUTED_VALUE"""),65434496)</f>
        <v>65434496</v>
      </c>
      <c r="H166" s="26"/>
    </row>
    <row r="167" spans="1:8" ht="17.25" customHeight="1" x14ac:dyDescent="0.2">
      <c r="A167" s="26"/>
      <c r="B167" s="139">
        <f ca="1">IFERROR(__xludf.DUMMYFUNCTION("""COMPUTED_VALUE"""),45338.6666666666)</f>
        <v>45338.666666666599</v>
      </c>
      <c r="C167" s="141">
        <f ca="1">IFERROR(__xludf.DUMMYFUNCTION("""COMPUTED_VALUE"""),183.42)</f>
        <v>183.42</v>
      </c>
      <c r="D167" s="141">
        <f ca="1">IFERROR(__xludf.DUMMYFUNCTION("""COMPUTED_VALUE"""),184.85)</f>
        <v>184.85</v>
      </c>
      <c r="E167" s="141">
        <f ca="1">IFERROR(__xludf.DUMMYFUNCTION("""COMPUTED_VALUE"""),181.67)</f>
        <v>181.67</v>
      </c>
      <c r="F167" s="141">
        <f ca="1">IFERROR(__xludf.DUMMYFUNCTION("""COMPUTED_VALUE"""),182.31)</f>
        <v>182.31</v>
      </c>
      <c r="G167" s="143">
        <f ca="1">IFERROR(__xludf.DUMMYFUNCTION("""COMPUTED_VALUE"""),49752465)</f>
        <v>49752465</v>
      </c>
      <c r="H167" s="26"/>
    </row>
    <row r="168" spans="1:8" ht="17.25" customHeight="1" x14ac:dyDescent="0.2">
      <c r="A168" s="26"/>
      <c r="B168" s="139">
        <f ca="1">IFERROR(__xludf.DUMMYFUNCTION("""COMPUTED_VALUE"""),45342.6666666666)</f>
        <v>45342.666666666599</v>
      </c>
      <c r="C168" s="141">
        <f ca="1">IFERROR(__xludf.DUMMYFUNCTION("""COMPUTED_VALUE"""),181.79)</f>
        <v>181.79</v>
      </c>
      <c r="D168" s="141">
        <f ca="1">IFERROR(__xludf.DUMMYFUNCTION("""COMPUTED_VALUE"""),182.43)</f>
        <v>182.43</v>
      </c>
      <c r="E168" s="141">
        <f ca="1">IFERROR(__xludf.DUMMYFUNCTION("""COMPUTED_VALUE"""),180)</f>
        <v>180</v>
      </c>
      <c r="F168" s="141">
        <f ca="1">IFERROR(__xludf.DUMMYFUNCTION("""COMPUTED_VALUE"""),181.56)</f>
        <v>181.56</v>
      </c>
      <c r="G168" s="143">
        <f ca="1">IFERROR(__xludf.DUMMYFUNCTION("""COMPUTED_VALUE"""),53665553)</f>
        <v>53665553</v>
      </c>
      <c r="H168" s="26"/>
    </row>
    <row r="169" spans="1:8" ht="17.25" customHeight="1" x14ac:dyDescent="0.2">
      <c r="A169" s="26"/>
      <c r="B169" s="139">
        <f ca="1">IFERROR(__xludf.DUMMYFUNCTION("""COMPUTED_VALUE"""),45343.6666666666)</f>
        <v>45343.666666666599</v>
      </c>
      <c r="C169" s="141">
        <f ca="1">IFERROR(__xludf.DUMMYFUNCTION("""COMPUTED_VALUE"""),181.94)</f>
        <v>181.94</v>
      </c>
      <c r="D169" s="141">
        <f ca="1">IFERROR(__xludf.DUMMYFUNCTION("""COMPUTED_VALUE"""),182.89)</f>
        <v>182.89</v>
      </c>
      <c r="E169" s="141">
        <f ca="1">IFERROR(__xludf.DUMMYFUNCTION("""COMPUTED_VALUE"""),180.66)</f>
        <v>180.66</v>
      </c>
      <c r="F169" s="141">
        <f ca="1">IFERROR(__xludf.DUMMYFUNCTION("""COMPUTED_VALUE"""),182.32)</f>
        <v>182.32</v>
      </c>
      <c r="G169" s="143">
        <f ca="1">IFERROR(__xludf.DUMMYFUNCTION("""COMPUTED_VALUE"""),41529674)</f>
        <v>41529674</v>
      </c>
      <c r="H169" s="26"/>
    </row>
    <row r="170" spans="1:8" ht="17.25" customHeight="1" x14ac:dyDescent="0.2">
      <c r="A170" s="26"/>
      <c r="B170" s="139">
        <f ca="1">IFERROR(__xludf.DUMMYFUNCTION("""COMPUTED_VALUE"""),45344.6666666666)</f>
        <v>45344.666666666599</v>
      </c>
      <c r="C170" s="141">
        <f ca="1">IFERROR(__xludf.DUMMYFUNCTION("""COMPUTED_VALUE"""),183.48)</f>
        <v>183.48</v>
      </c>
      <c r="D170" s="141">
        <f ca="1">IFERROR(__xludf.DUMMYFUNCTION("""COMPUTED_VALUE"""),184.96)</f>
        <v>184.96</v>
      </c>
      <c r="E170" s="141">
        <f ca="1">IFERROR(__xludf.DUMMYFUNCTION("""COMPUTED_VALUE"""),182.46)</f>
        <v>182.46</v>
      </c>
      <c r="F170" s="141">
        <f ca="1">IFERROR(__xludf.DUMMYFUNCTION("""COMPUTED_VALUE"""),184.37)</f>
        <v>184.37</v>
      </c>
      <c r="G170" s="143">
        <f ca="1">IFERROR(__xludf.DUMMYFUNCTION("""COMPUTED_VALUE"""),52292208)</f>
        <v>52292208</v>
      </c>
      <c r="H170" s="26"/>
    </row>
    <row r="171" spans="1:8" ht="17.25" customHeight="1" x14ac:dyDescent="0.2">
      <c r="A171" s="26"/>
      <c r="B171" s="139">
        <f ca="1">IFERROR(__xludf.DUMMYFUNCTION("""COMPUTED_VALUE"""),45345.6666666666)</f>
        <v>45345.666666666599</v>
      </c>
      <c r="C171" s="141">
        <f ca="1">IFERROR(__xludf.DUMMYFUNCTION("""COMPUTED_VALUE"""),185.01)</f>
        <v>185.01</v>
      </c>
      <c r="D171" s="141">
        <f ca="1">IFERROR(__xludf.DUMMYFUNCTION("""COMPUTED_VALUE"""),185.04)</f>
        <v>185.04</v>
      </c>
      <c r="E171" s="141">
        <f ca="1">IFERROR(__xludf.DUMMYFUNCTION("""COMPUTED_VALUE"""),182.23)</f>
        <v>182.23</v>
      </c>
      <c r="F171" s="141">
        <f ca="1">IFERROR(__xludf.DUMMYFUNCTION("""COMPUTED_VALUE"""),182.52)</f>
        <v>182.52</v>
      </c>
      <c r="G171" s="143">
        <f ca="1">IFERROR(__xludf.DUMMYFUNCTION("""COMPUTED_VALUE"""),45119677)</f>
        <v>45119677</v>
      </c>
      <c r="H171" s="26"/>
    </row>
    <row r="172" spans="1:8" ht="17.25" customHeight="1" x14ac:dyDescent="0.2">
      <c r="A172" s="26"/>
      <c r="B172" s="139">
        <f ca="1">IFERROR(__xludf.DUMMYFUNCTION("""COMPUTED_VALUE"""),45348.6666666666)</f>
        <v>45348.666666666599</v>
      </c>
      <c r="C172" s="141">
        <f ca="1">IFERROR(__xludf.DUMMYFUNCTION("""COMPUTED_VALUE"""),182.24)</f>
        <v>182.24</v>
      </c>
      <c r="D172" s="141">
        <f ca="1">IFERROR(__xludf.DUMMYFUNCTION("""COMPUTED_VALUE"""),182.76)</f>
        <v>182.76</v>
      </c>
      <c r="E172" s="141">
        <f ca="1">IFERROR(__xludf.DUMMYFUNCTION("""COMPUTED_VALUE"""),180.65)</f>
        <v>180.65</v>
      </c>
      <c r="F172" s="141">
        <f ca="1">IFERROR(__xludf.DUMMYFUNCTION("""COMPUTED_VALUE"""),181.16)</f>
        <v>181.16</v>
      </c>
      <c r="G172" s="143">
        <f ca="1">IFERROR(__xludf.DUMMYFUNCTION("""COMPUTED_VALUE"""),40867421)</f>
        <v>40867421</v>
      </c>
      <c r="H172" s="26"/>
    </row>
    <row r="173" spans="1:8" ht="17.25" customHeight="1" x14ac:dyDescent="0.2">
      <c r="A173" s="26"/>
      <c r="B173" s="139">
        <f ca="1">IFERROR(__xludf.DUMMYFUNCTION("""COMPUTED_VALUE"""),45349.6666666666)</f>
        <v>45349.666666666599</v>
      </c>
      <c r="C173" s="141">
        <f ca="1">IFERROR(__xludf.DUMMYFUNCTION("""COMPUTED_VALUE"""),181.1)</f>
        <v>181.1</v>
      </c>
      <c r="D173" s="141">
        <f ca="1">IFERROR(__xludf.DUMMYFUNCTION("""COMPUTED_VALUE"""),183.92)</f>
        <v>183.92</v>
      </c>
      <c r="E173" s="141">
        <f ca="1">IFERROR(__xludf.DUMMYFUNCTION("""COMPUTED_VALUE"""),179.56)</f>
        <v>179.56</v>
      </c>
      <c r="F173" s="141">
        <f ca="1">IFERROR(__xludf.DUMMYFUNCTION("""COMPUTED_VALUE"""),182.63)</f>
        <v>182.63</v>
      </c>
      <c r="G173" s="143">
        <f ca="1">IFERROR(__xludf.DUMMYFUNCTION("""COMPUTED_VALUE"""),54318851)</f>
        <v>54318851</v>
      </c>
      <c r="H173" s="26"/>
    </row>
    <row r="174" spans="1:8" ht="17.25" customHeight="1" x14ac:dyDescent="0.2">
      <c r="A174" s="26"/>
      <c r="B174" s="139">
        <f ca="1">IFERROR(__xludf.DUMMYFUNCTION("""COMPUTED_VALUE"""),45350.6666666666)</f>
        <v>45350.666666666599</v>
      </c>
      <c r="C174" s="141">
        <f ca="1">IFERROR(__xludf.DUMMYFUNCTION("""COMPUTED_VALUE"""),182.51)</f>
        <v>182.51</v>
      </c>
      <c r="D174" s="141">
        <f ca="1">IFERROR(__xludf.DUMMYFUNCTION("""COMPUTED_VALUE"""),183.12)</f>
        <v>183.12</v>
      </c>
      <c r="E174" s="141">
        <f ca="1">IFERROR(__xludf.DUMMYFUNCTION("""COMPUTED_VALUE"""),180.13)</f>
        <v>180.13</v>
      </c>
      <c r="F174" s="141">
        <f ca="1">IFERROR(__xludf.DUMMYFUNCTION("""COMPUTED_VALUE"""),181.42)</f>
        <v>181.42</v>
      </c>
      <c r="G174" s="143">
        <f ca="1">IFERROR(__xludf.DUMMYFUNCTION("""COMPUTED_VALUE"""),48953939)</f>
        <v>48953939</v>
      </c>
      <c r="H174" s="26"/>
    </row>
    <row r="175" spans="1:8" ht="17.25" customHeight="1" x14ac:dyDescent="0.2">
      <c r="A175" s="26"/>
      <c r="B175" s="139">
        <f ca="1">IFERROR(__xludf.DUMMYFUNCTION("""COMPUTED_VALUE"""),45351.6666666666)</f>
        <v>45351.666666666599</v>
      </c>
      <c r="C175" s="141">
        <f ca="1">IFERROR(__xludf.DUMMYFUNCTION("""COMPUTED_VALUE"""),181.27)</f>
        <v>181.27</v>
      </c>
      <c r="D175" s="141">
        <f ca="1">IFERROR(__xludf.DUMMYFUNCTION("""COMPUTED_VALUE"""),182.57)</f>
        <v>182.57</v>
      </c>
      <c r="E175" s="141">
        <f ca="1">IFERROR(__xludf.DUMMYFUNCTION("""COMPUTED_VALUE"""),179.53)</f>
        <v>179.53</v>
      </c>
      <c r="F175" s="141">
        <f ca="1">IFERROR(__xludf.DUMMYFUNCTION("""COMPUTED_VALUE"""),180.75)</f>
        <v>180.75</v>
      </c>
      <c r="G175" s="143">
        <f ca="1">IFERROR(__xludf.DUMMYFUNCTION("""COMPUTED_VALUE"""),136682597)</f>
        <v>136682597</v>
      </c>
      <c r="H175" s="26"/>
    </row>
    <row r="176" spans="1:8" ht="17.25" customHeight="1" x14ac:dyDescent="0.2">
      <c r="A176" s="26"/>
      <c r="B176" s="139">
        <f ca="1">IFERROR(__xludf.DUMMYFUNCTION("""COMPUTED_VALUE"""),45352.6666666666)</f>
        <v>45352.666666666599</v>
      </c>
      <c r="C176" s="141">
        <f ca="1">IFERROR(__xludf.DUMMYFUNCTION("""COMPUTED_VALUE"""),179.55)</f>
        <v>179.55</v>
      </c>
      <c r="D176" s="141">
        <f ca="1">IFERROR(__xludf.DUMMYFUNCTION("""COMPUTED_VALUE"""),180.53)</f>
        <v>180.53</v>
      </c>
      <c r="E176" s="141">
        <f ca="1">IFERROR(__xludf.DUMMYFUNCTION("""COMPUTED_VALUE"""),177.38)</f>
        <v>177.38</v>
      </c>
      <c r="F176" s="141">
        <f ca="1">IFERROR(__xludf.DUMMYFUNCTION("""COMPUTED_VALUE"""),179.66)</f>
        <v>179.66</v>
      </c>
      <c r="G176" s="143">
        <f ca="1">IFERROR(__xludf.DUMMYFUNCTION("""COMPUTED_VALUE"""),73563082)</f>
        <v>73563082</v>
      </c>
      <c r="H176" s="26"/>
    </row>
    <row r="177" spans="1:8" ht="17.25" customHeight="1" x14ac:dyDescent="0.2">
      <c r="A177" s="26"/>
      <c r="B177" s="139">
        <f ca="1">IFERROR(__xludf.DUMMYFUNCTION("""COMPUTED_VALUE"""),45355.6666666666)</f>
        <v>45355.666666666599</v>
      </c>
      <c r="C177" s="141">
        <f ca="1">IFERROR(__xludf.DUMMYFUNCTION("""COMPUTED_VALUE"""),176.15)</f>
        <v>176.15</v>
      </c>
      <c r="D177" s="141">
        <f ca="1">IFERROR(__xludf.DUMMYFUNCTION("""COMPUTED_VALUE"""),176.9)</f>
        <v>176.9</v>
      </c>
      <c r="E177" s="141">
        <f ca="1">IFERROR(__xludf.DUMMYFUNCTION("""COMPUTED_VALUE"""),173.79)</f>
        <v>173.79</v>
      </c>
      <c r="F177" s="141">
        <f ca="1">IFERROR(__xludf.DUMMYFUNCTION("""COMPUTED_VALUE"""),175.1)</f>
        <v>175.1</v>
      </c>
      <c r="G177" s="143">
        <f ca="1">IFERROR(__xludf.DUMMYFUNCTION("""COMPUTED_VALUE"""),81510101)</f>
        <v>81510101</v>
      </c>
      <c r="H177" s="26"/>
    </row>
    <row r="178" spans="1:8" ht="17.25" customHeight="1" x14ac:dyDescent="0.2">
      <c r="A178" s="26"/>
      <c r="B178" s="139">
        <f ca="1">IFERROR(__xludf.DUMMYFUNCTION("""COMPUTED_VALUE"""),45356.6666666666)</f>
        <v>45356.666666666599</v>
      </c>
      <c r="C178" s="141">
        <f ca="1">IFERROR(__xludf.DUMMYFUNCTION("""COMPUTED_VALUE"""),170.76)</f>
        <v>170.76</v>
      </c>
      <c r="D178" s="141">
        <f ca="1">IFERROR(__xludf.DUMMYFUNCTION("""COMPUTED_VALUE"""),172.04)</f>
        <v>172.04</v>
      </c>
      <c r="E178" s="141">
        <f ca="1">IFERROR(__xludf.DUMMYFUNCTION("""COMPUTED_VALUE"""),169.62)</f>
        <v>169.62</v>
      </c>
      <c r="F178" s="141">
        <f ca="1">IFERROR(__xludf.DUMMYFUNCTION("""COMPUTED_VALUE"""),170.12)</f>
        <v>170.12</v>
      </c>
      <c r="G178" s="143">
        <f ca="1">IFERROR(__xludf.DUMMYFUNCTION("""COMPUTED_VALUE"""),95132355)</f>
        <v>95132355</v>
      </c>
      <c r="H178" s="26"/>
    </row>
    <row r="179" spans="1:8" ht="17.25" customHeight="1" x14ac:dyDescent="0.2">
      <c r="A179" s="26"/>
      <c r="B179" s="139">
        <f ca="1">IFERROR(__xludf.DUMMYFUNCTION("""COMPUTED_VALUE"""),45357.6666666666)</f>
        <v>45357.666666666599</v>
      </c>
      <c r="C179" s="141">
        <f ca="1">IFERROR(__xludf.DUMMYFUNCTION("""COMPUTED_VALUE"""),171.06)</f>
        <v>171.06</v>
      </c>
      <c r="D179" s="141">
        <f ca="1">IFERROR(__xludf.DUMMYFUNCTION("""COMPUTED_VALUE"""),171.24)</f>
        <v>171.24</v>
      </c>
      <c r="E179" s="141">
        <f ca="1">IFERROR(__xludf.DUMMYFUNCTION("""COMPUTED_VALUE"""),168.68)</f>
        <v>168.68</v>
      </c>
      <c r="F179" s="141">
        <f ca="1">IFERROR(__xludf.DUMMYFUNCTION("""COMPUTED_VALUE"""),169.12)</f>
        <v>169.12</v>
      </c>
      <c r="G179" s="143">
        <f ca="1">IFERROR(__xludf.DUMMYFUNCTION("""COMPUTED_VALUE"""),68587707)</f>
        <v>68587707</v>
      </c>
      <c r="H179" s="26"/>
    </row>
    <row r="180" spans="1:8" ht="17.25" customHeight="1" x14ac:dyDescent="0.2">
      <c r="A180" s="26"/>
      <c r="B180" s="139">
        <f ca="1">IFERROR(__xludf.DUMMYFUNCTION("""COMPUTED_VALUE"""),45358.6666666666)</f>
        <v>45358.666666666599</v>
      </c>
      <c r="C180" s="141">
        <f ca="1">IFERROR(__xludf.DUMMYFUNCTION("""COMPUTED_VALUE"""),169.15)</f>
        <v>169.15</v>
      </c>
      <c r="D180" s="141">
        <f ca="1">IFERROR(__xludf.DUMMYFUNCTION("""COMPUTED_VALUE"""),170.73)</f>
        <v>170.73</v>
      </c>
      <c r="E180" s="141">
        <f ca="1">IFERROR(__xludf.DUMMYFUNCTION("""COMPUTED_VALUE"""),168.49)</f>
        <v>168.49</v>
      </c>
      <c r="F180" s="141">
        <f ca="1">IFERROR(__xludf.DUMMYFUNCTION("""COMPUTED_VALUE"""),169)</f>
        <v>169</v>
      </c>
      <c r="G180" s="143">
        <f ca="1">IFERROR(__xludf.DUMMYFUNCTION("""COMPUTED_VALUE"""),71765061)</f>
        <v>71765061</v>
      </c>
      <c r="H180" s="26"/>
    </row>
    <row r="181" spans="1:8" ht="17.25" customHeight="1" x14ac:dyDescent="0.2">
      <c r="A181" s="26"/>
      <c r="B181" s="139">
        <f ca="1">IFERROR(__xludf.DUMMYFUNCTION("""COMPUTED_VALUE"""),45359.6666666666)</f>
        <v>45359.666666666599</v>
      </c>
      <c r="C181" s="141">
        <f ca="1">IFERROR(__xludf.DUMMYFUNCTION("""COMPUTED_VALUE"""),169)</f>
        <v>169</v>
      </c>
      <c r="D181" s="141">
        <f ca="1">IFERROR(__xludf.DUMMYFUNCTION("""COMPUTED_VALUE"""),173.7)</f>
        <v>173.7</v>
      </c>
      <c r="E181" s="141">
        <f ca="1">IFERROR(__xludf.DUMMYFUNCTION("""COMPUTED_VALUE"""),168.94)</f>
        <v>168.94</v>
      </c>
      <c r="F181" s="141">
        <f ca="1">IFERROR(__xludf.DUMMYFUNCTION("""COMPUTED_VALUE"""),170.73)</f>
        <v>170.73</v>
      </c>
      <c r="G181" s="143">
        <f ca="1">IFERROR(__xludf.DUMMYFUNCTION("""COMPUTED_VALUE"""),76267041)</f>
        <v>76267041</v>
      </c>
      <c r="H181" s="26"/>
    </row>
    <row r="182" spans="1:8" ht="17.25" customHeight="1" x14ac:dyDescent="0.2">
      <c r="A182" s="26"/>
      <c r="B182" s="139">
        <f ca="1">IFERROR(__xludf.DUMMYFUNCTION("""COMPUTED_VALUE"""),45362.6666666666)</f>
        <v>45362.666666666599</v>
      </c>
      <c r="C182" s="141">
        <f ca="1">IFERROR(__xludf.DUMMYFUNCTION("""COMPUTED_VALUE"""),172.94)</f>
        <v>172.94</v>
      </c>
      <c r="D182" s="141">
        <f ca="1">IFERROR(__xludf.DUMMYFUNCTION("""COMPUTED_VALUE"""),174.38)</f>
        <v>174.38</v>
      </c>
      <c r="E182" s="141">
        <f ca="1">IFERROR(__xludf.DUMMYFUNCTION("""COMPUTED_VALUE"""),172.05)</f>
        <v>172.05</v>
      </c>
      <c r="F182" s="141">
        <f ca="1">IFERROR(__xludf.DUMMYFUNCTION("""COMPUTED_VALUE"""),172.75)</f>
        <v>172.75</v>
      </c>
      <c r="G182" s="143">
        <f ca="1">IFERROR(__xludf.DUMMYFUNCTION("""COMPUTED_VALUE"""),60139473)</f>
        <v>60139473</v>
      </c>
      <c r="H182" s="26"/>
    </row>
    <row r="183" spans="1:8" ht="17.25" customHeight="1" x14ac:dyDescent="0.2">
      <c r="A183" s="26"/>
      <c r="B183" s="139">
        <f ca="1">IFERROR(__xludf.DUMMYFUNCTION("""COMPUTED_VALUE"""),45363.6666666666)</f>
        <v>45363.666666666599</v>
      </c>
      <c r="C183" s="141">
        <f ca="1">IFERROR(__xludf.DUMMYFUNCTION("""COMPUTED_VALUE"""),173.15)</f>
        <v>173.15</v>
      </c>
      <c r="D183" s="141">
        <f ca="1">IFERROR(__xludf.DUMMYFUNCTION("""COMPUTED_VALUE"""),174.03)</f>
        <v>174.03</v>
      </c>
      <c r="E183" s="141">
        <f ca="1">IFERROR(__xludf.DUMMYFUNCTION("""COMPUTED_VALUE"""),171.01)</f>
        <v>171.01</v>
      </c>
      <c r="F183" s="141">
        <f ca="1">IFERROR(__xludf.DUMMYFUNCTION("""COMPUTED_VALUE"""),173.23)</f>
        <v>173.23</v>
      </c>
      <c r="G183" s="143">
        <f ca="1">IFERROR(__xludf.DUMMYFUNCTION("""COMPUTED_VALUE"""),59825372)</f>
        <v>59825372</v>
      </c>
      <c r="H183" s="26"/>
    </row>
    <row r="184" spans="1:8" ht="17.25" customHeight="1" x14ac:dyDescent="0.2">
      <c r="A184" s="26"/>
      <c r="B184" s="139">
        <f ca="1">IFERROR(__xludf.DUMMYFUNCTION("""COMPUTED_VALUE"""),45364.6666666666)</f>
        <v>45364.666666666599</v>
      </c>
      <c r="C184" s="141">
        <f ca="1">IFERROR(__xludf.DUMMYFUNCTION("""COMPUTED_VALUE"""),172.77)</f>
        <v>172.77</v>
      </c>
      <c r="D184" s="141">
        <f ca="1">IFERROR(__xludf.DUMMYFUNCTION("""COMPUTED_VALUE"""),173.19)</f>
        <v>173.19</v>
      </c>
      <c r="E184" s="141">
        <f ca="1">IFERROR(__xludf.DUMMYFUNCTION("""COMPUTED_VALUE"""),170.76)</f>
        <v>170.76</v>
      </c>
      <c r="F184" s="141">
        <f ca="1">IFERROR(__xludf.DUMMYFUNCTION("""COMPUTED_VALUE"""),171.13)</f>
        <v>171.13</v>
      </c>
      <c r="G184" s="143">
        <f ca="1">IFERROR(__xludf.DUMMYFUNCTION("""COMPUTED_VALUE"""),52488692)</f>
        <v>52488692</v>
      </c>
      <c r="H184" s="26"/>
    </row>
    <row r="185" spans="1:8" ht="17.25" customHeight="1" x14ac:dyDescent="0.2">
      <c r="A185" s="26"/>
      <c r="B185" s="139">
        <f ca="1">IFERROR(__xludf.DUMMYFUNCTION("""COMPUTED_VALUE"""),45365.6666666666)</f>
        <v>45365.666666666599</v>
      </c>
      <c r="C185" s="141">
        <f ca="1">IFERROR(__xludf.DUMMYFUNCTION("""COMPUTED_VALUE"""),172.91)</f>
        <v>172.91</v>
      </c>
      <c r="D185" s="141">
        <f ca="1">IFERROR(__xludf.DUMMYFUNCTION("""COMPUTED_VALUE"""),174.31)</f>
        <v>174.31</v>
      </c>
      <c r="E185" s="141">
        <f ca="1">IFERROR(__xludf.DUMMYFUNCTION("""COMPUTED_VALUE"""),172.05)</f>
        <v>172.05</v>
      </c>
      <c r="F185" s="141">
        <f ca="1">IFERROR(__xludf.DUMMYFUNCTION("""COMPUTED_VALUE"""),173)</f>
        <v>173</v>
      </c>
      <c r="G185" s="143">
        <f ca="1">IFERROR(__xludf.DUMMYFUNCTION("""COMPUTED_VALUE"""),72913507)</f>
        <v>72913507</v>
      </c>
      <c r="H185" s="26"/>
    </row>
    <row r="186" spans="1:8" ht="17.25" customHeight="1" x14ac:dyDescent="0.2">
      <c r="A186" s="26"/>
      <c r="B186" s="139">
        <f ca="1">IFERROR(__xludf.DUMMYFUNCTION("""COMPUTED_VALUE"""),45366.6666666666)</f>
        <v>45366.666666666599</v>
      </c>
      <c r="C186" s="141">
        <f ca="1">IFERROR(__xludf.DUMMYFUNCTION("""COMPUTED_VALUE"""),171.17)</f>
        <v>171.17</v>
      </c>
      <c r="D186" s="141">
        <f ca="1">IFERROR(__xludf.DUMMYFUNCTION("""COMPUTED_VALUE"""),172.62)</f>
        <v>172.62</v>
      </c>
      <c r="E186" s="141">
        <f ca="1">IFERROR(__xludf.DUMMYFUNCTION("""COMPUTED_VALUE"""),170.29)</f>
        <v>170.29</v>
      </c>
      <c r="F186" s="141">
        <f ca="1">IFERROR(__xludf.DUMMYFUNCTION("""COMPUTED_VALUE"""),172.62)</f>
        <v>172.62</v>
      </c>
      <c r="G186" s="143">
        <f ca="1">IFERROR(__xludf.DUMMYFUNCTION("""COMPUTED_VALUE"""),121752699)</f>
        <v>121752699</v>
      </c>
      <c r="H186" s="26"/>
    </row>
    <row r="187" spans="1:8" ht="17.25" customHeight="1" x14ac:dyDescent="0.2">
      <c r="A187" s="26"/>
      <c r="B187" s="139">
        <f ca="1">IFERROR(__xludf.DUMMYFUNCTION("""COMPUTED_VALUE"""),45369.6666666666)</f>
        <v>45369.666666666599</v>
      </c>
      <c r="C187" s="141">
        <f ca="1">IFERROR(__xludf.DUMMYFUNCTION("""COMPUTED_VALUE"""),175.57)</f>
        <v>175.57</v>
      </c>
      <c r="D187" s="141">
        <f ca="1">IFERROR(__xludf.DUMMYFUNCTION("""COMPUTED_VALUE"""),177.71)</f>
        <v>177.71</v>
      </c>
      <c r="E187" s="141">
        <f ca="1">IFERROR(__xludf.DUMMYFUNCTION("""COMPUTED_VALUE"""),173.52)</f>
        <v>173.52</v>
      </c>
      <c r="F187" s="141">
        <f ca="1">IFERROR(__xludf.DUMMYFUNCTION("""COMPUTED_VALUE"""),173.72)</f>
        <v>173.72</v>
      </c>
      <c r="G187" s="143">
        <f ca="1">IFERROR(__xludf.DUMMYFUNCTION("""COMPUTED_VALUE"""),75604184)</f>
        <v>75604184</v>
      </c>
      <c r="H187" s="26"/>
    </row>
    <row r="188" spans="1:8" ht="17.25" customHeight="1" x14ac:dyDescent="0.2">
      <c r="A188" s="26"/>
      <c r="B188" s="139">
        <f ca="1">IFERROR(__xludf.DUMMYFUNCTION("""COMPUTED_VALUE"""),45370.6666666666)</f>
        <v>45370.666666666599</v>
      </c>
      <c r="C188" s="141">
        <f ca="1">IFERROR(__xludf.DUMMYFUNCTION("""COMPUTED_VALUE"""),174.34)</f>
        <v>174.34</v>
      </c>
      <c r="D188" s="141">
        <f ca="1">IFERROR(__xludf.DUMMYFUNCTION("""COMPUTED_VALUE"""),176.61)</f>
        <v>176.61</v>
      </c>
      <c r="E188" s="141">
        <f ca="1">IFERROR(__xludf.DUMMYFUNCTION("""COMPUTED_VALUE"""),173.03)</f>
        <v>173.03</v>
      </c>
      <c r="F188" s="141">
        <f ca="1">IFERROR(__xludf.DUMMYFUNCTION("""COMPUTED_VALUE"""),176.08)</f>
        <v>176.08</v>
      </c>
      <c r="G188" s="143">
        <f ca="1">IFERROR(__xludf.DUMMYFUNCTION("""COMPUTED_VALUE"""),55215244)</f>
        <v>55215244</v>
      </c>
      <c r="H188" s="26"/>
    </row>
    <row r="189" spans="1:8" ht="17.25" customHeight="1" x14ac:dyDescent="0.2">
      <c r="A189" s="26"/>
      <c r="B189" s="139">
        <f ca="1">IFERROR(__xludf.DUMMYFUNCTION("""COMPUTED_VALUE"""),45371.6666666666)</f>
        <v>45371.666666666599</v>
      </c>
      <c r="C189" s="141">
        <f ca="1">IFERROR(__xludf.DUMMYFUNCTION("""COMPUTED_VALUE"""),175.72)</f>
        <v>175.72</v>
      </c>
      <c r="D189" s="141">
        <f ca="1">IFERROR(__xludf.DUMMYFUNCTION("""COMPUTED_VALUE"""),178.67)</f>
        <v>178.67</v>
      </c>
      <c r="E189" s="141">
        <f ca="1">IFERROR(__xludf.DUMMYFUNCTION("""COMPUTED_VALUE"""),175.09)</f>
        <v>175.09</v>
      </c>
      <c r="F189" s="141">
        <f ca="1">IFERROR(__xludf.DUMMYFUNCTION("""COMPUTED_VALUE"""),178.67)</f>
        <v>178.67</v>
      </c>
      <c r="G189" s="143">
        <f ca="1">IFERROR(__xludf.DUMMYFUNCTION("""COMPUTED_VALUE"""),53423102)</f>
        <v>53423102</v>
      </c>
      <c r="H189" s="26"/>
    </row>
    <row r="190" spans="1:8" ht="17.25" customHeight="1" x14ac:dyDescent="0.2">
      <c r="A190" s="26"/>
      <c r="B190" s="139">
        <f ca="1">IFERROR(__xludf.DUMMYFUNCTION("""COMPUTED_VALUE"""),45372.6666666666)</f>
        <v>45372.666666666599</v>
      </c>
      <c r="C190" s="141">
        <f ca="1">IFERROR(__xludf.DUMMYFUNCTION("""COMPUTED_VALUE"""),177.05)</f>
        <v>177.05</v>
      </c>
      <c r="D190" s="141">
        <f ca="1">IFERROR(__xludf.DUMMYFUNCTION("""COMPUTED_VALUE"""),177.49)</f>
        <v>177.49</v>
      </c>
      <c r="E190" s="141">
        <f ca="1">IFERROR(__xludf.DUMMYFUNCTION("""COMPUTED_VALUE"""),170.84)</f>
        <v>170.84</v>
      </c>
      <c r="F190" s="141">
        <f ca="1">IFERROR(__xludf.DUMMYFUNCTION("""COMPUTED_VALUE"""),171.37)</f>
        <v>171.37</v>
      </c>
      <c r="G190" s="143">
        <f ca="1">IFERROR(__xludf.DUMMYFUNCTION("""COMPUTED_VALUE"""),106181270)</f>
        <v>106181270</v>
      </c>
      <c r="H190" s="26"/>
    </row>
    <row r="191" spans="1:8" ht="17.25" customHeight="1" x14ac:dyDescent="0.2">
      <c r="A191" s="26"/>
      <c r="B191" s="139">
        <f ca="1">IFERROR(__xludf.DUMMYFUNCTION("""COMPUTED_VALUE"""),45373.6666666666)</f>
        <v>45373.666666666599</v>
      </c>
      <c r="C191" s="141">
        <f ca="1">IFERROR(__xludf.DUMMYFUNCTION("""COMPUTED_VALUE"""),171.76)</f>
        <v>171.76</v>
      </c>
      <c r="D191" s="141">
        <f ca="1">IFERROR(__xludf.DUMMYFUNCTION("""COMPUTED_VALUE"""),173.05)</f>
        <v>173.05</v>
      </c>
      <c r="E191" s="141">
        <f ca="1">IFERROR(__xludf.DUMMYFUNCTION("""COMPUTED_VALUE"""),170.06)</f>
        <v>170.06</v>
      </c>
      <c r="F191" s="141">
        <f ca="1">IFERROR(__xludf.DUMMYFUNCTION("""COMPUTED_VALUE"""),172.28)</f>
        <v>172.28</v>
      </c>
      <c r="G191" s="143">
        <f ca="1">IFERROR(__xludf.DUMMYFUNCTION("""COMPUTED_VALUE"""),71160138)</f>
        <v>71160138</v>
      </c>
      <c r="H191" s="26"/>
    </row>
    <row r="192" spans="1:8" ht="17.25" customHeight="1" x14ac:dyDescent="0.2">
      <c r="A192" s="26"/>
      <c r="B192" s="139">
        <f ca="1">IFERROR(__xludf.DUMMYFUNCTION("""COMPUTED_VALUE"""),45376.6666666666)</f>
        <v>45376.666666666599</v>
      </c>
      <c r="C192" s="141">
        <f ca="1">IFERROR(__xludf.DUMMYFUNCTION("""COMPUTED_VALUE"""),170.57)</f>
        <v>170.57</v>
      </c>
      <c r="D192" s="141">
        <f ca="1">IFERROR(__xludf.DUMMYFUNCTION("""COMPUTED_VALUE"""),171.94)</f>
        <v>171.94</v>
      </c>
      <c r="E192" s="141">
        <f ca="1">IFERROR(__xludf.DUMMYFUNCTION("""COMPUTED_VALUE"""),169.45)</f>
        <v>169.45</v>
      </c>
      <c r="F192" s="141">
        <f ca="1">IFERROR(__xludf.DUMMYFUNCTION("""COMPUTED_VALUE"""),170.85)</f>
        <v>170.85</v>
      </c>
      <c r="G192" s="143">
        <f ca="1">IFERROR(__xludf.DUMMYFUNCTION("""COMPUTED_VALUE"""),54288328)</f>
        <v>54288328</v>
      </c>
      <c r="H192" s="26"/>
    </row>
    <row r="193" spans="1:8" ht="17.25" customHeight="1" x14ac:dyDescent="0.2">
      <c r="A193" s="26"/>
      <c r="B193" s="139">
        <f ca="1">IFERROR(__xludf.DUMMYFUNCTION("""COMPUTED_VALUE"""),45377.6666666666)</f>
        <v>45377.666666666599</v>
      </c>
      <c r="C193" s="141">
        <f ca="1">IFERROR(__xludf.DUMMYFUNCTION("""COMPUTED_VALUE"""),170)</f>
        <v>170</v>
      </c>
      <c r="D193" s="141">
        <f ca="1">IFERROR(__xludf.DUMMYFUNCTION("""COMPUTED_VALUE"""),171.42)</f>
        <v>171.42</v>
      </c>
      <c r="E193" s="141">
        <f ca="1">IFERROR(__xludf.DUMMYFUNCTION("""COMPUTED_VALUE"""),169.58)</f>
        <v>169.58</v>
      </c>
      <c r="F193" s="141">
        <f ca="1">IFERROR(__xludf.DUMMYFUNCTION("""COMPUTED_VALUE"""),169.71)</f>
        <v>169.71</v>
      </c>
      <c r="G193" s="143">
        <f ca="1">IFERROR(__xludf.DUMMYFUNCTION("""COMPUTED_VALUE"""),57388449)</f>
        <v>57388449</v>
      </c>
      <c r="H193" s="26"/>
    </row>
    <row r="194" spans="1:8" ht="17.25" customHeight="1" x14ac:dyDescent="0.2">
      <c r="A194" s="26"/>
      <c r="B194" s="139">
        <f ca="1">IFERROR(__xludf.DUMMYFUNCTION("""COMPUTED_VALUE"""),45378.6666666666)</f>
        <v>45378.666666666599</v>
      </c>
      <c r="C194" s="141">
        <f ca="1">IFERROR(__xludf.DUMMYFUNCTION("""COMPUTED_VALUE"""),170.41)</f>
        <v>170.41</v>
      </c>
      <c r="D194" s="141">
        <f ca="1">IFERROR(__xludf.DUMMYFUNCTION("""COMPUTED_VALUE"""),173.6)</f>
        <v>173.6</v>
      </c>
      <c r="E194" s="141">
        <f ca="1">IFERROR(__xludf.DUMMYFUNCTION("""COMPUTED_VALUE"""),170.11)</f>
        <v>170.11</v>
      </c>
      <c r="F194" s="141">
        <f ca="1">IFERROR(__xludf.DUMMYFUNCTION("""COMPUTED_VALUE"""),173.31)</f>
        <v>173.31</v>
      </c>
      <c r="G194" s="143">
        <f ca="1">IFERROR(__xludf.DUMMYFUNCTION("""COMPUTED_VALUE"""),60273265)</f>
        <v>60273265</v>
      </c>
      <c r="H194" s="26"/>
    </row>
    <row r="195" spans="1:8" ht="17.25" customHeight="1" x14ac:dyDescent="0.2">
      <c r="A195" s="26"/>
      <c r="B195" s="139">
        <f ca="1">IFERROR(__xludf.DUMMYFUNCTION("""COMPUTED_VALUE"""),45379.6666666666)</f>
        <v>45379.666666666599</v>
      </c>
      <c r="C195" s="141">
        <f ca="1">IFERROR(__xludf.DUMMYFUNCTION("""COMPUTED_VALUE"""),171.75)</f>
        <v>171.75</v>
      </c>
      <c r="D195" s="141">
        <f ca="1">IFERROR(__xludf.DUMMYFUNCTION("""COMPUTED_VALUE"""),172.23)</f>
        <v>172.23</v>
      </c>
      <c r="E195" s="141">
        <f ca="1">IFERROR(__xludf.DUMMYFUNCTION("""COMPUTED_VALUE"""),170.51)</f>
        <v>170.51</v>
      </c>
      <c r="F195" s="141">
        <f ca="1">IFERROR(__xludf.DUMMYFUNCTION("""COMPUTED_VALUE"""),171.48)</f>
        <v>171.48</v>
      </c>
      <c r="G195" s="143">
        <f ca="1">IFERROR(__xludf.DUMMYFUNCTION("""COMPUTED_VALUE"""),65672690)</f>
        <v>65672690</v>
      </c>
      <c r="H195" s="26"/>
    </row>
    <row r="196" spans="1:8" ht="17.25" customHeight="1" x14ac:dyDescent="0.2">
      <c r="A196" s="26"/>
      <c r="B196" s="139">
        <f ca="1">IFERROR(__xludf.DUMMYFUNCTION("""COMPUTED_VALUE"""),45383.6666666666)</f>
        <v>45383.666666666599</v>
      </c>
      <c r="C196" s="141">
        <f ca="1">IFERROR(__xludf.DUMMYFUNCTION("""COMPUTED_VALUE"""),171.19)</f>
        <v>171.19</v>
      </c>
      <c r="D196" s="141">
        <f ca="1">IFERROR(__xludf.DUMMYFUNCTION("""COMPUTED_VALUE"""),171.25)</f>
        <v>171.25</v>
      </c>
      <c r="E196" s="141">
        <f ca="1">IFERROR(__xludf.DUMMYFUNCTION("""COMPUTED_VALUE"""),169.48)</f>
        <v>169.48</v>
      </c>
      <c r="F196" s="141">
        <f ca="1">IFERROR(__xludf.DUMMYFUNCTION("""COMPUTED_VALUE"""),170.03)</f>
        <v>170.03</v>
      </c>
      <c r="G196" s="143">
        <f ca="1">IFERROR(__xludf.DUMMYFUNCTION("""COMPUTED_VALUE"""),46240500)</f>
        <v>46240500</v>
      </c>
      <c r="H196" s="26"/>
    </row>
    <row r="197" spans="1:8" ht="17.25" customHeight="1" x14ac:dyDescent="0.2">
      <c r="A197" s="26"/>
      <c r="B197" s="139">
        <f ca="1">IFERROR(__xludf.DUMMYFUNCTION("""COMPUTED_VALUE"""),45384.6666666666)</f>
        <v>45384.666666666599</v>
      </c>
      <c r="C197" s="141">
        <f ca="1">IFERROR(__xludf.DUMMYFUNCTION("""COMPUTED_VALUE"""),169.08)</f>
        <v>169.08</v>
      </c>
      <c r="D197" s="141">
        <f ca="1">IFERROR(__xludf.DUMMYFUNCTION("""COMPUTED_VALUE"""),169.34)</f>
        <v>169.34</v>
      </c>
      <c r="E197" s="141">
        <f ca="1">IFERROR(__xludf.DUMMYFUNCTION("""COMPUTED_VALUE"""),168.23)</f>
        <v>168.23</v>
      </c>
      <c r="F197" s="141">
        <f ca="1">IFERROR(__xludf.DUMMYFUNCTION("""COMPUTED_VALUE"""),168.84)</f>
        <v>168.84</v>
      </c>
      <c r="G197" s="143">
        <f ca="1">IFERROR(__xludf.DUMMYFUNCTION("""COMPUTED_VALUE"""),49329481)</f>
        <v>49329481</v>
      </c>
      <c r="H197" s="26"/>
    </row>
    <row r="198" spans="1:8" ht="17.25" customHeight="1" x14ac:dyDescent="0.2">
      <c r="A198" s="26"/>
      <c r="B198" s="139">
        <f ca="1">IFERROR(__xludf.DUMMYFUNCTION("""COMPUTED_VALUE"""),45385.6666666666)</f>
        <v>45385.666666666599</v>
      </c>
      <c r="C198" s="141">
        <f ca="1">IFERROR(__xludf.DUMMYFUNCTION("""COMPUTED_VALUE"""),168.79)</f>
        <v>168.79</v>
      </c>
      <c r="D198" s="141">
        <f ca="1">IFERROR(__xludf.DUMMYFUNCTION("""COMPUTED_VALUE"""),170.68)</f>
        <v>170.68</v>
      </c>
      <c r="E198" s="141">
        <f ca="1">IFERROR(__xludf.DUMMYFUNCTION("""COMPUTED_VALUE"""),168.58)</f>
        <v>168.58</v>
      </c>
      <c r="F198" s="141">
        <f ca="1">IFERROR(__xludf.DUMMYFUNCTION("""COMPUTED_VALUE"""),169.65)</f>
        <v>169.65</v>
      </c>
      <c r="G198" s="143">
        <f ca="1">IFERROR(__xludf.DUMMYFUNCTION("""COMPUTED_VALUE"""),47691715)</f>
        <v>47691715</v>
      </c>
      <c r="H198" s="26"/>
    </row>
    <row r="199" spans="1:8" ht="17.25" customHeight="1" x14ac:dyDescent="0.2">
      <c r="A199" s="26"/>
      <c r="B199" s="139">
        <f ca="1">IFERROR(__xludf.DUMMYFUNCTION("""COMPUTED_VALUE"""),45386.6666666666)</f>
        <v>45386.666666666599</v>
      </c>
      <c r="C199" s="141">
        <f ca="1">IFERROR(__xludf.DUMMYFUNCTION("""COMPUTED_VALUE"""),170.29)</f>
        <v>170.29</v>
      </c>
      <c r="D199" s="141">
        <f ca="1">IFERROR(__xludf.DUMMYFUNCTION("""COMPUTED_VALUE"""),171.92)</f>
        <v>171.92</v>
      </c>
      <c r="E199" s="141">
        <f ca="1">IFERROR(__xludf.DUMMYFUNCTION("""COMPUTED_VALUE"""),168.82)</f>
        <v>168.82</v>
      </c>
      <c r="F199" s="141">
        <f ca="1">IFERROR(__xludf.DUMMYFUNCTION("""COMPUTED_VALUE"""),168.82)</f>
        <v>168.82</v>
      </c>
      <c r="G199" s="143">
        <f ca="1">IFERROR(__xludf.DUMMYFUNCTION("""COMPUTED_VALUE"""),53704386)</f>
        <v>53704386</v>
      </c>
      <c r="H199" s="26"/>
    </row>
    <row r="200" spans="1:8" ht="17.25" customHeight="1" x14ac:dyDescent="0.2">
      <c r="A200" s="26"/>
      <c r="B200" s="139">
        <f ca="1">IFERROR(__xludf.DUMMYFUNCTION("""COMPUTED_VALUE"""),45387.6666666666)</f>
        <v>45387.666666666599</v>
      </c>
      <c r="C200" s="141">
        <f ca="1">IFERROR(__xludf.DUMMYFUNCTION("""COMPUTED_VALUE"""),169.59)</f>
        <v>169.59</v>
      </c>
      <c r="D200" s="141">
        <f ca="1">IFERROR(__xludf.DUMMYFUNCTION("""COMPUTED_VALUE"""),170.39)</f>
        <v>170.39</v>
      </c>
      <c r="E200" s="141">
        <f ca="1">IFERROR(__xludf.DUMMYFUNCTION("""COMPUTED_VALUE"""),168.95)</f>
        <v>168.95</v>
      </c>
      <c r="F200" s="141">
        <f ca="1">IFERROR(__xludf.DUMMYFUNCTION("""COMPUTED_VALUE"""),169.58)</f>
        <v>169.58</v>
      </c>
      <c r="G200" s="143">
        <f ca="1">IFERROR(__xludf.DUMMYFUNCTION("""COMPUTED_VALUE"""),42104826)</f>
        <v>42104826</v>
      </c>
      <c r="H200" s="26"/>
    </row>
    <row r="201" spans="1:8" ht="17.25" customHeight="1" x14ac:dyDescent="0.2">
      <c r="A201" s="26"/>
      <c r="B201" s="139">
        <f ca="1">IFERROR(__xludf.DUMMYFUNCTION("""COMPUTED_VALUE"""),45390.6666666666)</f>
        <v>45390.666666666599</v>
      </c>
      <c r="C201" s="141">
        <f ca="1">IFERROR(__xludf.DUMMYFUNCTION("""COMPUTED_VALUE"""),169.03)</f>
        <v>169.03</v>
      </c>
      <c r="D201" s="141">
        <f ca="1">IFERROR(__xludf.DUMMYFUNCTION("""COMPUTED_VALUE"""),169.2)</f>
        <v>169.2</v>
      </c>
      <c r="E201" s="141">
        <f ca="1">IFERROR(__xludf.DUMMYFUNCTION("""COMPUTED_VALUE"""),168.24)</f>
        <v>168.24</v>
      </c>
      <c r="F201" s="141">
        <f ca="1">IFERROR(__xludf.DUMMYFUNCTION("""COMPUTED_VALUE"""),168.45)</f>
        <v>168.45</v>
      </c>
      <c r="G201" s="143">
        <f ca="1">IFERROR(__xludf.DUMMYFUNCTION("""COMPUTED_VALUE"""),37425513)</f>
        <v>37425513</v>
      </c>
      <c r="H201" s="26"/>
    </row>
    <row r="202" spans="1:8" ht="17.25" customHeight="1" x14ac:dyDescent="0.2">
      <c r="A202" s="26"/>
      <c r="B202" s="139">
        <f ca="1">IFERROR(__xludf.DUMMYFUNCTION("""COMPUTED_VALUE"""),45391.6666666666)</f>
        <v>45391.666666666599</v>
      </c>
      <c r="C202" s="141">
        <f ca="1">IFERROR(__xludf.DUMMYFUNCTION("""COMPUTED_VALUE"""),168.7)</f>
        <v>168.7</v>
      </c>
      <c r="D202" s="141">
        <f ca="1">IFERROR(__xludf.DUMMYFUNCTION("""COMPUTED_VALUE"""),170.08)</f>
        <v>170.08</v>
      </c>
      <c r="E202" s="141">
        <f ca="1">IFERROR(__xludf.DUMMYFUNCTION("""COMPUTED_VALUE"""),168.35)</f>
        <v>168.35</v>
      </c>
      <c r="F202" s="141">
        <f ca="1">IFERROR(__xludf.DUMMYFUNCTION("""COMPUTED_VALUE"""),169.67)</f>
        <v>169.67</v>
      </c>
      <c r="G202" s="143">
        <f ca="1">IFERROR(__xludf.DUMMYFUNCTION("""COMPUTED_VALUE"""),42451209)</f>
        <v>42451209</v>
      </c>
      <c r="H202" s="26"/>
    </row>
    <row r="203" spans="1:8" ht="17.25" customHeight="1" x14ac:dyDescent="0.2">
      <c r="A203" s="26"/>
      <c r="B203" s="139">
        <f ca="1">IFERROR(__xludf.DUMMYFUNCTION("""COMPUTED_VALUE"""),45392.6666666666)</f>
        <v>45392.666666666599</v>
      </c>
      <c r="C203" s="141">
        <f ca="1">IFERROR(__xludf.DUMMYFUNCTION("""COMPUTED_VALUE"""),168.8)</f>
        <v>168.8</v>
      </c>
      <c r="D203" s="141">
        <f ca="1">IFERROR(__xludf.DUMMYFUNCTION("""COMPUTED_VALUE"""),169.09)</f>
        <v>169.09</v>
      </c>
      <c r="E203" s="141">
        <f ca="1">IFERROR(__xludf.DUMMYFUNCTION("""COMPUTED_VALUE"""),167.11)</f>
        <v>167.11</v>
      </c>
      <c r="F203" s="141">
        <f ca="1">IFERROR(__xludf.DUMMYFUNCTION("""COMPUTED_VALUE"""),167.78)</f>
        <v>167.78</v>
      </c>
      <c r="G203" s="143">
        <f ca="1">IFERROR(__xludf.DUMMYFUNCTION("""COMPUTED_VALUE"""),49709336)</f>
        <v>49709336</v>
      </c>
      <c r="H203" s="26"/>
    </row>
    <row r="204" spans="1:8" ht="17.25" customHeight="1" x14ac:dyDescent="0.2">
      <c r="A204" s="26"/>
      <c r="B204" s="139">
        <f ca="1">IFERROR(__xludf.DUMMYFUNCTION("""COMPUTED_VALUE"""),45393.6666666666)</f>
        <v>45393.666666666599</v>
      </c>
      <c r="C204" s="141">
        <f ca="1">IFERROR(__xludf.DUMMYFUNCTION("""COMPUTED_VALUE"""),168.34)</f>
        <v>168.34</v>
      </c>
      <c r="D204" s="141">
        <f ca="1">IFERROR(__xludf.DUMMYFUNCTION("""COMPUTED_VALUE"""),175.46)</f>
        <v>175.46</v>
      </c>
      <c r="E204" s="141">
        <f ca="1">IFERROR(__xludf.DUMMYFUNCTION("""COMPUTED_VALUE"""),168.16)</f>
        <v>168.16</v>
      </c>
      <c r="F204" s="141">
        <f ca="1">IFERROR(__xludf.DUMMYFUNCTION("""COMPUTED_VALUE"""),175.04)</f>
        <v>175.04</v>
      </c>
      <c r="G204" s="143">
        <f ca="1">IFERROR(__xludf.DUMMYFUNCTION("""COMPUTED_VALUE"""),91070275)</f>
        <v>91070275</v>
      </c>
      <c r="H204" s="26"/>
    </row>
    <row r="205" spans="1:8" ht="17.25" customHeight="1" x14ac:dyDescent="0.2">
      <c r="A205" s="26"/>
      <c r="B205" s="139">
        <f ca="1">IFERROR(__xludf.DUMMYFUNCTION("""COMPUTED_VALUE"""),45394.6666666666)</f>
        <v>45394.666666666599</v>
      </c>
      <c r="C205" s="141">
        <f ca="1">IFERROR(__xludf.DUMMYFUNCTION("""COMPUTED_VALUE"""),174.26)</f>
        <v>174.26</v>
      </c>
      <c r="D205" s="141">
        <f ca="1">IFERROR(__xludf.DUMMYFUNCTION("""COMPUTED_VALUE"""),178.36)</f>
        <v>178.36</v>
      </c>
      <c r="E205" s="141">
        <f ca="1">IFERROR(__xludf.DUMMYFUNCTION("""COMPUTED_VALUE"""),174.21)</f>
        <v>174.21</v>
      </c>
      <c r="F205" s="141">
        <f ca="1">IFERROR(__xludf.DUMMYFUNCTION("""COMPUTED_VALUE"""),176.55)</f>
        <v>176.55</v>
      </c>
      <c r="G205" s="143">
        <f ca="1">IFERROR(__xludf.DUMMYFUNCTION("""COMPUTED_VALUE"""),101670886)</f>
        <v>101670886</v>
      </c>
      <c r="H205" s="26"/>
    </row>
    <row r="206" spans="1:8" ht="17.25" customHeight="1" x14ac:dyDescent="0.2">
      <c r="A206" s="26"/>
      <c r="B206" s="139">
        <f ca="1">IFERROR(__xludf.DUMMYFUNCTION("""COMPUTED_VALUE"""),45397.6666666666)</f>
        <v>45397.666666666599</v>
      </c>
      <c r="C206" s="141">
        <f ca="1">IFERROR(__xludf.DUMMYFUNCTION("""COMPUTED_VALUE"""),175.36)</f>
        <v>175.36</v>
      </c>
      <c r="D206" s="141">
        <f ca="1">IFERROR(__xludf.DUMMYFUNCTION("""COMPUTED_VALUE"""),176.63)</f>
        <v>176.63</v>
      </c>
      <c r="E206" s="141">
        <f ca="1">IFERROR(__xludf.DUMMYFUNCTION("""COMPUTED_VALUE"""),172.5)</f>
        <v>172.5</v>
      </c>
      <c r="F206" s="141">
        <f ca="1">IFERROR(__xludf.DUMMYFUNCTION("""COMPUTED_VALUE"""),172.69)</f>
        <v>172.69</v>
      </c>
      <c r="G206" s="143">
        <f ca="1">IFERROR(__xludf.DUMMYFUNCTION("""COMPUTED_VALUE"""),73531773)</f>
        <v>73531773</v>
      </c>
      <c r="H206" s="26"/>
    </row>
    <row r="207" spans="1:8" ht="17.25" customHeight="1" x14ac:dyDescent="0.2">
      <c r="A207" s="26"/>
      <c r="B207" s="139">
        <f ca="1">IFERROR(__xludf.DUMMYFUNCTION("""COMPUTED_VALUE"""),45398.6666666666)</f>
        <v>45398.666666666599</v>
      </c>
      <c r="C207" s="141">
        <f ca="1">IFERROR(__xludf.DUMMYFUNCTION("""COMPUTED_VALUE"""),171.75)</f>
        <v>171.75</v>
      </c>
      <c r="D207" s="141">
        <f ca="1">IFERROR(__xludf.DUMMYFUNCTION("""COMPUTED_VALUE"""),173.76)</f>
        <v>173.76</v>
      </c>
      <c r="E207" s="141">
        <f ca="1">IFERROR(__xludf.DUMMYFUNCTION("""COMPUTED_VALUE"""),168.27)</f>
        <v>168.27</v>
      </c>
      <c r="F207" s="141">
        <f ca="1">IFERROR(__xludf.DUMMYFUNCTION("""COMPUTED_VALUE"""),169.38)</f>
        <v>169.38</v>
      </c>
      <c r="G207" s="143">
        <f ca="1">IFERROR(__xludf.DUMMYFUNCTION("""COMPUTED_VALUE"""),73711235)</f>
        <v>73711235</v>
      </c>
      <c r="H207" s="26"/>
    </row>
    <row r="208" spans="1:8" ht="17.25" customHeight="1" x14ac:dyDescent="0.2">
      <c r="A208" s="26"/>
      <c r="B208" s="139">
        <f ca="1">IFERROR(__xludf.DUMMYFUNCTION("""COMPUTED_VALUE"""),45399.6666666666)</f>
        <v>45399.666666666599</v>
      </c>
      <c r="C208" s="141">
        <f ca="1">IFERROR(__xludf.DUMMYFUNCTION("""COMPUTED_VALUE"""),169.61)</f>
        <v>169.61</v>
      </c>
      <c r="D208" s="141">
        <f ca="1">IFERROR(__xludf.DUMMYFUNCTION("""COMPUTED_VALUE"""),170.65)</f>
        <v>170.65</v>
      </c>
      <c r="E208" s="141">
        <f ca="1">IFERROR(__xludf.DUMMYFUNCTION("""COMPUTED_VALUE"""),168)</f>
        <v>168</v>
      </c>
      <c r="F208" s="141">
        <f ca="1">IFERROR(__xludf.DUMMYFUNCTION("""COMPUTED_VALUE"""),168)</f>
        <v>168</v>
      </c>
      <c r="G208" s="143">
        <f ca="1">IFERROR(__xludf.DUMMYFUNCTION("""COMPUTED_VALUE"""),50901210)</f>
        <v>50901210</v>
      </c>
      <c r="H208" s="26"/>
    </row>
    <row r="209" spans="1:8" ht="17.25" customHeight="1" x14ac:dyDescent="0.2">
      <c r="A209" s="26"/>
      <c r="B209" s="139">
        <f ca="1">IFERROR(__xludf.DUMMYFUNCTION("""COMPUTED_VALUE"""),45400.6666666666)</f>
        <v>45400.666666666599</v>
      </c>
      <c r="C209" s="141">
        <f ca="1">IFERROR(__xludf.DUMMYFUNCTION("""COMPUTED_VALUE"""),168.03)</f>
        <v>168.03</v>
      </c>
      <c r="D209" s="141">
        <f ca="1">IFERROR(__xludf.DUMMYFUNCTION("""COMPUTED_VALUE"""),168.64)</f>
        <v>168.64</v>
      </c>
      <c r="E209" s="141">
        <f ca="1">IFERROR(__xludf.DUMMYFUNCTION("""COMPUTED_VALUE"""),166.55)</f>
        <v>166.55</v>
      </c>
      <c r="F209" s="141">
        <f ca="1">IFERROR(__xludf.DUMMYFUNCTION("""COMPUTED_VALUE"""),167.04)</f>
        <v>167.04</v>
      </c>
      <c r="G209" s="143">
        <f ca="1">IFERROR(__xludf.DUMMYFUNCTION("""COMPUTED_VALUE"""),43122903)</f>
        <v>43122903</v>
      </c>
      <c r="H209" s="26"/>
    </row>
    <row r="210" spans="1:8" ht="17.25" customHeight="1" x14ac:dyDescent="0.2">
      <c r="A210" s="26"/>
      <c r="B210" s="139">
        <f ca="1">IFERROR(__xludf.DUMMYFUNCTION("""COMPUTED_VALUE"""),45401.6666666666)</f>
        <v>45401.666666666599</v>
      </c>
      <c r="C210" s="141">
        <f ca="1">IFERROR(__xludf.DUMMYFUNCTION("""COMPUTED_VALUE"""),166.21)</f>
        <v>166.21</v>
      </c>
      <c r="D210" s="141">
        <f ca="1">IFERROR(__xludf.DUMMYFUNCTION("""COMPUTED_VALUE"""),166.4)</f>
        <v>166.4</v>
      </c>
      <c r="E210" s="141">
        <f ca="1">IFERROR(__xludf.DUMMYFUNCTION("""COMPUTED_VALUE"""),164.08)</f>
        <v>164.08</v>
      </c>
      <c r="F210" s="141">
        <f ca="1">IFERROR(__xludf.DUMMYFUNCTION("""COMPUTED_VALUE"""),165)</f>
        <v>165</v>
      </c>
      <c r="G210" s="143">
        <f ca="1">IFERROR(__xludf.DUMMYFUNCTION("""COMPUTED_VALUE"""),68149377)</f>
        <v>68149377</v>
      </c>
      <c r="H210" s="26"/>
    </row>
    <row r="211" spans="1:8" ht="17.25" customHeight="1" x14ac:dyDescent="0.2">
      <c r="A211" s="26"/>
      <c r="B211" s="139">
        <f ca="1">IFERROR(__xludf.DUMMYFUNCTION("""COMPUTED_VALUE"""),45404.6666666666)</f>
        <v>45404.666666666599</v>
      </c>
      <c r="C211" s="141">
        <f ca="1">IFERROR(__xludf.DUMMYFUNCTION("""COMPUTED_VALUE"""),165.52)</f>
        <v>165.52</v>
      </c>
      <c r="D211" s="141">
        <f ca="1">IFERROR(__xludf.DUMMYFUNCTION("""COMPUTED_VALUE"""),167.26)</f>
        <v>167.26</v>
      </c>
      <c r="E211" s="141">
        <f ca="1">IFERROR(__xludf.DUMMYFUNCTION("""COMPUTED_VALUE"""),164.77)</f>
        <v>164.77</v>
      </c>
      <c r="F211" s="141">
        <f ca="1">IFERROR(__xludf.DUMMYFUNCTION("""COMPUTED_VALUE"""),165.84)</f>
        <v>165.84</v>
      </c>
      <c r="G211" s="143">
        <f ca="1">IFERROR(__xludf.DUMMYFUNCTION("""COMPUTED_VALUE"""),48116443)</f>
        <v>48116443</v>
      </c>
      <c r="H211" s="26"/>
    </row>
    <row r="212" spans="1:8" ht="17.25" customHeight="1" x14ac:dyDescent="0.2">
      <c r="A212" s="26"/>
      <c r="B212" s="139">
        <f ca="1">IFERROR(__xludf.DUMMYFUNCTION("""COMPUTED_VALUE"""),45405.6666666666)</f>
        <v>45405.666666666599</v>
      </c>
      <c r="C212" s="141">
        <f ca="1">IFERROR(__xludf.DUMMYFUNCTION("""COMPUTED_VALUE"""),165.35)</f>
        <v>165.35</v>
      </c>
      <c r="D212" s="141">
        <f ca="1">IFERROR(__xludf.DUMMYFUNCTION("""COMPUTED_VALUE"""),167.05)</f>
        <v>167.05</v>
      </c>
      <c r="E212" s="141">
        <f ca="1">IFERROR(__xludf.DUMMYFUNCTION("""COMPUTED_VALUE"""),164.92)</f>
        <v>164.92</v>
      </c>
      <c r="F212" s="141">
        <f ca="1">IFERROR(__xludf.DUMMYFUNCTION("""COMPUTED_VALUE"""),166.9)</f>
        <v>166.9</v>
      </c>
      <c r="G212" s="143">
        <f ca="1">IFERROR(__xludf.DUMMYFUNCTION("""COMPUTED_VALUE"""),49537761)</f>
        <v>49537761</v>
      </c>
      <c r="H212" s="26"/>
    </row>
    <row r="213" spans="1:8" ht="17.25" customHeight="1" x14ac:dyDescent="0.2">
      <c r="A213" s="26"/>
      <c r="B213" s="139">
        <f ca="1">IFERROR(__xludf.DUMMYFUNCTION("""COMPUTED_VALUE"""),45406.6666666666)</f>
        <v>45406.666666666599</v>
      </c>
      <c r="C213" s="141">
        <f ca="1">IFERROR(__xludf.DUMMYFUNCTION("""COMPUTED_VALUE"""),166.54)</f>
        <v>166.54</v>
      </c>
      <c r="D213" s="141">
        <f ca="1">IFERROR(__xludf.DUMMYFUNCTION("""COMPUTED_VALUE"""),169.3)</f>
        <v>169.3</v>
      </c>
      <c r="E213" s="141">
        <f ca="1">IFERROR(__xludf.DUMMYFUNCTION("""COMPUTED_VALUE"""),166.21)</f>
        <v>166.21</v>
      </c>
      <c r="F213" s="141">
        <f ca="1">IFERROR(__xludf.DUMMYFUNCTION("""COMPUTED_VALUE"""),169.02)</f>
        <v>169.02</v>
      </c>
      <c r="G213" s="143">
        <f ca="1">IFERROR(__xludf.DUMMYFUNCTION("""COMPUTED_VALUE"""),48251835)</f>
        <v>48251835</v>
      </c>
      <c r="H213" s="26"/>
    </row>
    <row r="214" spans="1:8" ht="17.25" customHeight="1" x14ac:dyDescent="0.2">
      <c r="A214" s="26"/>
      <c r="B214" s="139">
        <f ca="1">IFERROR(__xludf.DUMMYFUNCTION("""COMPUTED_VALUE"""),45407.6666666666)</f>
        <v>45407.666666666599</v>
      </c>
      <c r="C214" s="141">
        <f ca="1">IFERROR(__xludf.DUMMYFUNCTION("""COMPUTED_VALUE"""),169.53)</f>
        <v>169.53</v>
      </c>
      <c r="D214" s="141">
        <f ca="1">IFERROR(__xludf.DUMMYFUNCTION("""COMPUTED_VALUE"""),170.61)</f>
        <v>170.61</v>
      </c>
      <c r="E214" s="141">
        <f ca="1">IFERROR(__xludf.DUMMYFUNCTION("""COMPUTED_VALUE"""),168.15)</f>
        <v>168.15</v>
      </c>
      <c r="F214" s="141">
        <f ca="1">IFERROR(__xludf.DUMMYFUNCTION("""COMPUTED_VALUE"""),169.89)</f>
        <v>169.89</v>
      </c>
      <c r="G214" s="143">
        <f ca="1">IFERROR(__xludf.DUMMYFUNCTION("""COMPUTED_VALUE"""),50558329)</f>
        <v>50558329</v>
      </c>
      <c r="H214" s="26"/>
    </row>
    <row r="215" spans="1:8" ht="17.25" customHeight="1" x14ac:dyDescent="0.2">
      <c r="A215" s="26"/>
      <c r="B215" s="139">
        <f ca="1">IFERROR(__xludf.DUMMYFUNCTION("""COMPUTED_VALUE"""),45408.6666666666)</f>
        <v>45408.666666666599</v>
      </c>
      <c r="C215" s="141">
        <f ca="1">IFERROR(__xludf.DUMMYFUNCTION("""COMPUTED_VALUE"""),169.88)</f>
        <v>169.88</v>
      </c>
      <c r="D215" s="141">
        <f ca="1">IFERROR(__xludf.DUMMYFUNCTION("""COMPUTED_VALUE"""),171.34)</f>
        <v>171.34</v>
      </c>
      <c r="E215" s="141">
        <f ca="1">IFERROR(__xludf.DUMMYFUNCTION("""COMPUTED_VALUE"""),169.18)</f>
        <v>169.18</v>
      </c>
      <c r="F215" s="141">
        <f ca="1">IFERROR(__xludf.DUMMYFUNCTION("""COMPUTED_VALUE"""),169.3)</f>
        <v>169.3</v>
      </c>
      <c r="G215" s="143">
        <f ca="1">IFERROR(__xludf.DUMMYFUNCTION("""COMPUTED_VALUE"""),44838354)</f>
        <v>44838354</v>
      </c>
      <c r="H215" s="26"/>
    </row>
    <row r="216" spans="1:8" ht="17.25" customHeight="1" x14ac:dyDescent="0.2">
      <c r="A216" s="26"/>
      <c r="B216" s="139">
        <f ca="1">IFERROR(__xludf.DUMMYFUNCTION("""COMPUTED_VALUE"""),45411.6666666666)</f>
        <v>45411.666666666599</v>
      </c>
      <c r="C216" s="141">
        <f ca="1">IFERROR(__xludf.DUMMYFUNCTION("""COMPUTED_VALUE"""),173.37)</f>
        <v>173.37</v>
      </c>
      <c r="D216" s="141">
        <f ca="1">IFERROR(__xludf.DUMMYFUNCTION("""COMPUTED_VALUE"""),176.03)</f>
        <v>176.03</v>
      </c>
      <c r="E216" s="141">
        <f ca="1">IFERROR(__xludf.DUMMYFUNCTION("""COMPUTED_VALUE"""),173.1)</f>
        <v>173.1</v>
      </c>
      <c r="F216" s="141">
        <f ca="1">IFERROR(__xludf.DUMMYFUNCTION("""COMPUTED_VALUE"""),173.5)</f>
        <v>173.5</v>
      </c>
      <c r="G216" s="143">
        <f ca="1">IFERROR(__xludf.DUMMYFUNCTION("""COMPUTED_VALUE"""),68169419)</f>
        <v>68169419</v>
      </c>
      <c r="H216" s="26"/>
    </row>
    <row r="217" spans="1:8" ht="17.25" customHeight="1" x14ac:dyDescent="0.2">
      <c r="A217" s="26"/>
      <c r="B217" s="139">
        <f ca="1">IFERROR(__xludf.DUMMYFUNCTION("""COMPUTED_VALUE"""),45412.6666666666)</f>
        <v>45412.666666666599</v>
      </c>
      <c r="C217" s="141">
        <f ca="1">IFERROR(__xludf.DUMMYFUNCTION("""COMPUTED_VALUE"""),173.33)</f>
        <v>173.33</v>
      </c>
      <c r="D217" s="141">
        <f ca="1">IFERROR(__xludf.DUMMYFUNCTION("""COMPUTED_VALUE"""),174.99)</f>
        <v>174.99</v>
      </c>
      <c r="E217" s="141">
        <f ca="1">IFERROR(__xludf.DUMMYFUNCTION("""COMPUTED_VALUE"""),170)</f>
        <v>170</v>
      </c>
      <c r="F217" s="141">
        <f ca="1">IFERROR(__xludf.DUMMYFUNCTION("""COMPUTED_VALUE"""),170.33)</f>
        <v>170.33</v>
      </c>
      <c r="G217" s="143">
        <f ca="1">IFERROR(__xludf.DUMMYFUNCTION("""COMPUTED_VALUE"""),65934776)</f>
        <v>65934776</v>
      </c>
      <c r="H217" s="26"/>
    </row>
    <row r="218" spans="1:8" ht="17.25" customHeight="1" x14ac:dyDescent="0.2">
      <c r="A218" s="26"/>
      <c r="B218" s="139">
        <f ca="1">IFERROR(__xludf.DUMMYFUNCTION("""COMPUTED_VALUE"""),45413.6666666666)</f>
        <v>45413.666666666599</v>
      </c>
      <c r="C218" s="141">
        <f ca="1">IFERROR(__xludf.DUMMYFUNCTION("""COMPUTED_VALUE"""),169.58)</f>
        <v>169.58</v>
      </c>
      <c r="D218" s="141">
        <f ca="1">IFERROR(__xludf.DUMMYFUNCTION("""COMPUTED_VALUE"""),172.71)</f>
        <v>172.71</v>
      </c>
      <c r="E218" s="141">
        <f ca="1">IFERROR(__xludf.DUMMYFUNCTION("""COMPUTED_VALUE"""),169.11)</f>
        <v>169.11</v>
      </c>
      <c r="F218" s="141">
        <f ca="1">IFERROR(__xludf.DUMMYFUNCTION("""COMPUTED_VALUE"""),169.3)</f>
        <v>169.3</v>
      </c>
      <c r="G218" s="143">
        <f ca="1">IFERROR(__xludf.DUMMYFUNCTION("""COMPUTED_VALUE"""),50383147)</f>
        <v>50383147</v>
      </c>
      <c r="H218" s="26"/>
    </row>
    <row r="219" spans="1:8" ht="17.25" customHeight="1" x14ac:dyDescent="0.2">
      <c r="A219" s="26"/>
      <c r="B219" s="139">
        <f ca="1">IFERROR(__xludf.DUMMYFUNCTION("""COMPUTED_VALUE"""),45414.6666666666)</f>
        <v>45414.666666666599</v>
      </c>
      <c r="C219" s="141">
        <f ca="1">IFERROR(__xludf.DUMMYFUNCTION("""COMPUTED_VALUE"""),172.51)</f>
        <v>172.51</v>
      </c>
      <c r="D219" s="141">
        <f ca="1">IFERROR(__xludf.DUMMYFUNCTION("""COMPUTED_VALUE"""),173.42)</f>
        <v>173.42</v>
      </c>
      <c r="E219" s="141">
        <f ca="1">IFERROR(__xludf.DUMMYFUNCTION("""COMPUTED_VALUE"""),170.89)</f>
        <v>170.89</v>
      </c>
      <c r="F219" s="141">
        <f ca="1">IFERROR(__xludf.DUMMYFUNCTION("""COMPUTED_VALUE"""),173.03)</f>
        <v>173.03</v>
      </c>
      <c r="G219" s="143">
        <f ca="1">IFERROR(__xludf.DUMMYFUNCTION("""COMPUTED_VALUE"""),94214915)</f>
        <v>94214915</v>
      </c>
      <c r="H219" s="26"/>
    </row>
    <row r="220" spans="1:8" ht="17.25" customHeight="1" x14ac:dyDescent="0.2">
      <c r="A220" s="26"/>
      <c r="B220" s="139">
        <f ca="1">IFERROR(__xludf.DUMMYFUNCTION("""COMPUTED_VALUE"""),45415.6666666666)</f>
        <v>45415.666666666599</v>
      </c>
      <c r="C220" s="141">
        <f ca="1">IFERROR(__xludf.DUMMYFUNCTION("""COMPUTED_VALUE"""),186.65)</f>
        <v>186.65</v>
      </c>
      <c r="D220" s="141">
        <f ca="1">IFERROR(__xludf.DUMMYFUNCTION("""COMPUTED_VALUE"""),187)</f>
        <v>187</v>
      </c>
      <c r="E220" s="141">
        <f ca="1">IFERROR(__xludf.DUMMYFUNCTION("""COMPUTED_VALUE"""),182.66)</f>
        <v>182.66</v>
      </c>
      <c r="F220" s="141">
        <f ca="1">IFERROR(__xludf.DUMMYFUNCTION("""COMPUTED_VALUE"""),183.38)</f>
        <v>183.38</v>
      </c>
      <c r="G220" s="143">
        <f ca="1">IFERROR(__xludf.DUMMYFUNCTION("""COMPUTED_VALUE"""),163224109)</f>
        <v>163224109</v>
      </c>
      <c r="H220" s="26"/>
    </row>
    <row r="221" spans="1:8" ht="17.25" customHeight="1" x14ac:dyDescent="0.2">
      <c r="A221" s="26"/>
      <c r="B221" s="139">
        <f ca="1">IFERROR(__xludf.DUMMYFUNCTION("""COMPUTED_VALUE"""),45418.6666666666)</f>
        <v>45418.666666666599</v>
      </c>
      <c r="C221" s="141">
        <f ca="1">IFERROR(__xludf.DUMMYFUNCTION("""COMPUTED_VALUE"""),182.35)</f>
        <v>182.35</v>
      </c>
      <c r="D221" s="141">
        <f ca="1">IFERROR(__xludf.DUMMYFUNCTION("""COMPUTED_VALUE"""),184.2)</f>
        <v>184.2</v>
      </c>
      <c r="E221" s="141">
        <f ca="1">IFERROR(__xludf.DUMMYFUNCTION("""COMPUTED_VALUE"""),180.42)</f>
        <v>180.42</v>
      </c>
      <c r="F221" s="141">
        <f ca="1">IFERROR(__xludf.DUMMYFUNCTION("""COMPUTED_VALUE"""),181.71)</f>
        <v>181.71</v>
      </c>
      <c r="G221" s="143">
        <f ca="1">IFERROR(__xludf.DUMMYFUNCTION("""COMPUTED_VALUE"""),78569667)</f>
        <v>78569667</v>
      </c>
      <c r="H221" s="26"/>
    </row>
    <row r="222" spans="1:8" ht="17.25" customHeight="1" x14ac:dyDescent="0.2">
      <c r="A222" s="26"/>
      <c r="B222" s="139">
        <f ca="1">IFERROR(__xludf.DUMMYFUNCTION("""COMPUTED_VALUE"""),45419.6666666666)</f>
        <v>45419.666666666599</v>
      </c>
      <c r="C222" s="141">
        <f ca="1">IFERROR(__xludf.DUMMYFUNCTION("""COMPUTED_VALUE"""),183.45)</f>
        <v>183.45</v>
      </c>
      <c r="D222" s="141">
        <f ca="1">IFERROR(__xludf.DUMMYFUNCTION("""COMPUTED_VALUE"""),184.9)</f>
        <v>184.9</v>
      </c>
      <c r="E222" s="141">
        <f ca="1">IFERROR(__xludf.DUMMYFUNCTION("""COMPUTED_VALUE"""),181.32)</f>
        <v>181.32</v>
      </c>
      <c r="F222" s="141">
        <f ca="1">IFERROR(__xludf.DUMMYFUNCTION("""COMPUTED_VALUE"""),182.4)</f>
        <v>182.4</v>
      </c>
      <c r="G222" s="143">
        <f ca="1">IFERROR(__xludf.DUMMYFUNCTION("""COMPUTED_VALUE"""),77305771)</f>
        <v>77305771</v>
      </c>
      <c r="H222" s="26"/>
    </row>
    <row r="223" spans="1:8" ht="17.25" customHeight="1" x14ac:dyDescent="0.2">
      <c r="A223" s="26"/>
      <c r="B223" s="139">
        <f ca="1">IFERROR(__xludf.DUMMYFUNCTION("""COMPUTED_VALUE"""),45420.6666666666)</f>
        <v>45420.666666666599</v>
      </c>
      <c r="C223" s="141">
        <f ca="1">IFERROR(__xludf.DUMMYFUNCTION("""COMPUTED_VALUE"""),182.85)</f>
        <v>182.85</v>
      </c>
      <c r="D223" s="141">
        <f ca="1">IFERROR(__xludf.DUMMYFUNCTION("""COMPUTED_VALUE"""),183.07)</f>
        <v>183.07</v>
      </c>
      <c r="E223" s="141">
        <f ca="1">IFERROR(__xludf.DUMMYFUNCTION("""COMPUTED_VALUE"""),181.45)</f>
        <v>181.45</v>
      </c>
      <c r="F223" s="141">
        <f ca="1">IFERROR(__xludf.DUMMYFUNCTION("""COMPUTED_VALUE"""),182.74)</f>
        <v>182.74</v>
      </c>
      <c r="G223" s="143">
        <f ca="1">IFERROR(__xludf.DUMMYFUNCTION("""COMPUTED_VALUE"""),45057087)</f>
        <v>45057087</v>
      </c>
      <c r="H223" s="26"/>
    </row>
    <row r="224" spans="1:8" ht="17.25" customHeight="1" x14ac:dyDescent="0.2">
      <c r="A224" s="26"/>
      <c r="B224" s="139">
        <f ca="1">IFERROR(__xludf.DUMMYFUNCTION("""COMPUTED_VALUE"""),45421.6666666666)</f>
        <v>45421.666666666599</v>
      </c>
      <c r="C224" s="141">
        <f ca="1">IFERROR(__xludf.DUMMYFUNCTION("""COMPUTED_VALUE"""),182.56)</f>
        <v>182.56</v>
      </c>
      <c r="D224" s="141">
        <f ca="1">IFERROR(__xludf.DUMMYFUNCTION("""COMPUTED_VALUE"""),184.66)</f>
        <v>184.66</v>
      </c>
      <c r="E224" s="141">
        <f ca="1">IFERROR(__xludf.DUMMYFUNCTION("""COMPUTED_VALUE"""),182.11)</f>
        <v>182.11</v>
      </c>
      <c r="F224" s="141">
        <f ca="1">IFERROR(__xludf.DUMMYFUNCTION("""COMPUTED_VALUE"""),184.57)</f>
        <v>184.57</v>
      </c>
      <c r="G224" s="143">
        <f ca="1">IFERROR(__xludf.DUMMYFUNCTION("""COMPUTED_VALUE"""),48982972)</f>
        <v>48982972</v>
      </c>
      <c r="H224" s="26"/>
    </row>
    <row r="225" spans="1:8" ht="17.25" customHeight="1" x14ac:dyDescent="0.2">
      <c r="A225" s="26"/>
      <c r="B225" s="139">
        <f ca="1">IFERROR(__xludf.DUMMYFUNCTION("""COMPUTED_VALUE"""),45422.6666666666)</f>
        <v>45422.666666666599</v>
      </c>
      <c r="C225" s="141">
        <f ca="1">IFERROR(__xludf.DUMMYFUNCTION("""COMPUTED_VALUE"""),184.9)</f>
        <v>184.9</v>
      </c>
      <c r="D225" s="141">
        <f ca="1">IFERROR(__xludf.DUMMYFUNCTION("""COMPUTED_VALUE"""),185.09)</f>
        <v>185.09</v>
      </c>
      <c r="E225" s="141">
        <f ca="1">IFERROR(__xludf.DUMMYFUNCTION("""COMPUTED_VALUE"""),182.13)</f>
        <v>182.13</v>
      </c>
      <c r="F225" s="141">
        <f ca="1">IFERROR(__xludf.DUMMYFUNCTION("""COMPUTED_VALUE"""),183.05)</f>
        <v>183.05</v>
      </c>
      <c r="G225" s="143">
        <f ca="1">IFERROR(__xludf.DUMMYFUNCTION("""COMPUTED_VALUE"""),50759496)</f>
        <v>50759496</v>
      </c>
      <c r="H225" s="26"/>
    </row>
    <row r="226" spans="1:8" ht="17.25" customHeight="1" x14ac:dyDescent="0.2">
      <c r="A226" s="26"/>
      <c r="B226" s="139">
        <f ca="1">IFERROR(__xludf.DUMMYFUNCTION("""COMPUTED_VALUE"""),45425.6666666666)</f>
        <v>45425.666666666599</v>
      </c>
      <c r="C226" s="141">
        <f ca="1">IFERROR(__xludf.DUMMYFUNCTION("""COMPUTED_VALUE"""),185.44)</f>
        <v>185.44</v>
      </c>
      <c r="D226" s="141">
        <f ca="1">IFERROR(__xludf.DUMMYFUNCTION("""COMPUTED_VALUE"""),187.1)</f>
        <v>187.1</v>
      </c>
      <c r="E226" s="141">
        <f ca="1">IFERROR(__xludf.DUMMYFUNCTION("""COMPUTED_VALUE"""),184.62)</f>
        <v>184.62</v>
      </c>
      <c r="F226" s="141">
        <f ca="1">IFERROR(__xludf.DUMMYFUNCTION("""COMPUTED_VALUE"""),186.28)</f>
        <v>186.28</v>
      </c>
      <c r="G226" s="143">
        <f ca="1">IFERROR(__xludf.DUMMYFUNCTION("""COMPUTED_VALUE"""),72044809)</f>
        <v>72044809</v>
      </c>
      <c r="H226" s="26"/>
    </row>
    <row r="227" spans="1:8" ht="17.25" customHeight="1" x14ac:dyDescent="0.2">
      <c r="A227" s="26"/>
      <c r="B227" s="139">
        <f ca="1">IFERROR(__xludf.DUMMYFUNCTION("""COMPUTED_VALUE"""),45426.6666666666)</f>
        <v>45426.666666666599</v>
      </c>
      <c r="C227" s="141">
        <f ca="1">IFERROR(__xludf.DUMMYFUNCTION("""COMPUTED_VALUE"""),187.51)</f>
        <v>187.51</v>
      </c>
      <c r="D227" s="141">
        <f ca="1">IFERROR(__xludf.DUMMYFUNCTION("""COMPUTED_VALUE"""),188.3)</f>
        <v>188.3</v>
      </c>
      <c r="E227" s="141">
        <f ca="1">IFERROR(__xludf.DUMMYFUNCTION("""COMPUTED_VALUE"""),186.29)</f>
        <v>186.29</v>
      </c>
      <c r="F227" s="141">
        <f ca="1">IFERROR(__xludf.DUMMYFUNCTION("""COMPUTED_VALUE"""),187.43)</f>
        <v>187.43</v>
      </c>
      <c r="G227" s="143">
        <f ca="1">IFERROR(__xludf.DUMMYFUNCTION("""COMPUTED_VALUE"""),52393619)</f>
        <v>52393619</v>
      </c>
      <c r="H227" s="26"/>
    </row>
    <row r="228" spans="1:8" ht="17.25" customHeight="1" x14ac:dyDescent="0.2">
      <c r="A228" s="26"/>
      <c r="B228" s="139">
        <f ca="1">IFERROR(__xludf.DUMMYFUNCTION("""COMPUTED_VALUE"""),45427.6666666666)</f>
        <v>45427.666666666599</v>
      </c>
      <c r="C228" s="141">
        <f ca="1">IFERROR(__xludf.DUMMYFUNCTION("""COMPUTED_VALUE"""),187.91)</f>
        <v>187.91</v>
      </c>
      <c r="D228" s="141">
        <f ca="1">IFERROR(__xludf.DUMMYFUNCTION("""COMPUTED_VALUE"""),190.65)</f>
        <v>190.65</v>
      </c>
      <c r="E228" s="141">
        <f ca="1">IFERROR(__xludf.DUMMYFUNCTION("""COMPUTED_VALUE"""),187.37)</f>
        <v>187.37</v>
      </c>
      <c r="F228" s="141">
        <f ca="1">IFERROR(__xludf.DUMMYFUNCTION("""COMPUTED_VALUE"""),189.72)</f>
        <v>189.72</v>
      </c>
      <c r="G228" s="143">
        <f ca="1">IFERROR(__xludf.DUMMYFUNCTION("""COMPUTED_VALUE"""),70399988)</f>
        <v>70399988</v>
      </c>
      <c r="H228" s="26"/>
    </row>
    <row r="229" spans="1:8" ht="17.25" customHeight="1" x14ac:dyDescent="0.2">
      <c r="A229" s="26"/>
      <c r="B229" s="139">
        <f ca="1">IFERROR(__xludf.DUMMYFUNCTION("""COMPUTED_VALUE"""),45428.6666666666)</f>
        <v>45428.666666666599</v>
      </c>
      <c r="C229" s="141">
        <f ca="1">IFERROR(__xludf.DUMMYFUNCTION("""COMPUTED_VALUE"""),190.47)</f>
        <v>190.47</v>
      </c>
      <c r="D229" s="141">
        <f ca="1">IFERROR(__xludf.DUMMYFUNCTION("""COMPUTED_VALUE"""),191.1)</f>
        <v>191.1</v>
      </c>
      <c r="E229" s="141">
        <f ca="1">IFERROR(__xludf.DUMMYFUNCTION("""COMPUTED_VALUE"""),189.66)</f>
        <v>189.66</v>
      </c>
      <c r="F229" s="141">
        <f ca="1">IFERROR(__xludf.DUMMYFUNCTION("""COMPUTED_VALUE"""),189.84)</f>
        <v>189.84</v>
      </c>
      <c r="G229" s="143">
        <f ca="1">IFERROR(__xludf.DUMMYFUNCTION("""COMPUTED_VALUE"""),52845230)</f>
        <v>52845230</v>
      </c>
      <c r="H229" s="26"/>
    </row>
    <row r="230" spans="1:8" ht="17.25" customHeight="1" x14ac:dyDescent="0.2">
      <c r="A230" s="26"/>
      <c r="B230" s="139">
        <f ca="1">IFERROR(__xludf.DUMMYFUNCTION("""COMPUTED_VALUE"""),45429.6666666666)</f>
        <v>45429.666666666599</v>
      </c>
      <c r="C230" s="141">
        <f ca="1">IFERROR(__xludf.DUMMYFUNCTION("""COMPUTED_VALUE"""),189.51)</f>
        <v>189.51</v>
      </c>
      <c r="D230" s="141">
        <f ca="1">IFERROR(__xludf.DUMMYFUNCTION("""COMPUTED_VALUE"""),190.81)</f>
        <v>190.81</v>
      </c>
      <c r="E230" s="141">
        <f ca="1">IFERROR(__xludf.DUMMYFUNCTION("""COMPUTED_VALUE"""),189.18)</f>
        <v>189.18</v>
      </c>
      <c r="F230" s="141">
        <f ca="1">IFERROR(__xludf.DUMMYFUNCTION("""COMPUTED_VALUE"""),189.87)</f>
        <v>189.87</v>
      </c>
      <c r="G230" s="143">
        <f ca="1">IFERROR(__xludf.DUMMYFUNCTION("""COMPUTED_VALUE"""),41282925)</f>
        <v>41282925</v>
      </c>
      <c r="H230" s="26"/>
    </row>
    <row r="231" spans="1:8" ht="17.25" customHeight="1" x14ac:dyDescent="0.2">
      <c r="A231" s="26"/>
      <c r="B231" s="139">
        <f ca="1">IFERROR(__xludf.DUMMYFUNCTION("""COMPUTED_VALUE"""),45432.6666666666)</f>
        <v>45432.666666666599</v>
      </c>
      <c r="C231" s="141">
        <f ca="1">IFERROR(__xludf.DUMMYFUNCTION("""COMPUTED_VALUE"""),189.35)</f>
        <v>189.35</v>
      </c>
      <c r="D231" s="141">
        <f ca="1">IFERROR(__xludf.DUMMYFUNCTION("""COMPUTED_VALUE"""),191.92)</f>
        <v>191.92</v>
      </c>
      <c r="E231" s="141">
        <f ca="1">IFERROR(__xludf.DUMMYFUNCTION("""COMPUTED_VALUE"""),189.01)</f>
        <v>189.01</v>
      </c>
      <c r="F231" s="141">
        <f ca="1">IFERROR(__xludf.DUMMYFUNCTION("""COMPUTED_VALUE"""),191.04)</f>
        <v>191.04</v>
      </c>
      <c r="G231" s="143">
        <f ca="1">IFERROR(__xludf.DUMMYFUNCTION("""COMPUTED_VALUE"""),44361275)</f>
        <v>44361275</v>
      </c>
      <c r="H231" s="26"/>
    </row>
    <row r="232" spans="1:8" ht="17.25" customHeight="1" x14ac:dyDescent="0.2">
      <c r="A232" s="26"/>
      <c r="B232" s="139">
        <f ca="1">IFERROR(__xludf.DUMMYFUNCTION("""COMPUTED_VALUE"""),45433.6666666666)</f>
        <v>45433.666666666599</v>
      </c>
      <c r="C232" s="141">
        <f ca="1">IFERROR(__xludf.DUMMYFUNCTION("""COMPUTED_VALUE"""),191.09)</f>
        <v>191.09</v>
      </c>
      <c r="D232" s="141">
        <f ca="1">IFERROR(__xludf.DUMMYFUNCTION("""COMPUTED_VALUE"""),192.73)</f>
        <v>192.73</v>
      </c>
      <c r="E232" s="141">
        <f ca="1">IFERROR(__xludf.DUMMYFUNCTION("""COMPUTED_VALUE"""),190.92)</f>
        <v>190.92</v>
      </c>
      <c r="F232" s="141">
        <f ca="1">IFERROR(__xludf.DUMMYFUNCTION("""COMPUTED_VALUE"""),192.35)</f>
        <v>192.35</v>
      </c>
      <c r="G232" s="143">
        <f ca="1">IFERROR(__xludf.DUMMYFUNCTION("""COMPUTED_VALUE"""),42309401)</f>
        <v>42309401</v>
      </c>
      <c r="H232" s="26"/>
    </row>
    <row r="233" spans="1:8" ht="17.25" customHeight="1" x14ac:dyDescent="0.2">
      <c r="A233" s="26"/>
      <c r="B233" s="139">
        <f ca="1">IFERROR(__xludf.DUMMYFUNCTION("""COMPUTED_VALUE"""),45434.6666666666)</f>
        <v>45434.666666666599</v>
      </c>
      <c r="C233" s="141">
        <f ca="1">IFERROR(__xludf.DUMMYFUNCTION("""COMPUTED_VALUE"""),192.27)</f>
        <v>192.27</v>
      </c>
      <c r="D233" s="141">
        <f ca="1">IFERROR(__xludf.DUMMYFUNCTION("""COMPUTED_VALUE"""),192.82)</f>
        <v>192.82</v>
      </c>
      <c r="E233" s="141">
        <f ca="1">IFERROR(__xludf.DUMMYFUNCTION("""COMPUTED_VALUE"""),190.27)</f>
        <v>190.27</v>
      </c>
      <c r="F233" s="141">
        <f ca="1">IFERROR(__xludf.DUMMYFUNCTION("""COMPUTED_VALUE"""),190.9)</f>
        <v>190.9</v>
      </c>
      <c r="G233" s="143">
        <f ca="1">IFERROR(__xludf.DUMMYFUNCTION("""COMPUTED_VALUE"""),34648547)</f>
        <v>34648547</v>
      </c>
      <c r="H233" s="26"/>
    </row>
    <row r="234" spans="1:8" ht="17.25" customHeight="1" x14ac:dyDescent="0.2">
      <c r="A234" s="26"/>
      <c r="B234" s="139">
        <f ca="1">IFERROR(__xludf.DUMMYFUNCTION("""COMPUTED_VALUE"""),45435.6666666666)</f>
        <v>45435.666666666599</v>
      </c>
      <c r="C234" s="141">
        <f ca="1">IFERROR(__xludf.DUMMYFUNCTION("""COMPUTED_VALUE"""),190.98)</f>
        <v>190.98</v>
      </c>
      <c r="D234" s="141">
        <f ca="1">IFERROR(__xludf.DUMMYFUNCTION("""COMPUTED_VALUE"""),191)</f>
        <v>191</v>
      </c>
      <c r="E234" s="141">
        <f ca="1">IFERROR(__xludf.DUMMYFUNCTION("""COMPUTED_VALUE"""),186.63)</f>
        <v>186.63</v>
      </c>
      <c r="F234" s="141">
        <f ca="1">IFERROR(__xludf.DUMMYFUNCTION("""COMPUTED_VALUE"""),186.88)</f>
        <v>186.88</v>
      </c>
      <c r="G234" s="143">
        <f ca="1">IFERROR(__xludf.DUMMYFUNCTION("""COMPUTED_VALUE"""),51005924)</f>
        <v>51005924</v>
      </c>
      <c r="H234" s="26"/>
    </row>
    <row r="235" spans="1:8" ht="17.25" customHeight="1" x14ac:dyDescent="0.2">
      <c r="A235" s="26"/>
      <c r="B235" s="139">
        <f ca="1">IFERROR(__xludf.DUMMYFUNCTION("""COMPUTED_VALUE"""),45436.6666666666)</f>
        <v>45436.666666666599</v>
      </c>
      <c r="C235" s="141">
        <f ca="1">IFERROR(__xludf.DUMMYFUNCTION("""COMPUTED_VALUE"""),188.82)</f>
        <v>188.82</v>
      </c>
      <c r="D235" s="141">
        <f ca="1">IFERROR(__xludf.DUMMYFUNCTION("""COMPUTED_VALUE"""),190.58)</f>
        <v>190.58</v>
      </c>
      <c r="E235" s="141">
        <f ca="1">IFERROR(__xludf.DUMMYFUNCTION("""COMPUTED_VALUE"""),188.04)</f>
        <v>188.04</v>
      </c>
      <c r="F235" s="141">
        <f ca="1">IFERROR(__xludf.DUMMYFUNCTION("""COMPUTED_VALUE"""),189.98)</f>
        <v>189.98</v>
      </c>
      <c r="G235" s="143">
        <f ca="1">IFERROR(__xludf.DUMMYFUNCTION("""COMPUTED_VALUE"""),36326975)</f>
        <v>36326975</v>
      </c>
      <c r="H235" s="26"/>
    </row>
    <row r="236" spans="1:8" ht="17.25" customHeight="1" x14ac:dyDescent="0.2">
      <c r="A236" s="26"/>
      <c r="B236" s="139">
        <f ca="1">IFERROR(__xludf.DUMMYFUNCTION("""COMPUTED_VALUE"""),45440.6666666666)</f>
        <v>45440.666666666599</v>
      </c>
      <c r="C236" s="141">
        <f ca="1">IFERROR(__xludf.DUMMYFUNCTION("""COMPUTED_VALUE"""),191.51)</f>
        <v>191.51</v>
      </c>
      <c r="D236" s="141">
        <f ca="1">IFERROR(__xludf.DUMMYFUNCTION("""COMPUTED_VALUE"""),193)</f>
        <v>193</v>
      </c>
      <c r="E236" s="141">
        <f ca="1">IFERROR(__xludf.DUMMYFUNCTION("""COMPUTED_VALUE"""),189.1)</f>
        <v>189.1</v>
      </c>
      <c r="F236" s="141">
        <f ca="1">IFERROR(__xludf.DUMMYFUNCTION("""COMPUTED_VALUE"""),189.99)</f>
        <v>189.99</v>
      </c>
      <c r="G236" s="143">
        <f ca="1">IFERROR(__xludf.DUMMYFUNCTION("""COMPUTED_VALUE"""),52280051)</f>
        <v>52280051</v>
      </c>
      <c r="H236" s="26"/>
    </row>
    <row r="237" spans="1:8" ht="17.25" customHeight="1" x14ac:dyDescent="0.2">
      <c r="A237" s="26"/>
      <c r="B237" s="139">
        <f ca="1">IFERROR(__xludf.DUMMYFUNCTION("""COMPUTED_VALUE"""),45441.6666666666)</f>
        <v>45441.666666666599</v>
      </c>
      <c r="C237" s="141">
        <f ca="1">IFERROR(__xludf.DUMMYFUNCTION("""COMPUTED_VALUE"""),189.61)</f>
        <v>189.61</v>
      </c>
      <c r="D237" s="141">
        <f ca="1">IFERROR(__xludf.DUMMYFUNCTION("""COMPUTED_VALUE"""),192.25)</f>
        <v>192.25</v>
      </c>
      <c r="E237" s="141">
        <f ca="1">IFERROR(__xludf.DUMMYFUNCTION("""COMPUTED_VALUE"""),189.51)</f>
        <v>189.51</v>
      </c>
      <c r="F237" s="141">
        <f ca="1">IFERROR(__xludf.DUMMYFUNCTION("""COMPUTED_VALUE"""),190.29)</f>
        <v>190.29</v>
      </c>
      <c r="G237" s="143">
        <f ca="1">IFERROR(__xludf.DUMMYFUNCTION("""COMPUTED_VALUE"""),53068016)</f>
        <v>53068016</v>
      </c>
      <c r="H237" s="26"/>
    </row>
    <row r="238" spans="1:8" ht="17.25" customHeight="1" x14ac:dyDescent="0.2">
      <c r="A238" s="26"/>
      <c r="B238" s="139">
        <f ca="1">IFERROR(__xludf.DUMMYFUNCTION("""COMPUTED_VALUE"""),45442.6666666666)</f>
        <v>45442.666666666599</v>
      </c>
      <c r="C238" s="141">
        <f ca="1">IFERROR(__xludf.DUMMYFUNCTION("""COMPUTED_VALUE"""),190.76)</f>
        <v>190.76</v>
      </c>
      <c r="D238" s="141">
        <f ca="1">IFERROR(__xludf.DUMMYFUNCTION("""COMPUTED_VALUE"""),192.18)</f>
        <v>192.18</v>
      </c>
      <c r="E238" s="141">
        <f ca="1">IFERROR(__xludf.DUMMYFUNCTION("""COMPUTED_VALUE"""),190.63)</f>
        <v>190.63</v>
      </c>
      <c r="F238" s="141">
        <f ca="1">IFERROR(__xludf.DUMMYFUNCTION("""COMPUTED_VALUE"""),191.29)</f>
        <v>191.29</v>
      </c>
      <c r="G238" s="143">
        <f ca="1">IFERROR(__xludf.DUMMYFUNCTION("""COMPUTED_VALUE"""),49947941)</f>
        <v>49947941</v>
      </c>
      <c r="H238" s="26"/>
    </row>
    <row r="239" spans="1:8" ht="17.25" customHeight="1" x14ac:dyDescent="0.2">
      <c r="A239" s="26"/>
      <c r="B239" s="139">
        <f ca="1">IFERROR(__xludf.DUMMYFUNCTION("""COMPUTED_VALUE"""),45443.6666666666)</f>
        <v>45443.666666666599</v>
      </c>
      <c r="C239" s="141">
        <f ca="1">IFERROR(__xludf.DUMMYFUNCTION("""COMPUTED_VALUE"""),191.44)</f>
        <v>191.44</v>
      </c>
      <c r="D239" s="141">
        <f ca="1">IFERROR(__xludf.DUMMYFUNCTION("""COMPUTED_VALUE"""),192.57)</f>
        <v>192.57</v>
      </c>
      <c r="E239" s="141">
        <f ca="1">IFERROR(__xludf.DUMMYFUNCTION("""COMPUTED_VALUE"""),189.91)</f>
        <v>189.91</v>
      </c>
      <c r="F239" s="141">
        <f ca="1">IFERROR(__xludf.DUMMYFUNCTION("""COMPUTED_VALUE"""),192.25)</f>
        <v>192.25</v>
      </c>
      <c r="G239" s="143">
        <f ca="1">IFERROR(__xludf.DUMMYFUNCTION("""COMPUTED_VALUE"""),75158277)</f>
        <v>75158277</v>
      </c>
      <c r="H239" s="26"/>
    </row>
    <row r="240" spans="1:8" ht="17.25" customHeight="1" x14ac:dyDescent="0.2">
      <c r="A240" s="26"/>
      <c r="B240" s="139">
        <f ca="1">IFERROR(__xludf.DUMMYFUNCTION("""COMPUTED_VALUE"""),45446.6666666666)</f>
        <v>45446.666666666599</v>
      </c>
      <c r="C240" s="141">
        <f ca="1">IFERROR(__xludf.DUMMYFUNCTION("""COMPUTED_VALUE"""),192.9)</f>
        <v>192.9</v>
      </c>
      <c r="D240" s="141">
        <f ca="1">IFERROR(__xludf.DUMMYFUNCTION("""COMPUTED_VALUE"""),194.99)</f>
        <v>194.99</v>
      </c>
      <c r="E240" s="141">
        <f ca="1">IFERROR(__xludf.DUMMYFUNCTION("""COMPUTED_VALUE"""),192.52)</f>
        <v>192.52</v>
      </c>
      <c r="F240" s="141">
        <f ca="1">IFERROR(__xludf.DUMMYFUNCTION("""COMPUTED_VALUE"""),194.03)</f>
        <v>194.03</v>
      </c>
      <c r="G240" s="143">
        <f ca="1">IFERROR(__xludf.DUMMYFUNCTION("""COMPUTED_VALUE"""),50080539)</f>
        <v>50080539</v>
      </c>
      <c r="H240" s="26"/>
    </row>
    <row r="241" spans="1:8" ht="17.25" customHeight="1" x14ac:dyDescent="0.2">
      <c r="A241" s="26"/>
      <c r="B241" s="139">
        <f ca="1">IFERROR(__xludf.DUMMYFUNCTION("""COMPUTED_VALUE"""),45447.6666666666)</f>
        <v>45447.666666666599</v>
      </c>
      <c r="C241" s="141">
        <f ca="1">IFERROR(__xludf.DUMMYFUNCTION("""COMPUTED_VALUE"""),194.64)</f>
        <v>194.64</v>
      </c>
      <c r="D241" s="141">
        <f ca="1">IFERROR(__xludf.DUMMYFUNCTION("""COMPUTED_VALUE"""),195.32)</f>
        <v>195.32</v>
      </c>
      <c r="E241" s="141">
        <f ca="1">IFERROR(__xludf.DUMMYFUNCTION("""COMPUTED_VALUE"""),193.03)</f>
        <v>193.03</v>
      </c>
      <c r="F241" s="141">
        <f ca="1">IFERROR(__xludf.DUMMYFUNCTION("""COMPUTED_VALUE"""),194.35)</f>
        <v>194.35</v>
      </c>
      <c r="G241" s="143">
        <f ca="1">IFERROR(__xludf.DUMMYFUNCTION("""COMPUTED_VALUE"""),47471445)</f>
        <v>47471445</v>
      </c>
      <c r="H241" s="26"/>
    </row>
    <row r="242" spans="1:8" ht="17.25" customHeight="1" x14ac:dyDescent="0.2">
      <c r="A242" s="26"/>
      <c r="B242" s="139">
        <f ca="1">IFERROR(__xludf.DUMMYFUNCTION("""COMPUTED_VALUE"""),45448.6666666666)</f>
        <v>45448.666666666599</v>
      </c>
      <c r="C242" s="141">
        <f ca="1">IFERROR(__xludf.DUMMYFUNCTION("""COMPUTED_VALUE"""),195.4)</f>
        <v>195.4</v>
      </c>
      <c r="D242" s="141">
        <f ca="1">IFERROR(__xludf.DUMMYFUNCTION("""COMPUTED_VALUE"""),196.9)</f>
        <v>196.9</v>
      </c>
      <c r="E242" s="141">
        <f ca="1">IFERROR(__xludf.DUMMYFUNCTION("""COMPUTED_VALUE"""),194.87)</f>
        <v>194.87</v>
      </c>
      <c r="F242" s="141">
        <f ca="1">IFERROR(__xludf.DUMMYFUNCTION("""COMPUTED_VALUE"""),195.87)</f>
        <v>195.87</v>
      </c>
      <c r="G242" s="143">
        <f ca="1">IFERROR(__xludf.DUMMYFUNCTION("""COMPUTED_VALUE"""),54156785)</f>
        <v>54156785</v>
      </c>
      <c r="H242" s="26"/>
    </row>
    <row r="243" spans="1:8" ht="17.25" customHeight="1" x14ac:dyDescent="0.2">
      <c r="A243" s="26"/>
      <c r="B243" s="139">
        <f ca="1">IFERROR(__xludf.DUMMYFUNCTION("""COMPUTED_VALUE"""),45449.6666666666)</f>
        <v>45449.666666666599</v>
      </c>
      <c r="C243" s="141">
        <f ca="1">IFERROR(__xludf.DUMMYFUNCTION("""COMPUTED_VALUE"""),195.69)</f>
        <v>195.69</v>
      </c>
      <c r="D243" s="141">
        <f ca="1">IFERROR(__xludf.DUMMYFUNCTION("""COMPUTED_VALUE"""),196.5)</f>
        <v>196.5</v>
      </c>
      <c r="E243" s="141">
        <f ca="1">IFERROR(__xludf.DUMMYFUNCTION("""COMPUTED_VALUE"""),194.17)</f>
        <v>194.17</v>
      </c>
      <c r="F243" s="141">
        <f ca="1">IFERROR(__xludf.DUMMYFUNCTION("""COMPUTED_VALUE"""),194.48)</f>
        <v>194.48</v>
      </c>
      <c r="G243" s="143">
        <f ca="1">IFERROR(__xludf.DUMMYFUNCTION("""COMPUTED_VALUE"""),41181753)</f>
        <v>41181753</v>
      </c>
      <c r="H243" s="26"/>
    </row>
    <row r="244" spans="1:8" ht="17.25" customHeight="1" x14ac:dyDescent="0.2">
      <c r="A244" s="26"/>
      <c r="B244" s="139">
        <f ca="1">IFERROR(__xludf.DUMMYFUNCTION("""COMPUTED_VALUE"""),45450.6666666666)</f>
        <v>45450.666666666599</v>
      </c>
      <c r="C244" s="141">
        <f ca="1">IFERROR(__xludf.DUMMYFUNCTION("""COMPUTED_VALUE"""),194.65)</f>
        <v>194.65</v>
      </c>
      <c r="D244" s="141">
        <f ca="1">IFERROR(__xludf.DUMMYFUNCTION("""COMPUTED_VALUE"""),196.94)</f>
        <v>196.94</v>
      </c>
      <c r="E244" s="141">
        <f ca="1">IFERROR(__xludf.DUMMYFUNCTION("""COMPUTED_VALUE"""),194.14)</f>
        <v>194.14</v>
      </c>
      <c r="F244" s="141">
        <f ca="1">IFERROR(__xludf.DUMMYFUNCTION("""COMPUTED_VALUE"""),196.89)</f>
        <v>196.89</v>
      </c>
      <c r="G244" s="143">
        <f ca="1">IFERROR(__xludf.DUMMYFUNCTION("""COMPUTED_VALUE"""),53103912)</f>
        <v>53103912</v>
      </c>
      <c r="H244" s="26"/>
    </row>
    <row r="245" spans="1:8" ht="17.25" customHeight="1" x14ac:dyDescent="0.2">
      <c r="A245" s="26"/>
      <c r="B245" s="139">
        <f ca="1">IFERROR(__xludf.DUMMYFUNCTION("""COMPUTED_VALUE"""),45453.6666666666)</f>
        <v>45453.666666666599</v>
      </c>
      <c r="C245" s="141">
        <f ca="1">IFERROR(__xludf.DUMMYFUNCTION("""COMPUTED_VALUE"""),196.9)</f>
        <v>196.9</v>
      </c>
      <c r="D245" s="141">
        <f ca="1">IFERROR(__xludf.DUMMYFUNCTION("""COMPUTED_VALUE"""),197.3)</f>
        <v>197.3</v>
      </c>
      <c r="E245" s="141">
        <f ca="1">IFERROR(__xludf.DUMMYFUNCTION("""COMPUTED_VALUE"""),192.15)</f>
        <v>192.15</v>
      </c>
      <c r="F245" s="141">
        <f ca="1">IFERROR(__xludf.DUMMYFUNCTION("""COMPUTED_VALUE"""),193.12)</f>
        <v>193.12</v>
      </c>
      <c r="G245" s="143">
        <f ca="1">IFERROR(__xludf.DUMMYFUNCTION("""COMPUTED_VALUE"""),97262077)</f>
        <v>97262077</v>
      </c>
      <c r="H245" s="26"/>
    </row>
    <row r="246" spans="1:8" ht="17.25" customHeight="1" x14ac:dyDescent="0.2">
      <c r="A246" s="26"/>
      <c r="B246" s="139">
        <f ca="1">IFERROR(__xludf.DUMMYFUNCTION("""COMPUTED_VALUE"""),45454.6666666666)</f>
        <v>45454.666666666599</v>
      </c>
      <c r="C246" s="141">
        <f ca="1">IFERROR(__xludf.DUMMYFUNCTION("""COMPUTED_VALUE"""),193.65)</f>
        <v>193.65</v>
      </c>
      <c r="D246" s="141">
        <f ca="1">IFERROR(__xludf.DUMMYFUNCTION("""COMPUTED_VALUE"""),207.16)</f>
        <v>207.16</v>
      </c>
      <c r="E246" s="141">
        <f ca="1">IFERROR(__xludf.DUMMYFUNCTION("""COMPUTED_VALUE"""),193.63)</f>
        <v>193.63</v>
      </c>
      <c r="F246" s="141">
        <f ca="1">IFERROR(__xludf.DUMMYFUNCTION("""COMPUTED_VALUE"""),207.15)</f>
        <v>207.15</v>
      </c>
      <c r="G246" s="143">
        <f ca="1">IFERROR(__xludf.DUMMYFUNCTION("""COMPUTED_VALUE"""),172373296)</f>
        <v>172373296</v>
      </c>
      <c r="H246" s="26"/>
    </row>
    <row r="247" spans="1:8" ht="17.25" customHeight="1" x14ac:dyDescent="0.2">
      <c r="A247" s="26"/>
      <c r="B247" s="139">
        <f ca="1">IFERROR(__xludf.DUMMYFUNCTION("""COMPUTED_VALUE"""),45455.6666666666)</f>
        <v>45455.666666666599</v>
      </c>
      <c r="C247" s="141">
        <f ca="1">IFERROR(__xludf.DUMMYFUNCTION("""COMPUTED_VALUE"""),207.37)</f>
        <v>207.37</v>
      </c>
      <c r="D247" s="141">
        <f ca="1">IFERROR(__xludf.DUMMYFUNCTION("""COMPUTED_VALUE"""),220.2)</f>
        <v>220.2</v>
      </c>
      <c r="E247" s="141">
        <f ca="1">IFERROR(__xludf.DUMMYFUNCTION("""COMPUTED_VALUE"""),206.9)</f>
        <v>206.9</v>
      </c>
      <c r="F247" s="141">
        <f ca="1">IFERROR(__xludf.DUMMYFUNCTION("""COMPUTED_VALUE"""),213.07)</f>
        <v>213.07</v>
      </c>
      <c r="G247" s="143">
        <f ca="1">IFERROR(__xludf.DUMMYFUNCTION("""COMPUTED_VALUE"""),198134293)</f>
        <v>198134293</v>
      </c>
      <c r="H247" s="26"/>
    </row>
    <row r="248" spans="1:8" ht="17.25" customHeight="1" x14ac:dyDescent="0.2">
      <c r="A248" s="26"/>
      <c r="B248" s="139">
        <f ca="1">IFERROR(__xludf.DUMMYFUNCTION("""COMPUTED_VALUE"""),45456.6666666666)</f>
        <v>45456.666666666599</v>
      </c>
      <c r="C248" s="141">
        <f ca="1">IFERROR(__xludf.DUMMYFUNCTION("""COMPUTED_VALUE"""),214.74)</f>
        <v>214.74</v>
      </c>
      <c r="D248" s="141">
        <f ca="1">IFERROR(__xludf.DUMMYFUNCTION("""COMPUTED_VALUE"""),216.75)</f>
        <v>216.75</v>
      </c>
      <c r="E248" s="141">
        <f ca="1">IFERROR(__xludf.DUMMYFUNCTION("""COMPUTED_VALUE"""),211.6)</f>
        <v>211.6</v>
      </c>
      <c r="F248" s="141">
        <f ca="1">IFERROR(__xludf.DUMMYFUNCTION("""COMPUTED_VALUE"""),214.24)</f>
        <v>214.24</v>
      </c>
      <c r="G248" s="143">
        <f ca="1">IFERROR(__xludf.DUMMYFUNCTION("""COMPUTED_VALUE"""),97862729)</f>
        <v>97862729</v>
      </c>
      <c r="H248" s="26"/>
    </row>
    <row r="249" spans="1:8" ht="17.25" customHeight="1" x14ac:dyDescent="0.2">
      <c r="A249" s="26"/>
      <c r="B249" s="139">
        <f ca="1">IFERROR(__xludf.DUMMYFUNCTION("""COMPUTED_VALUE"""),45457.6666666666)</f>
        <v>45457.666666666599</v>
      </c>
      <c r="C249" s="141">
        <f ca="1">IFERROR(__xludf.DUMMYFUNCTION("""COMPUTED_VALUE"""),213.85)</f>
        <v>213.85</v>
      </c>
      <c r="D249" s="141">
        <f ca="1">IFERROR(__xludf.DUMMYFUNCTION("""COMPUTED_VALUE"""),215.17)</f>
        <v>215.17</v>
      </c>
      <c r="E249" s="141">
        <f ca="1">IFERROR(__xludf.DUMMYFUNCTION("""COMPUTED_VALUE"""),211.3)</f>
        <v>211.3</v>
      </c>
      <c r="F249" s="141">
        <f ca="1">IFERROR(__xludf.DUMMYFUNCTION("""COMPUTED_VALUE"""),212.49)</f>
        <v>212.49</v>
      </c>
      <c r="G249" s="143">
        <f ca="1">IFERROR(__xludf.DUMMYFUNCTION("""COMPUTED_VALUE"""),70122748)</f>
        <v>70122748</v>
      </c>
      <c r="H249" s="26"/>
    </row>
    <row r="250" spans="1:8" ht="17.25" customHeight="1" x14ac:dyDescent="0.2">
      <c r="A250" s="26"/>
      <c r="B250" s="139">
        <f ca="1">IFERROR(__xludf.DUMMYFUNCTION("""COMPUTED_VALUE"""),45460.6666666666)</f>
        <v>45460.666666666599</v>
      </c>
      <c r="C250" s="141">
        <f ca="1">IFERROR(__xludf.DUMMYFUNCTION("""COMPUTED_VALUE"""),213.37)</f>
        <v>213.37</v>
      </c>
      <c r="D250" s="141">
        <f ca="1">IFERROR(__xludf.DUMMYFUNCTION("""COMPUTED_VALUE"""),218.95)</f>
        <v>218.95</v>
      </c>
      <c r="E250" s="141">
        <f ca="1">IFERROR(__xludf.DUMMYFUNCTION("""COMPUTED_VALUE"""),212.72)</f>
        <v>212.72</v>
      </c>
      <c r="F250" s="141">
        <f ca="1">IFERROR(__xludf.DUMMYFUNCTION("""COMPUTED_VALUE"""),216.67)</f>
        <v>216.67</v>
      </c>
      <c r="G250" s="143">
        <f ca="1">IFERROR(__xludf.DUMMYFUNCTION("""COMPUTED_VALUE"""),93728300)</f>
        <v>93728300</v>
      </c>
      <c r="H250" s="26"/>
    </row>
    <row r="251" spans="1:8" ht="17.25" customHeight="1" x14ac:dyDescent="0.2">
      <c r="A251" s="26"/>
      <c r="B251" s="139">
        <f ca="1">IFERROR(__xludf.DUMMYFUNCTION("""COMPUTED_VALUE"""),45461.6666666666)</f>
        <v>45461.666666666599</v>
      </c>
      <c r="C251" s="141">
        <f ca="1">IFERROR(__xludf.DUMMYFUNCTION("""COMPUTED_VALUE"""),217.59)</f>
        <v>217.59</v>
      </c>
      <c r="D251" s="141">
        <f ca="1">IFERROR(__xludf.DUMMYFUNCTION("""COMPUTED_VALUE"""),218.63)</f>
        <v>218.63</v>
      </c>
      <c r="E251" s="141">
        <f ca="1">IFERROR(__xludf.DUMMYFUNCTION("""COMPUTED_VALUE"""),213)</f>
        <v>213</v>
      </c>
      <c r="F251" s="141">
        <f ca="1">IFERROR(__xludf.DUMMYFUNCTION("""COMPUTED_VALUE"""),214.29)</f>
        <v>214.29</v>
      </c>
      <c r="G251" s="143">
        <f ca="1">IFERROR(__xludf.DUMMYFUNCTION("""COMPUTED_VALUE"""),79943254)</f>
        <v>79943254</v>
      </c>
      <c r="H251" s="26"/>
    </row>
    <row r="252" spans="1:8" ht="17.25" customHeight="1" x14ac:dyDescent="0.2">
      <c r="A252" s="26"/>
      <c r="B252" s="139">
        <f ca="1">IFERROR(__xludf.DUMMYFUNCTION("""COMPUTED_VALUE"""),45463.6666666666)</f>
        <v>45463.666666666599</v>
      </c>
      <c r="C252" s="141">
        <f ca="1">IFERROR(__xludf.DUMMYFUNCTION("""COMPUTED_VALUE"""),213.93)</f>
        <v>213.93</v>
      </c>
      <c r="D252" s="141">
        <f ca="1">IFERROR(__xludf.DUMMYFUNCTION("""COMPUTED_VALUE"""),214.24)</f>
        <v>214.24</v>
      </c>
      <c r="E252" s="141">
        <f ca="1">IFERROR(__xludf.DUMMYFUNCTION("""COMPUTED_VALUE"""),208.85)</f>
        <v>208.85</v>
      </c>
      <c r="F252" s="141">
        <f ca="1">IFERROR(__xludf.DUMMYFUNCTION("""COMPUTED_VALUE"""),209.68)</f>
        <v>209.68</v>
      </c>
      <c r="G252" s="143">
        <f ca="1">IFERROR(__xludf.DUMMYFUNCTION("""COMPUTED_VALUE"""),86172451)</f>
        <v>86172451</v>
      </c>
      <c r="H252" s="26"/>
    </row>
    <row r="253" spans="1:8" ht="17.25" customHeight="1" x14ac:dyDescent="0.2">
      <c r="A253" s="26"/>
      <c r="B253" s="139">
        <f ca="1">IFERROR(__xludf.DUMMYFUNCTION("""COMPUTED_VALUE"""),45464.6666666666)</f>
        <v>45464.666666666599</v>
      </c>
      <c r="C253" s="141">
        <f ca="1">IFERROR(__xludf.DUMMYFUNCTION("""COMPUTED_VALUE"""),210.39)</f>
        <v>210.39</v>
      </c>
      <c r="D253" s="141">
        <f ca="1">IFERROR(__xludf.DUMMYFUNCTION("""COMPUTED_VALUE"""),211.89)</f>
        <v>211.89</v>
      </c>
      <c r="E253" s="141">
        <f ca="1">IFERROR(__xludf.DUMMYFUNCTION("""COMPUTED_VALUE"""),207.11)</f>
        <v>207.11</v>
      </c>
      <c r="F253" s="141">
        <f ca="1">IFERROR(__xludf.DUMMYFUNCTION("""COMPUTED_VALUE"""),207.49)</f>
        <v>207.49</v>
      </c>
      <c r="G253" s="143">
        <f ca="1">IFERROR(__xludf.DUMMYFUNCTION("""COMPUTED_VALUE"""),246421353)</f>
        <v>246421353</v>
      </c>
      <c r="H253" s="26"/>
    </row>
    <row r="254" spans="1:8" ht="17.25" customHeight="1" x14ac:dyDescent="0.2">
      <c r="A254" s="26"/>
      <c r="B254" s="139">
        <f ca="1">IFERROR(__xludf.DUMMYFUNCTION("""COMPUTED_VALUE"""),45467.6666666666)</f>
        <v>45467.666666666599</v>
      </c>
      <c r="C254" s="141">
        <f ca="1">IFERROR(__xludf.DUMMYFUNCTION("""COMPUTED_VALUE"""),207.72)</f>
        <v>207.72</v>
      </c>
      <c r="D254" s="141">
        <f ca="1">IFERROR(__xludf.DUMMYFUNCTION("""COMPUTED_VALUE"""),212.7)</f>
        <v>212.7</v>
      </c>
      <c r="E254" s="141">
        <f ca="1">IFERROR(__xludf.DUMMYFUNCTION("""COMPUTED_VALUE"""),206.59)</f>
        <v>206.59</v>
      </c>
      <c r="F254" s="141">
        <f ca="1">IFERROR(__xludf.DUMMYFUNCTION("""COMPUTED_VALUE"""),208.14)</f>
        <v>208.14</v>
      </c>
      <c r="G254" s="143">
        <f ca="1">IFERROR(__xludf.DUMMYFUNCTION("""COMPUTED_VALUE"""),80727006)</f>
        <v>80727006</v>
      </c>
      <c r="H254" s="26"/>
    </row>
    <row r="255" spans="1:8" ht="17.25" customHeight="1" x14ac:dyDescent="0.2">
      <c r="A255" s="26"/>
      <c r="B255" s="139">
        <f ca="1">IFERROR(__xludf.DUMMYFUNCTION("""COMPUTED_VALUE"""),45468.6666666666)</f>
        <v>45468.666666666599</v>
      </c>
      <c r="C255" s="141">
        <f ca="1">IFERROR(__xludf.DUMMYFUNCTION("""COMPUTED_VALUE"""),209.15)</f>
        <v>209.15</v>
      </c>
      <c r="D255" s="141">
        <f ca="1">IFERROR(__xludf.DUMMYFUNCTION("""COMPUTED_VALUE"""),211.38)</f>
        <v>211.38</v>
      </c>
      <c r="E255" s="141">
        <f ca="1">IFERROR(__xludf.DUMMYFUNCTION("""COMPUTED_VALUE"""),208.61)</f>
        <v>208.61</v>
      </c>
      <c r="F255" s="141">
        <f ca="1">IFERROR(__xludf.DUMMYFUNCTION("""COMPUTED_VALUE"""),209.07)</f>
        <v>209.07</v>
      </c>
      <c r="G255" s="143">
        <f ca="1">IFERROR(__xludf.DUMMYFUNCTION("""COMPUTED_VALUE"""),56713868)</f>
        <v>56713868</v>
      </c>
      <c r="H255" s="26"/>
    </row>
    <row r="256" spans="1:8" ht="17.25" customHeight="1" x14ac:dyDescent="0.2">
      <c r="A256" s="26"/>
      <c r="B256" s="139">
        <f ca="1">IFERROR(__xludf.DUMMYFUNCTION("""COMPUTED_VALUE"""),45469.6666666666)</f>
        <v>45469.666666666599</v>
      </c>
      <c r="C256" s="141">
        <f ca="1">IFERROR(__xludf.DUMMYFUNCTION("""COMPUTED_VALUE"""),211.5)</f>
        <v>211.5</v>
      </c>
      <c r="D256" s="141">
        <f ca="1">IFERROR(__xludf.DUMMYFUNCTION("""COMPUTED_VALUE"""),214.86)</f>
        <v>214.86</v>
      </c>
      <c r="E256" s="141">
        <f ca="1">IFERROR(__xludf.DUMMYFUNCTION("""COMPUTED_VALUE"""),210.64)</f>
        <v>210.64</v>
      </c>
      <c r="F256" s="141">
        <f ca="1">IFERROR(__xludf.DUMMYFUNCTION("""COMPUTED_VALUE"""),213.25)</f>
        <v>213.25</v>
      </c>
      <c r="G256" s="143">
        <f ca="1">IFERROR(__xludf.DUMMYFUNCTION("""COMPUTED_VALUE"""),66213186)</f>
        <v>66213186</v>
      </c>
      <c r="H256" s="26"/>
    </row>
    <row r="257" spans="1:8" ht="17.25" customHeight="1" x14ac:dyDescent="0.2">
      <c r="A257" s="26"/>
      <c r="B257" s="139">
        <f ca="1">IFERROR(__xludf.DUMMYFUNCTION("""COMPUTED_VALUE"""),45470.6666666666)</f>
        <v>45470.666666666599</v>
      </c>
      <c r="C257" s="141">
        <f ca="1">IFERROR(__xludf.DUMMYFUNCTION("""COMPUTED_VALUE"""),214.69)</f>
        <v>214.69</v>
      </c>
      <c r="D257" s="141">
        <f ca="1">IFERROR(__xludf.DUMMYFUNCTION("""COMPUTED_VALUE"""),215.74)</f>
        <v>215.74</v>
      </c>
      <c r="E257" s="141">
        <f ca="1">IFERROR(__xludf.DUMMYFUNCTION("""COMPUTED_VALUE"""),212.35)</f>
        <v>212.35</v>
      </c>
      <c r="F257" s="141">
        <f ca="1">IFERROR(__xludf.DUMMYFUNCTION("""COMPUTED_VALUE"""),214.1)</f>
        <v>214.1</v>
      </c>
      <c r="G257" s="143">
        <f ca="1">IFERROR(__xludf.DUMMYFUNCTION("""COMPUTED_VALUE"""),49772707)</f>
        <v>49772707</v>
      </c>
      <c r="H257" s="26"/>
    </row>
    <row r="258" spans="1:8" ht="17.25" customHeight="1" x14ac:dyDescent="0.2">
      <c r="A258" s="26"/>
      <c r="B258" s="139">
        <f ca="1">IFERROR(__xludf.DUMMYFUNCTION("""COMPUTED_VALUE"""),45471.6666666666)</f>
        <v>45471.666666666599</v>
      </c>
      <c r="C258" s="141">
        <f ca="1">IFERROR(__xludf.DUMMYFUNCTION("""COMPUTED_VALUE"""),215.77)</f>
        <v>215.77</v>
      </c>
      <c r="D258" s="141">
        <f ca="1">IFERROR(__xludf.DUMMYFUNCTION("""COMPUTED_VALUE"""),216.07)</f>
        <v>216.07</v>
      </c>
      <c r="E258" s="141">
        <f ca="1">IFERROR(__xludf.DUMMYFUNCTION("""COMPUTED_VALUE"""),210.3)</f>
        <v>210.3</v>
      </c>
      <c r="F258" s="141">
        <f ca="1">IFERROR(__xludf.DUMMYFUNCTION("""COMPUTED_VALUE"""),210.62)</f>
        <v>210.62</v>
      </c>
      <c r="G258" s="143">
        <f ca="1">IFERROR(__xludf.DUMMYFUNCTION("""COMPUTED_VALUE"""),82542718)</f>
        <v>82542718</v>
      </c>
      <c r="H258" s="26"/>
    </row>
    <row r="259" spans="1:8" ht="17.25" customHeight="1" x14ac:dyDescent="0.2">
      <c r="A259" s="26"/>
      <c r="B259" s="139">
        <f ca="1">IFERROR(__xludf.DUMMYFUNCTION("""COMPUTED_VALUE"""),45474.6666666666)</f>
        <v>45474.666666666599</v>
      </c>
      <c r="C259" s="141">
        <f ca="1">IFERROR(__xludf.DUMMYFUNCTION("""COMPUTED_VALUE"""),212.09)</f>
        <v>212.09</v>
      </c>
      <c r="D259" s="141">
        <f ca="1">IFERROR(__xludf.DUMMYFUNCTION("""COMPUTED_VALUE"""),217.51)</f>
        <v>217.51</v>
      </c>
      <c r="E259" s="141">
        <f ca="1">IFERROR(__xludf.DUMMYFUNCTION("""COMPUTED_VALUE"""),211.92)</f>
        <v>211.92</v>
      </c>
      <c r="F259" s="141">
        <f ca="1">IFERROR(__xludf.DUMMYFUNCTION("""COMPUTED_VALUE"""),216.75)</f>
        <v>216.75</v>
      </c>
      <c r="G259" s="143">
        <f ca="1">IFERROR(__xludf.DUMMYFUNCTION("""COMPUTED_VALUE"""),60402929)</f>
        <v>60402929</v>
      </c>
      <c r="H259" s="26"/>
    </row>
    <row r="260" spans="1:8" ht="17.25" customHeight="1" x14ac:dyDescent="0.2">
      <c r="A260" s="26"/>
      <c r="B260" s="139">
        <f ca="1">IFERROR(__xludf.DUMMYFUNCTION("""COMPUTED_VALUE"""),45475.6666666666)</f>
        <v>45475.666666666599</v>
      </c>
      <c r="C260" s="141">
        <f ca="1">IFERROR(__xludf.DUMMYFUNCTION("""COMPUTED_VALUE"""),216.15)</f>
        <v>216.15</v>
      </c>
      <c r="D260" s="141">
        <f ca="1">IFERROR(__xludf.DUMMYFUNCTION("""COMPUTED_VALUE"""),220.38)</f>
        <v>220.38</v>
      </c>
      <c r="E260" s="141">
        <f ca="1">IFERROR(__xludf.DUMMYFUNCTION("""COMPUTED_VALUE"""),215.1)</f>
        <v>215.1</v>
      </c>
      <c r="F260" s="141">
        <f ca="1">IFERROR(__xludf.DUMMYFUNCTION("""COMPUTED_VALUE"""),220.27)</f>
        <v>220.27</v>
      </c>
      <c r="G260" s="143">
        <f ca="1">IFERROR(__xludf.DUMMYFUNCTION("""COMPUTED_VALUE"""),58046178)</f>
        <v>58046178</v>
      </c>
      <c r="H260" s="26"/>
    </row>
    <row r="261" spans="1:8" ht="17.25" customHeight="1" x14ac:dyDescent="0.2">
      <c r="A261" s="26"/>
      <c r="B261" s="139">
        <f ca="1">IFERROR(__xludf.DUMMYFUNCTION("""COMPUTED_VALUE"""),45476.5451388888)</f>
        <v>45476.545138888803</v>
      </c>
      <c r="C261" s="141">
        <f ca="1">IFERROR(__xludf.DUMMYFUNCTION("""COMPUTED_VALUE"""),220)</f>
        <v>220</v>
      </c>
      <c r="D261" s="141">
        <f ca="1">IFERROR(__xludf.DUMMYFUNCTION("""COMPUTED_VALUE"""),221.55)</f>
        <v>221.55</v>
      </c>
      <c r="E261" s="141">
        <f ca="1">IFERROR(__xludf.DUMMYFUNCTION("""COMPUTED_VALUE"""),219.03)</f>
        <v>219.03</v>
      </c>
      <c r="F261" s="141">
        <f ca="1">IFERROR(__xludf.DUMMYFUNCTION("""COMPUTED_VALUE"""),221.55)</f>
        <v>221.55</v>
      </c>
      <c r="G261" s="143">
        <f ca="1">IFERROR(__xludf.DUMMYFUNCTION("""COMPUTED_VALUE"""),37369801)</f>
        <v>37369801</v>
      </c>
      <c r="H261" s="26"/>
    </row>
    <row r="262" spans="1:8" ht="17.25" customHeight="1" x14ac:dyDescent="0.2">
      <c r="A262" s="26"/>
      <c r="B262" s="139">
        <f ca="1">IFERROR(__xludf.DUMMYFUNCTION("""COMPUTED_VALUE"""),45478.6666666666)</f>
        <v>45478.666666666599</v>
      </c>
      <c r="C262" s="141">
        <f ca="1">IFERROR(__xludf.DUMMYFUNCTION("""COMPUTED_VALUE"""),221.65)</f>
        <v>221.65</v>
      </c>
      <c r="D262" s="141">
        <f ca="1">IFERROR(__xludf.DUMMYFUNCTION("""COMPUTED_VALUE"""),226.45)</f>
        <v>226.45</v>
      </c>
      <c r="E262" s="141">
        <f ca="1">IFERROR(__xludf.DUMMYFUNCTION("""COMPUTED_VALUE"""),221.65)</f>
        <v>221.65</v>
      </c>
      <c r="F262" s="141">
        <f ca="1">IFERROR(__xludf.DUMMYFUNCTION("""COMPUTED_VALUE"""),226.34)</f>
        <v>226.34</v>
      </c>
      <c r="G262" s="143">
        <f ca="1">IFERROR(__xludf.DUMMYFUNCTION("""COMPUTED_VALUE"""),60412408)</f>
        <v>60412408</v>
      </c>
      <c r="H262" s="26"/>
    </row>
    <row r="263" spans="1:8" ht="17.25" customHeight="1" x14ac:dyDescent="0.2">
      <c r="A263" s="26"/>
      <c r="B263" s="139">
        <f ca="1">IFERROR(__xludf.DUMMYFUNCTION("""COMPUTED_VALUE"""),45481.6666666666)</f>
        <v>45481.666666666599</v>
      </c>
      <c r="C263" s="141">
        <f ca="1">IFERROR(__xludf.DUMMYFUNCTION("""COMPUTED_VALUE"""),227.09)</f>
        <v>227.09</v>
      </c>
      <c r="D263" s="141">
        <f ca="1">IFERROR(__xludf.DUMMYFUNCTION("""COMPUTED_VALUE"""),227.85)</f>
        <v>227.85</v>
      </c>
      <c r="E263" s="141">
        <f ca="1">IFERROR(__xludf.DUMMYFUNCTION("""COMPUTED_VALUE"""),223.25)</f>
        <v>223.25</v>
      </c>
      <c r="F263" s="141">
        <f ca="1">IFERROR(__xludf.DUMMYFUNCTION("""COMPUTED_VALUE"""),227.82)</f>
        <v>227.82</v>
      </c>
      <c r="G263" s="143">
        <f ca="1">IFERROR(__xludf.DUMMYFUNCTION("""COMPUTED_VALUE"""),59085861)</f>
        <v>59085861</v>
      </c>
      <c r="H263" s="26"/>
    </row>
    <row r="264" spans="1:8" ht="17.25" customHeight="1" x14ac:dyDescent="0.2">
      <c r="A264" s="26"/>
      <c r="B264" s="139">
        <f ca="1">IFERROR(__xludf.DUMMYFUNCTION("""COMPUTED_VALUE"""),45482.6666666666)</f>
        <v>45482.666666666599</v>
      </c>
      <c r="C264" s="141">
        <f ca="1">IFERROR(__xludf.DUMMYFUNCTION("""COMPUTED_VALUE"""),227.93)</f>
        <v>227.93</v>
      </c>
      <c r="D264" s="141">
        <f ca="1">IFERROR(__xludf.DUMMYFUNCTION("""COMPUTED_VALUE"""),229.4)</f>
        <v>229.4</v>
      </c>
      <c r="E264" s="141">
        <f ca="1">IFERROR(__xludf.DUMMYFUNCTION("""COMPUTED_VALUE"""),226.37)</f>
        <v>226.37</v>
      </c>
      <c r="F264" s="141">
        <f ca="1">IFERROR(__xludf.DUMMYFUNCTION("""COMPUTED_VALUE"""),228.68)</f>
        <v>228.68</v>
      </c>
      <c r="G264" s="143">
        <f ca="1">IFERROR(__xludf.DUMMYFUNCTION("""COMPUTED_VALUE"""),48169822)</f>
        <v>48169822</v>
      </c>
      <c r="H264" s="26"/>
    </row>
    <row r="265" spans="1:8" ht="17.25" customHeight="1" x14ac:dyDescent="0.2">
      <c r="A265" s="26"/>
      <c r="B265" s="139">
        <f ca="1">IFERROR(__xludf.DUMMYFUNCTION("""COMPUTED_VALUE"""),45483.6666666666)</f>
        <v>45483.666666666599</v>
      </c>
      <c r="C265" s="141">
        <f ca="1">IFERROR(__xludf.DUMMYFUNCTION("""COMPUTED_VALUE"""),229.3)</f>
        <v>229.3</v>
      </c>
      <c r="D265" s="141">
        <f ca="1">IFERROR(__xludf.DUMMYFUNCTION("""COMPUTED_VALUE"""),233.08)</f>
        <v>233.08</v>
      </c>
      <c r="E265" s="141">
        <f ca="1">IFERROR(__xludf.DUMMYFUNCTION("""COMPUTED_VALUE"""),229.25)</f>
        <v>229.25</v>
      </c>
      <c r="F265" s="141">
        <f ca="1">IFERROR(__xludf.DUMMYFUNCTION("""COMPUTED_VALUE"""),232.98)</f>
        <v>232.98</v>
      </c>
      <c r="G265" s="143">
        <f ca="1">IFERROR(__xludf.DUMMYFUNCTION("""COMPUTED_VALUE"""),62627687)</f>
        <v>62627687</v>
      </c>
      <c r="H265" s="26"/>
    </row>
    <row r="266" spans="1:8" ht="17.25" customHeight="1" x14ac:dyDescent="0.2">
      <c r="A266" s="26"/>
      <c r="B266" s="139">
        <f ca="1">IFERROR(__xludf.DUMMYFUNCTION("""COMPUTED_VALUE"""),45484.6666666666)</f>
        <v>45484.666666666599</v>
      </c>
      <c r="C266" s="141">
        <f ca="1">IFERROR(__xludf.DUMMYFUNCTION("""COMPUTED_VALUE"""),231.39)</f>
        <v>231.39</v>
      </c>
      <c r="D266" s="141">
        <f ca="1">IFERROR(__xludf.DUMMYFUNCTION("""COMPUTED_VALUE"""),232.39)</f>
        <v>232.39</v>
      </c>
      <c r="E266" s="141">
        <f ca="1">IFERROR(__xludf.DUMMYFUNCTION("""COMPUTED_VALUE"""),225.77)</f>
        <v>225.77</v>
      </c>
      <c r="F266" s="141">
        <f ca="1">IFERROR(__xludf.DUMMYFUNCTION("""COMPUTED_VALUE"""),227.57)</f>
        <v>227.57</v>
      </c>
      <c r="G266" s="143">
        <f ca="1">IFERROR(__xludf.DUMMYFUNCTION("""COMPUTED_VALUE"""),64710617)</f>
        <v>64710617</v>
      </c>
      <c r="H266" s="26"/>
    </row>
    <row r="267" spans="1:8" ht="17.25" customHeight="1" x14ac:dyDescent="0.2">
      <c r="A267" s="26"/>
      <c r="B267" s="139">
        <f ca="1">IFERROR(__xludf.DUMMYFUNCTION("""COMPUTED_VALUE"""),45485.6666666666)</f>
        <v>45485.666666666599</v>
      </c>
      <c r="C267" s="141">
        <f ca="1">IFERROR(__xludf.DUMMYFUNCTION("""COMPUTED_VALUE"""),228.92)</f>
        <v>228.92</v>
      </c>
      <c r="D267" s="141">
        <f ca="1">IFERROR(__xludf.DUMMYFUNCTION("""COMPUTED_VALUE"""),232.64)</f>
        <v>232.64</v>
      </c>
      <c r="E267" s="141">
        <f ca="1">IFERROR(__xludf.DUMMYFUNCTION("""COMPUTED_VALUE"""),228.68)</f>
        <v>228.68</v>
      </c>
      <c r="F267" s="141">
        <f ca="1">IFERROR(__xludf.DUMMYFUNCTION("""COMPUTED_VALUE"""),230.54)</f>
        <v>230.54</v>
      </c>
      <c r="G267" s="143">
        <f ca="1">IFERROR(__xludf.DUMMYFUNCTION("""COMPUTED_VALUE"""),53046527)</f>
        <v>53046527</v>
      </c>
      <c r="H267" s="26"/>
    </row>
    <row r="268" spans="1:8" ht="17.25" customHeight="1" x14ac:dyDescent="0.2">
      <c r="A268" s="26"/>
      <c r="B268" s="139">
        <f ca="1">IFERROR(__xludf.DUMMYFUNCTION("""COMPUTED_VALUE"""),45488.6666666666)</f>
        <v>45488.666666666599</v>
      </c>
      <c r="C268" s="141">
        <f ca="1">IFERROR(__xludf.DUMMYFUNCTION("""COMPUTED_VALUE"""),236.48)</f>
        <v>236.48</v>
      </c>
      <c r="D268" s="141">
        <f ca="1">IFERROR(__xludf.DUMMYFUNCTION("""COMPUTED_VALUE"""),237.23)</f>
        <v>237.23</v>
      </c>
      <c r="E268" s="141">
        <f ca="1">IFERROR(__xludf.DUMMYFUNCTION("""COMPUTED_VALUE"""),233.09)</f>
        <v>233.09</v>
      </c>
      <c r="F268" s="141">
        <f ca="1">IFERROR(__xludf.DUMMYFUNCTION("""COMPUTED_VALUE"""),234.4)</f>
        <v>234.4</v>
      </c>
      <c r="G268" s="143">
        <f ca="1">IFERROR(__xludf.DUMMYFUNCTION("""COMPUTED_VALUE"""),62631252)</f>
        <v>62631252</v>
      </c>
      <c r="H268" s="26"/>
    </row>
    <row r="269" spans="1:8" ht="17.25" customHeight="1" x14ac:dyDescent="0.2">
      <c r="A269" s="26"/>
      <c r="B269" s="139">
        <f ca="1">IFERROR(__xludf.DUMMYFUNCTION("""COMPUTED_VALUE"""),45489.6666666666)</f>
        <v>45489.666666666599</v>
      </c>
      <c r="C269" s="141">
        <f ca="1">IFERROR(__xludf.DUMMYFUNCTION("""COMPUTED_VALUE"""),235)</f>
        <v>235</v>
      </c>
      <c r="D269" s="141">
        <f ca="1">IFERROR(__xludf.DUMMYFUNCTION("""COMPUTED_VALUE"""),236.27)</f>
        <v>236.27</v>
      </c>
      <c r="E269" s="141">
        <f ca="1">IFERROR(__xludf.DUMMYFUNCTION("""COMPUTED_VALUE"""),232.33)</f>
        <v>232.33</v>
      </c>
      <c r="F269" s="141">
        <f ca="1">IFERROR(__xludf.DUMMYFUNCTION("""COMPUTED_VALUE"""),234.82)</f>
        <v>234.82</v>
      </c>
      <c r="G269" s="143">
        <f ca="1">IFERROR(__xludf.DUMMYFUNCTION("""COMPUTED_VALUE"""),43234278)</f>
        <v>43234278</v>
      </c>
      <c r="H269" s="26"/>
    </row>
    <row r="270" spans="1:8" ht="17.25" customHeight="1" x14ac:dyDescent="0.2">
      <c r="A270" s="26"/>
      <c r="B270" s="139">
        <f ca="1">IFERROR(__xludf.DUMMYFUNCTION("""COMPUTED_VALUE"""),45490.6666666666)</f>
        <v>45490.666666666599</v>
      </c>
      <c r="C270" s="141">
        <f ca="1">IFERROR(__xludf.DUMMYFUNCTION("""COMPUTED_VALUE"""),229.45)</f>
        <v>229.45</v>
      </c>
      <c r="D270" s="141">
        <f ca="1">IFERROR(__xludf.DUMMYFUNCTION("""COMPUTED_VALUE"""),231.46)</f>
        <v>231.46</v>
      </c>
      <c r="E270" s="141">
        <f ca="1">IFERROR(__xludf.DUMMYFUNCTION("""COMPUTED_VALUE"""),226.64)</f>
        <v>226.64</v>
      </c>
      <c r="F270" s="141">
        <f ca="1">IFERROR(__xludf.DUMMYFUNCTION("""COMPUTED_VALUE"""),228.88)</f>
        <v>228.88</v>
      </c>
      <c r="G270" s="143">
        <f ca="1">IFERROR(__xludf.DUMMYFUNCTION("""COMPUTED_VALUE"""),57345884)</f>
        <v>57345884</v>
      </c>
      <c r="H270" s="26"/>
    </row>
    <row r="271" spans="1:8" ht="17.25" customHeight="1" x14ac:dyDescent="0.2">
      <c r="A271" s="26"/>
      <c r="B271" s="139">
        <f ca="1">IFERROR(__xludf.DUMMYFUNCTION("""COMPUTED_VALUE"""),45491.6666666666)</f>
        <v>45491.666666666599</v>
      </c>
      <c r="C271" s="141">
        <f ca="1">IFERROR(__xludf.DUMMYFUNCTION("""COMPUTED_VALUE"""),230.28)</f>
        <v>230.28</v>
      </c>
      <c r="D271" s="141">
        <f ca="1">IFERROR(__xludf.DUMMYFUNCTION("""COMPUTED_VALUE"""),230.44)</f>
        <v>230.44</v>
      </c>
      <c r="E271" s="141">
        <f ca="1">IFERROR(__xludf.DUMMYFUNCTION("""COMPUTED_VALUE"""),222.27)</f>
        <v>222.27</v>
      </c>
      <c r="F271" s="141">
        <f ca="1">IFERROR(__xludf.DUMMYFUNCTION("""COMPUTED_VALUE"""),224.18)</f>
        <v>224.18</v>
      </c>
      <c r="G271" s="143">
        <f ca="1">IFERROR(__xludf.DUMMYFUNCTION("""COMPUTED_VALUE"""),66034585)</f>
        <v>66034585</v>
      </c>
      <c r="H271" s="26"/>
    </row>
    <row r="272" spans="1:8" ht="17.25" customHeight="1" x14ac:dyDescent="0.2">
      <c r="A272" s="26"/>
      <c r="B272" s="139">
        <f ca="1">IFERROR(__xludf.DUMMYFUNCTION("""COMPUTED_VALUE"""),45492.6666666666)</f>
        <v>45492.666666666599</v>
      </c>
      <c r="C272" s="141">
        <f ca="1">IFERROR(__xludf.DUMMYFUNCTION("""COMPUTED_VALUE"""),224.82)</f>
        <v>224.82</v>
      </c>
      <c r="D272" s="141">
        <f ca="1">IFERROR(__xludf.DUMMYFUNCTION("""COMPUTED_VALUE"""),226.8)</f>
        <v>226.8</v>
      </c>
      <c r="E272" s="141">
        <f ca="1">IFERROR(__xludf.DUMMYFUNCTION("""COMPUTED_VALUE"""),223.28)</f>
        <v>223.28</v>
      </c>
      <c r="F272" s="141">
        <f ca="1">IFERROR(__xludf.DUMMYFUNCTION("""COMPUTED_VALUE"""),224.31)</f>
        <v>224.31</v>
      </c>
      <c r="G272" s="143">
        <f ca="1">IFERROR(__xludf.DUMMYFUNCTION("""COMPUTED_VALUE"""),49151453)</f>
        <v>49151453</v>
      </c>
      <c r="H272" s="26"/>
    </row>
    <row r="273" spans="1:8" ht="17.25" customHeight="1" x14ac:dyDescent="0.2">
      <c r="A273" s="26"/>
      <c r="B273" s="139">
        <f ca="1">IFERROR(__xludf.DUMMYFUNCTION("""COMPUTED_VALUE"""),45495.6666666666)</f>
        <v>45495.666666666599</v>
      </c>
      <c r="C273" s="141">
        <f ca="1">IFERROR(__xludf.DUMMYFUNCTION("""COMPUTED_VALUE"""),227.01)</f>
        <v>227.01</v>
      </c>
      <c r="D273" s="141">
        <f ca="1">IFERROR(__xludf.DUMMYFUNCTION("""COMPUTED_VALUE"""),227.78)</f>
        <v>227.78</v>
      </c>
      <c r="E273" s="141">
        <f ca="1">IFERROR(__xludf.DUMMYFUNCTION("""COMPUTED_VALUE"""),223.09)</f>
        <v>223.09</v>
      </c>
      <c r="F273" s="141">
        <f ca="1">IFERROR(__xludf.DUMMYFUNCTION("""COMPUTED_VALUE"""),223.96)</f>
        <v>223.96</v>
      </c>
      <c r="G273" s="143">
        <f ca="1">IFERROR(__xludf.DUMMYFUNCTION("""COMPUTED_VALUE"""),48201835)</f>
        <v>48201835</v>
      </c>
      <c r="H273" s="26"/>
    </row>
    <row r="274" spans="1:8" ht="17.25" customHeight="1" x14ac:dyDescent="0.2">
      <c r="A274" s="26"/>
      <c r="B274" s="139">
        <f ca="1">IFERROR(__xludf.DUMMYFUNCTION("""COMPUTED_VALUE"""),45496.6666666666)</f>
        <v>45496.666666666599</v>
      </c>
      <c r="C274" s="141">
        <f ca="1">IFERROR(__xludf.DUMMYFUNCTION("""COMPUTED_VALUE"""),224.37)</f>
        <v>224.37</v>
      </c>
      <c r="D274" s="141">
        <f ca="1">IFERROR(__xludf.DUMMYFUNCTION("""COMPUTED_VALUE"""),226.94)</f>
        <v>226.94</v>
      </c>
      <c r="E274" s="141">
        <f ca="1">IFERROR(__xludf.DUMMYFUNCTION("""COMPUTED_VALUE"""),222.68)</f>
        <v>222.68</v>
      </c>
      <c r="F274" s="141">
        <f ca="1">IFERROR(__xludf.DUMMYFUNCTION("""COMPUTED_VALUE"""),225.01)</f>
        <v>225.01</v>
      </c>
      <c r="G274" s="143">
        <f ca="1">IFERROR(__xludf.DUMMYFUNCTION("""COMPUTED_VALUE"""),39960260)</f>
        <v>39960260</v>
      </c>
      <c r="H274" s="26"/>
    </row>
    <row r="275" spans="1:8" ht="17.25" customHeight="1" x14ac:dyDescent="0.2">
      <c r="A275" s="26"/>
      <c r="B275" s="139">
        <f ca="1">IFERROR(__xludf.DUMMYFUNCTION("""COMPUTED_VALUE"""),45497.6666666666)</f>
        <v>45497.666666666599</v>
      </c>
      <c r="C275" s="141">
        <f ca="1">IFERROR(__xludf.DUMMYFUNCTION("""COMPUTED_VALUE"""),224)</f>
        <v>224</v>
      </c>
      <c r="D275" s="141">
        <f ca="1">IFERROR(__xludf.DUMMYFUNCTION("""COMPUTED_VALUE"""),224.8)</f>
        <v>224.8</v>
      </c>
      <c r="E275" s="141">
        <f ca="1">IFERROR(__xludf.DUMMYFUNCTION("""COMPUTED_VALUE"""),217.13)</f>
        <v>217.13</v>
      </c>
      <c r="F275" s="141">
        <f ca="1">IFERROR(__xludf.DUMMYFUNCTION("""COMPUTED_VALUE"""),218.54)</f>
        <v>218.54</v>
      </c>
      <c r="G275" s="143">
        <f ca="1">IFERROR(__xludf.DUMMYFUNCTION("""COMPUTED_VALUE"""),61777576)</f>
        <v>61777576</v>
      </c>
      <c r="H275" s="26"/>
    </row>
    <row r="276" spans="1:8" ht="17.25" customHeight="1" x14ac:dyDescent="0.2">
      <c r="A276" s="26"/>
      <c r="B276" s="139">
        <f ca="1">IFERROR(__xludf.DUMMYFUNCTION("""COMPUTED_VALUE"""),45498.6666666666)</f>
        <v>45498.666666666599</v>
      </c>
      <c r="C276" s="141">
        <f ca="1">IFERROR(__xludf.DUMMYFUNCTION("""COMPUTED_VALUE"""),218.93)</f>
        <v>218.93</v>
      </c>
      <c r="D276" s="141">
        <f ca="1">IFERROR(__xludf.DUMMYFUNCTION("""COMPUTED_VALUE"""),220.85)</f>
        <v>220.85</v>
      </c>
      <c r="E276" s="141">
        <f ca="1">IFERROR(__xludf.DUMMYFUNCTION("""COMPUTED_VALUE"""),214.62)</f>
        <v>214.62</v>
      </c>
      <c r="F276" s="141">
        <f ca="1">IFERROR(__xludf.DUMMYFUNCTION("""COMPUTED_VALUE"""),217.49)</f>
        <v>217.49</v>
      </c>
      <c r="G276" s="143">
        <f ca="1">IFERROR(__xludf.DUMMYFUNCTION("""COMPUTED_VALUE"""),51391199)</f>
        <v>51391199</v>
      </c>
      <c r="H276" s="26"/>
    </row>
    <row r="277" spans="1:8" ht="17.25" customHeight="1" x14ac:dyDescent="0.2">
      <c r="A277" s="26"/>
      <c r="B277" s="139">
        <f ca="1">IFERROR(__xludf.DUMMYFUNCTION("""COMPUTED_VALUE"""),45499.6666666666)</f>
        <v>45499.666666666599</v>
      </c>
      <c r="C277" s="141">
        <f ca="1">IFERROR(__xludf.DUMMYFUNCTION("""COMPUTED_VALUE"""),218.7)</f>
        <v>218.7</v>
      </c>
      <c r="D277" s="141">
        <f ca="1">IFERROR(__xludf.DUMMYFUNCTION("""COMPUTED_VALUE"""),219.49)</f>
        <v>219.49</v>
      </c>
      <c r="E277" s="141">
        <f ca="1">IFERROR(__xludf.DUMMYFUNCTION("""COMPUTED_VALUE"""),216.01)</f>
        <v>216.01</v>
      </c>
      <c r="F277" s="141">
        <f ca="1">IFERROR(__xludf.DUMMYFUNCTION("""COMPUTED_VALUE"""),217.96)</f>
        <v>217.96</v>
      </c>
      <c r="G277" s="143">
        <f ca="1">IFERROR(__xludf.DUMMYFUNCTION("""COMPUTED_VALUE"""),41601345)</f>
        <v>41601345</v>
      </c>
      <c r="H277" s="26"/>
    </row>
    <row r="278" spans="1:8" ht="17.25" customHeight="1" x14ac:dyDescent="0.2">
      <c r="A278" s="26"/>
      <c r="B278" s="139">
        <f ca="1">IFERROR(__xludf.DUMMYFUNCTION("""COMPUTED_VALUE"""),45502.6666666666)</f>
        <v>45502.666666666599</v>
      </c>
      <c r="C278" s="141">
        <f ca="1">IFERROR(__xludf.DUMMYFUNCTION("""COMPUTED_VALUE"""),216.96)</f>
        <v>216.96</v>
      </c>
      <c r="D278" s="141">
        <f ca="1">IFERROR(__xludf.DUMMYFUNCTION("""COMPUTED_VALUE"""),219.3)</f>
        <v>219.3</v>
      </c>
      <c r="E278" s="141">
        <f ca="1">IFERROR(__xludf.DUMMYFUNCTION("""COMPUTED_VALUE"""),215.75)</f>
        <v>215.75</v>
      </c>
      <c r="F278" s="141">
        <f ca="1">IFERROR(__xludf.DUMMYFUNCTION("""COMPUTED_VALUE"""),218.24)</f>
        <v>218.24</v>
      </c>
      <c r="G278" s="143">
        <f ca="1">IFERROR(__xludf.DUMMYFUNCTION("""COMPUTED_VALUE"""),36311778)</f>
        <v>36311778</v>
      </c>
      <c r="H278" s="26"/>
    </row>
    <row r="279" spans="1:8" ht="17.25" customHeight="1" x14ac:dyDescent="0.2">
      <c r="A279" s="26"/>
      <c r="B279" s="139">
        <f ca="1">IFERROR(__xludf.DUMMYFUNCTION("""COMPUTED_VALUE"""),45503.6666666666)</f>
        <v>45503.666666666599</v>
      </c>
      <c r="C279" s="141">
        <f ca="1">IFERROR(__xludf.DUMMYFUNCTION("""COMPUTED_VALUE"""),219.19)</f>
        <v>219.19</v>
      </c>
      <c r="D279" s="141">
        <f ca="1">IFERROR(__xludf.DUMMYFUNCTION("""COMPUTED_VALUE"""),220.33)</f>
        <v>220.33</v>
      </c>
      <c r="E279" s="141">
        <f ca="1">IFERROR(__xludf.DUMMYFUNCTION("""COMPUTED_VALUE"""),216.12)</f>
        <v>216.12</v>
      </c>
      <c r="F279" s="141">
        <f ca="1">IFERROR(__xludf.DUMMYFUNCTION("""COMPUTED_VALUE"""),218.8)</f>
        <v>218.8</v>
      </c>
      <c r="G279" s="143">
        <f ca="1">IFERROR(__xludf.DUMMYFUNCTION("""COMPUTED_VALUE"""),41643840)</f>
        <v>41643840</v>
      </c>
      <c r="H279" s="26"/>
    </row>
    <row r="280" spans="1:8" ht="17.25" customHeight="1" x14ac:dyDescent="0.2">
      <c r="A280" s="26"/>
      <c r="B280" s="139">
        <f ca="1">IFERROR(__xludf.DUMMYFUNCTION("""COMPUTED_VALUE"""),45504.6666666666)</f>
        <v>45504.666666666599</v>
      </c>
      <c r="C280" s="141">
        <f ca="1">IFERROR(__xludf.DUMMYFUNCTION("""COMPUTED_VALUE"""),221.44)</f>
        <v>221.44</v>
      </c>
      <c r="D280" s="141">
        <f ca="1">IFERROR(__xludf.DUMMYFUNCTION("""COMPUTED_VALUE"""),223.82)</f>
        <v>223.82</v>
      </c>
      <c r="E280" s="141">
        <f ca="1">IFERROR(__xludf.DUMMYFUNCTION("""COMPUTED_VALUE"""),220.63)</f>
        <v>220.63</v>
      </c>
      <c r="F280" s="141">
        <f ca="1">IFERROR(__xludf.DUMMYFUNCTION("""COMPUTED_VALUE"""),222.08)</f>
        <v>222.08</v>
      </c>
      <c r="G280" s="143">
        <f ca="1">IFERROR(__xludf.DUMMYFUNCTION("""COMPUTED_VALUE"""),50036262)</f>
        <v>50036262</v>
      </c>
      <c r="H280" s="26"/>
    </row>
    <row r="281" spans="1:8" ht="17.25" customHeight="1" x14ac:dyDescent="0.2">
      <c r="A281" s="26"/>
      <c r="B281" s="139">
        <f ca="1">IFERROR(__xludf.DUMMYFUNCTION("""COMPUTED_VALUE"""),45505.6666666666)</f>
        <v>45505.666666666599</v>
      </c>
      <c r="C281" s="141">
        <f ca="1">IFERROR(__xludf.DUMMYFUNCTION("""COMPUTED_VALUE"""),224.37)</f>
        <v>224.37</v>
      </c>
      <c r="D281" s="141">
        <f ca="1">IFERROR(__xludf.DUMMYFUNCTION("""COMPUTED_VALUE"""),224.48)</f>
        <v>224.48</v>
      </c>
      <c r="E281" s="141">
        <f ca="1">IFERROR(__xludf.DUMMYFUNCTION("""COMPUTED_VALUE"""),217.02)</f>
        <v>217.02</v>
      </c>
      <c r="F281" s="141">
        <f ca="1">IFERROR(__xludf.DUMMYFUNCTION("""COMPUTED_VALUE"""),218.36)</f>
        <v>218.36</v>
      </c>
      <c r="G281" s="143">
        <f ca="1">IFERROR(__xludf.DUMMYFUNCTION("""COMPUTED_VALUE"""),62500996)</f>
        <v>62500996</v>
      </c>
      <c r="H281" s="26"/>
    </row>
    <row r="282" spans="1:8" ht="17.25" customHeight="1" x14ac:dyDescent="0.2">
      <c r="A282" s="26"/>
      <c r="B282" s="139">
        <f ca="1">IFERROR(__xludf.DUMMYFUNCTION("""COMPUTED_VALUE"""),45506.6666666666)</f>
        <v>45506.666666666599</v>
      </c>
      <c r="C282" s="141">
        <f ca="1">IFERROR(__xludf.DUMMYFUNCTION("""COMPUTED_VALUE"""),219.15)</f>
        <v>219.15</v>
      </c>
      <c r="D282" s="141">
        <f ca="1">IFERROR(__xludf.DUMMYFUNCTION("""COMPUTED_VALUE"""),225.6)</f>
        <v>225.6</v>
      </c>
      <c r="E282" s="141">
        <f ca="1">IFERROR(__xludf.DUMMYFUNCTION("""COMPUTED_VALUE"""),217.71)</f>
        <v>217.71</v>
      </c>
      <c r="F282" s="141">
        <f ca="1">IFERROR(__xludf.DUMMYFUNCTION("""COMPUTED_VALUE"""),219.86)</f>
        <v>219.86</v>
      </c>
      <c r="G282" s="143">
        <f ca="1">IFERROR(__xludf.DUMMYFUNCTION("""COMPUTED_VALUE"""),105568560)</f>
        <v>105568560</v>
      </c>
      <c r="H282" s="26"/>
    </row>
    <row r="283" spans="1:8" ht="17.25" customHeight="1" x14ac:dyDescent="0.2">
      <c r="A283" s="26"/>
      <c r="B283" s="139">
        <f ca="1">IFERROR(__xludf.DUMMYFUNCTION("""COMPUTED_VALUE"""),45509.6666666666)</f>
        <v>45509.666666666599</v>
      </c>
      <c r="C283" s="141">
        <f ca="1">IFERROR(__xludf.DUMMYFUNCTION("""COMPUTED_VALUE"""),199.09)</f>
        <v>199.09</v>
      </c>
      <c r="D283" s="141">
        <f ca="1">IFERROR(__xludf.DUMMYFUNCTION("""COMPUTED_VALUE"""),213.5)</f>
        <v>213.5</v>
      </c>
      <c r="E283" s="141">
        <f ca="1">IFERROR(__xludf.DUMMYFUNCTION("""COMPUTED_VALUE"""),196)</f>
        <v>196</v>
      </c>
      <c r="F283" s="141">
        <f ca="1">IFERROR(__xludf.DUMMYFUNCTION("""COMPUTED_VALUE"""),209.27)</f>
        <v>209.27</v>
      </c>
      <c r="G283" s="143">
        <f ca="1">IFERROR(__xludf.DUMMYFUNCTION("""COMPUTED_VALUE"""),119548589)</f>
        <v>119548589</v>
      </c>
      <c r="H283" s="26"/>
    </row>
    <row r="284" spans="1:8" ht="17.25" customHeight="1" x14ac:dyDescent="0.2">
      <c r="A284" s="26"/>
      <c r="B284" s="139">
        <f ca="1">IFERROR(__xludf.DUMMYFUNCTION("""COMPUTED_VALUE"""),45510.6666666666)</f>
        <v>45510.666666666599</v>
      </c>
      <c r="C284" s="141">
        <f ca="1">IFERROR(__xludf.DUMMYFUNCTION("""COMPUTED_VALUE"""),205.3)</f>
        <v>205.3</v>
      </c>
      <c r="D284" s="141">
        <f ca="1">IFERROR(__xludf.DUMMYFUNCTION("""COMPUTED_VALUE"""),209.99)</f>
        <v>209.99</v>
      </c>
      <c r="E284" s="141">
        <f ca="1">IFERROR(__xludf.DUMMYFUNCTION("""COMPUTED_VALUE"""),201.07)</f>
        <v>201.07</v>
      </c>
      <c r="F284" s="141">
        <f ca="1">IFERROR(__xludf.DUMMYFUNCTION("""COMPUTED_VALUE"""),207.23)</f>
        <v>207.23</v>
      </c>
      <c r="G284" s="143">
        <f ca="1">IFERROR(__xludf.DUMMYFUNCTION("""COMPUTED_VALUE"""),69660488)</f>
        <v>69660488</v>
      </c>
      <c r="H284" s="26"/>
    </row>
    <row r="285" spans="1:8" ht="17.25" customHeight="1" x14ac:dyDescent="0.2">
      <c r="A285" s="26"/>
      <c r="B285" s="139">
        <f ca="1">IFERROR(__xludf.DUMMYFUNCTION("""COMPUTED_VALUE"""),45511.6666666666)</f>
        <v>45511.666666666599</v>
      </c>
      <c r="C285" s="141">
        <f ca="1">IFERROR(__xludf.DUMMYFUNCTION("""COMPUTED_VALUE"""),206.9)</f>
        <v>206.9</v>
      </c>
      <c r="D285" s="141">
        <f ca="1">IFERROR(__xludf.DUMMYFUNCTION("""COMPUTED_VALUE"""),213.64)</f>
        <v>213.64</v>
      </c>
      <c r="E285" s="141">
        <f ca="1">IFERROR(__xludf.DUMMYFUNCTION("""COMPUTED_VALUE"""),206.39)</f>
        <v>206.39</v>
      </c>
      <c r="F285" s="141">
        <f ca="1">IFERROR(__xludf.DUMMYFUNCTION("""COMPUTED_VALUE"""),209.82)</f>
        <v>209.82</v>
      </c>
      <c r="G285" s="143">
        <f ca="1">IFERROR(__xludf.DUMMYFUNCTION("""COMPUTED_VALUE"""),63516417)</f>
        <v>63516417</v>
      </c>
      <c r="H285" s="26"/>
    </row>
    <row r="286" spans="1:8" ht="17.25" customHeight="1" x14ac:dyDescent="0.2">
      <c r="A286" s="26"/>
      <c r="B286" s="139">
        <f ca="1">IFERROR(__xludf.DUMMYFUNCTION("""COMPUTED_VALUE"""),45512.6666666666)</f>
        <v>45512.666666666599</v>
      </c>
      <c r="C286" s="141">
        <f ca="1">IFERROR(__xludf.DUMMYFUNCTION("""COMPUTED_VALUE"""),213.11)</f>
        <v>213.11</v>
      </c>
      <c r="D286" s="141">
        <f ca="1">IFERROR(__xludf.DUMMYFUNCTION("""COMPUTED_VALUE"""),214.2)</f>
        <v>214.2</v>
      </c>
      <c r="E286" s="141">
        <f ca="1">IFERROR(__xludf.DUMMYFUNCTION("""COMPUTED_VALUE"""),208.83)</f>
        <v>208.83</v>
      </c>
      <c r="F286" s="141">
        <f ca="1">IFERROR(__xludf.DUMMYFUNCTION("""COMPUTED_VALUE"""),213.31)</f>
        <v>213.31</v>
      </c>
      <c r="G286" s="143">
        <f ca="1">IFERROR(__xludf.DUMMYFUNCTION("""COMPUTED_VALUE"""),47161149)</f>
        <v>47161149</v>
      </c>
      <c r="H286" s="26"/>
    </row>
    <row r="287" spans="1:8" ht="17.25" customHeight="1" x14ac:dyDescent="0.2">
      <c r="A287" s="26"/>
      <c r="B287" s="139">
        <f ca="1">IFERROR(__xludf.DUMMYFUNCTION("""COMPUTED_VALUE"""),45513.6666666666)</f>
        <v>45513.666666666599</v>
      </c>
      <c r="C287" s="141">
        <f ca="1">IFERROR(__xludf.DUMMYFUNCTION("""COMPUTED_VALUE"""),212.1)</f>
        <v>212.1</v>
      </c>
      <c r="D287" s="141">
        <f ca="1">IFERROR(__xludf.DUMMYFUNCTION("""COMPUTED_VALUE"""),216.78)</f>
        <v>216.78</v>
      </c>
      <c r="E287" s="141">
        <f ca="1">IFERROR(__xludf.DUMMYFUNCTION("""COMPUTED_VALUE"""),211.97)</f>
        <v>211.97</v>
      </c>
      <c r="F287" s="141">
        <f ca="1">IFERROR(__xludf.DUMMYFUNCTION("""COMPUTED_VALUE"""),216.24)</f>
        <v>216.24</v>
      </c>
      <c r="G287" s="143">
        <f ca="1">IFERROR(__xludf.DUMMYFUNCTION("""COMPUTED_VALUE"""),42201646)</f>
        <v>42201646</v>
      </c>
      <c r="H287" s="26"/>
    </row>
    <row r="288" spans="1:8" ht="17.25" customHeight="1" x14ac:dyDescent="0.2">
      <c r="A288" s="26"/>
      <c r="B288" s="139">
        <f ca="1">IFERROR(__xludf.DUMMYFUNCTION("""COMPUTED_VALUE"""),45516.6666666666)</f>
        <v>45516.666666666599</v>
      </c>
      <c r="C288" s="141">
        <f ca="1">IFERROR(__xludf.DUMMYFUNCTION("""COMPUTED_VALUE"""),216.07)</f>
        <v>216.07</v>
      </c>
      <c r="D288" s="141">
        <f ca="1">IFERROR(__xludf.DUMMYFUNCTION("""COMPUTED_VALUE"""),219.51)</f>
        <v>219.51</v>
      </c>
      <c r="E288" s="141">
        <f ca="1">IFERROR(__xludf.DUMMYFUNCTION("""COMPUTED_VALUE"""),215.6)</f>
        <v>215.6</v>
      </c>
      <c r="F288" s="141">
        <f ca="1">IFERROR(__xludf.DUMMYFUNCTION("""COMPUTED_VALUE"""),217.53)</f>
        <v>217.53</v>
      </c>
      <c r="G288" s="143">
        <f ca="1">IFERROR(__xludf.DUMMYFUNCTION("""COMPUTED_VALUE"""),38028092)</f>
        <v>38028092</v>
      </c>
      <c r="H288" s="26"/>
    </row>
    <row r="289" spans="1:8" ht="17.25" customHeight="1" x14ac:dyDescent="0.2">
      <c r="A289" s="26"/>
      <c r="B289" s="139">
        <f ca="1">IFERROR(__xludf.DUMMYFUNCTION("""COMPUTED_VALUE"""),45517.6666666666)</f>
        <v>45517.666666666599</v>
      </c>
      <c r="C289" s="141">
        <f ca="1">IFERROR(__xludf.DUMMYFUNCTION("""COMPUTED_VALUE"""),219.01)</f>
        <v>219.01</v>
      </c>
      <c r="D289" s="141">
        <f ca="1">IFERROR(__xludf.DUMMYFUNCTION("""COMPUTED_VALUE"""),221.89)</f>
        <v>221.89</v>
      </c>
      <c r="E289" s="141">
        <f ca="1">IFERROR(__xludf.DUMMYFUNCTION("""COMPUTED_VALUE"""),219.01)</f>
        <v>219.01</v>
      </c>
      <c r="F289" s="141">
        <f ca="1">IFERROR(__xludf.DUMMYFUNCTION("""COMPUTED_VALUE"""),221.27)</f>
        <v>221.27</v>
      </c>
      <c r="G289" s="143">
        <f ca="1">IFERROR(__xludf.DUMMYFUNCTION("""COMPUTED_VALUE"""),44155331)</f>
        <v>44155331</v>
      </c>
      <c r="H289" s="26"/>
    </row>
    <row r="290" spans="1:8" ht="17.25" customHeight="1" x14ac:dyDescent="0.2">
      <c r="A290" s="26"/>
      <c r="B290" s="139">
        <f ca="1">IFERROR(__xludf.DUMMYFUNCTION("""COMPUTED_VALUE"""),45518.6666666666)</f>
        <v>45518.666666666599</v>
      </c>
      <c r="C290" s="141">
        <f ca="1">IFERROR(__xludf.DUMMYFUNCTION("""COMPUTED_VALUE"""),220.57)</f>
        <v>220.57</v>
      </c>
      <c r="D290" s="141">
        <f ca="1">IFERROR(__xludf.DUMMYFUNCTION("""COMPUTED_VALUE"""),223.03)</f>
        <v>223.03</v>
      </c>
      <c r="E290" s="141">
        <f ca="1">IFERROR(__xludf.DUMMYFUNCTION("""COMPUTED_VALUE"""),219.7)</f>
        <v>219.7</v>
      </c>
      <c r="F290" s="141">
        <f ca="1">IFERROR(__xludf.DUMMYFUNCTION("""COMPUTED_VALUE"""),221.72)</f>
        <v>221.72</v>
      </c>
      <c r="G290" s="143">
        <f ca="1">IFERROR(__xludf.DUMMYFUNCTION("""COMPUTED_VALUE"""),41960574)</f>
        <v>41960574</v>
      </c>
      <c r="H290" s="26"/>
    </row>
    <row r="291" spans="1:8" ht="17.25" customHeight="1" x14ac:dyDescent="0.2">
      <c r="A291" s="26"/>
      <c r="B291" s="139">
        <f ca="1">IFERROR(__xludf.DUMMYFUNCTION("""COMPUTED_VALUE"""),45519.6666666666)</f>
        <v>45519.666666666599</v>
      </c>
      <c r="C291" s="141">
        <f ca="1">IFERROR(__xludf.DUMMYFUNCTION("""COMPUTED_VALUE"""),224.6)</f>
        <v>224.6</v>
      </c>
      <c r="D291" s="141">
        <f ca="1">IFERROR(__xludf.DUMMYFUNCTION("""COMPUTED_VALUE"""),225.35)</f>
        <v>225.35</v>
      </c>
      <c r="E291" s="141">
        <f ca="1">IFERROR(__xludf.DUMMYFUNCTION("""COMPUTED_VALUE"""),222.76)</f>
        <v>222.76</v>
      </c>
      <c r="F291" s="141">
        <f ca="1">IFERROR(__xludf.DUMMYFUNCTION("""COMPUTED_VALUE"""),224.72)</f>
        <v>224.72</v>
      </c>
      <c r="G291" s="143">
        <f ca="1">IFERROR(__xludf.DUMMYFUNCTION("""COMPUTED_VALUE"""),46414013)</f>
        <v>46414013</v>
      </c>
      <c r="H291" s="26"/>
    </row>
    <row r="292" spans="1:8" ht="17.25" customHeight="1" x14ac:dyDescent="0.2">
      <c r="A292" s="26"/>
      <c r="B292" s="139">
        <f ca="1">IFERROR(__xludf.DUMMYFUNCTION("""COMPUTED_VALUE"""),45520.6666666666)</f>
        <v>45520.666666666599</v>
      </c>
      <c r="C292" s="141">
        <f ca="1">IFERROR(__xludf.DUMMYFUNCTION("""COMPUTED_VALUE"""),223.92)</f>
        <v>223.92</v>
      </c>
      <c r="D292" s="141">
        <f ca="1">IFERROR(__xludf.DUMMYFUNCTION("""COMPUTED_VALUE"""),226.83)</f>
        <v>226.83</v>
      </c>
      <c r="E292" s="141">
        <f ca="1">IFERROR(__xludf.DUMMYFUNCTION("""COMPUTED_VALUE"""),223.65)</f>
        <v>223.65</v>
      </c>
      <c r="F292" s="141">
        <f ca="1">IFERROR(__xludf.DUMMYFUNCTION("""COMPUTED_VALUE"""),226.05)</f>
        <v>226.05</v>
      </c>
      <c r="G292" s="143">
        <f ca="1">IFERROR(__xludf.DUMMYFUNCTION("""COMPUTED_VALUE"""),44340240)</f>
        <v>44340240</v>
      </c>
      <c r="H292" s="26"/>
    </row>
    <row r="293" spans="1:8" ht="17.25" customHeight="1" x14ac:dyDescent="0.2">
      <c r="A293" s="26"/>
      <c r="B293" s="139">
        <f ca="1">IFERROR(__xludf.DUMMYFUNCTION("""COMPUTED_VALUE"""),45523.6666666666)</f>
        <v>45523.666666666599</v>
      </c>
      <c r="C293" s="141">
        <f ca="1">IFERROR(__xludf.DUMMYFUNCTION("""COMPUTED_VALUE"""),225.72)</f>
        <v>225.72</v>
      </c>
      <c r="D293" s="141">
        <f ca="1">IFERROR(__xludf.DUMMYFUNCTION("""COMPUTED_VALUE"""),225.99)</f>
        <v>225.99</v>
      </c>
      <c r="E293" s="141">
        <f ca="1">IFERROR(__xludf.DUMMYFUNCTION("""COMPUTED_VALUE"""),223.04)</f>
        <v>223.04</v>
      </c>
      <c r="F293" s="141">
        <f ca="1">IFERROR(__xludf.DUMMYFUNCTION("""COMPUTED_VALUE"""),225.89)</f>
        <v>225.89</v>
      </c>
      <c r="G293" s="143">
        <f ca="1">IFERROR(__xludf.DUMMYFUNCTION("""COMPUTED_VALUE"""),40687813)</f>
        <v>40687813</v>
      </c>
      <c r="H293" s="26"/>
    </row>
    <row r="294" spans="1:8" ht="17.25" customHeight="1" x14ac:dyDescent="0.2">
      <c r="A294" s="26"/>
      <c r="B294" s="139">
        <f ca="1">IFERROR(__xludf.DUMMYFUNCTION("""COMPUTED_VALUE"""),45524.6666666666)</f>
        <v>45524.666666666599</v>
      </c>
      <c r="C294" s="141">
        <f ca="1">IFERROR(__xludf.DUMMYFUNCTION("""COMPUTED_VALUE"""),225.77)</f>
        <v>225.77</v>
      </c>
      <c r="D294" s="141">
        <f ca="1">IFERROR(__xludf.DUMMYFUNCTION("""COMPUTED_VALUE"""),227.17)</f>
        <v>227.17</v>
      </c>
      <c r="E294" s="141">
        <f ca="1">IFERROR(__xludf.DUMMYFUNCTION("""COMPUTED_VALUE"""),225.45)</f>
        <v>225.45</v>
      </c>
      <c r="F294" s="141">
        <f ca="1">IFERROR(__xludf.DUMMYFUNCTION("""COMPUTED_VALUE"""),226.51)</f>
        <v>226.51</v>
      </c>
      <c r="G294" s="143">
        <f ca="1">IFERROR(__xludf.DUMMYFUNCTION("""COMPUTED_VALUE"""),30299033)</f>
        <v>30299033</v>
      </c>
      <c r="H294" s="26"/>
    </row>
    <row r="295" spans="1:8" ht="17.25" customHeight="1" x14ac:dyDescent="0.2">
      <c r="A295" s="26"/>
      <c r="B295" s="139">
        <f ca="1">IFERROR(__xludf.DUMMYFUNCTION("""COMPUTED_VALUE"""),45525.6666666666)</f>
        <v>45525.666666666599</v>
      </c>
      <c r="C295" s="141">
        <f ca="1">IFERROR(__xludf.DUMMYFUNCTION("""COMPUTED_VALUE"""),226.52)</f>
        <v>226.52</v>
      </c>
      <c r="D295" s="141">
        <f ca="1">IFERROR(__xludf.DUMMYFUNCTION("""COMPUTED_VALUE"""),227.98)</f>
        <v>227.98</v>
      </c>
      <c r="E295" s="141">
        <f ca="1">IFERROR(__xludf.DUMMYFUNCTION("""COMPUTED_VALUE"""),225.05)</f>
        <v>225.05</v>
      </c>
      <c r="F295" s="141">
        <f ca="1">IFERROR(__xludf.DUMMYFUNCTION("""COMPUTED_VALUE"""),226.4)</f>
        <v>226.4</v>
      </c>
      <c r="G295" s="143">
        <f ca="1">IFERROR(__xludf.DUMMYFUNCTION("""COMPUTED_VALUE"""),34765480)</f>
        <v>34765480</v>
      </c>
      <c r="H295" s="26"/>
    </row>
    <row r="296" spans="1:8" ht="17.25" customHeight="1" x14ac:dyDescent="0.2">
      <c r="A296" s="26"/>
      <c r="B296" s="139">
        <f ca="1">IFERROR(__xludf.DUMMYFUNCTION("""COMPUTED_VALUE"""),45526.6666666666)</f>
        <v>45526.666666666599</v>
      </c>
      <c r="C296" s="141">
        <f ca="1">IFERROR(__xludf.DUMMYFUNCTION("""COMPUTED_VALUE"""),227.79)</f>
        <v>227.79</v>
      </c>
      <c r="D296" s="141">
        <f ca="1">IFERROR(__xludf.DUMMYFUNCTION("""COMPUTED_VALUE"""),228.34)</f>
        <v>228.34</v>
      </c>
      <c r="E296" s="141">
        <f ca="1">IFERROR(__xludf.DUMMYFUNCTION("""COMPUTED_VALUE"""),223.9)</f>
        <v>223.9</v>
      </c>
      <c r="F296" s="141">
        <f ca="1">IFERROR(__xludf.DUMMYFUNCTION("""COMPUTED_VALUE"""),224.53)</f>
        <v>224.53</v>
      </c>
      <c r="G296" s="143">
        <f ca="1">IFERROR(__xludf.DUMMYFUNCTION("""COMPUTED_VALUE"""),43695321)</f>
        <v>43695321</v>
      </c>
      <c r="H296" s="26"/>
    </row>
    <row r="297" spans="1:8" ht="17.25" customHeight="1" x14ac:dyDescent="0.2">
      <c r="A297" s="26"/>
      <c r="B297" s="139">
        <f ca="1">IFERROR(__xludf.DUMMYFUNCTION("""COMPUTED_VALUE"""),45527.6666666666)</f>
        <v>45527.666666666599</v>
      </c>
      <c r="C297" s="141">
        <f ca="1">IFERROR(__xludf.DUMMYFUNCTION("""COMPUTED_VALUE"""),225.66)</f>
        <v>225.66</v>
      </c>
      <c r="D297" s="141">
        <f ca="1">IFERROR(__xludf.DUMMYFUNCTION("""COMPUTED_VALUE"""),228.22)</f>
        <v>228.22</v>
      </c>
      <c r="E297" s="141">
        <f ca="1">IFERROR(__xludf.DUMMYFUNCTION("""COMPUTED_VALUE"""),224.33)</f>
        <v>224.33</v>
      </c>
      <c r="F297" s="141">
        <f ca="1">IFERROR(__xludf.DUMMYFUNCTION("""COMPUTED_VALUE"""),226.84)</f>
        <v>226.84</v>
      </c>
      <c r="G297" s="143">
        <f ca="1">IFERROR(__xludf.DUMMYFUNCTION("""COMPUTED_VALUE"""),38677250)</f>
        <v>38677250</v>
      </c>
      <c r="H297" s="26"/>
    </row>
    <row r="298" spans="1:8" ht="17.25" customHeight="1" x14ac:dyDescent="0.2">
      <c r="A298" s="26"/>
      <c r="B298" s="139">
        <f ca="1">IFERROR(__xludf.DUMMYFUNCTION("""COMPUTED_VALUE"""),45530.6666666666)</f>
        <v>45530.666666666599</v>
      </c>
      <c r="C298" s="141">
        <f ca="1">IFERROR(__xludf.DUMMYFUNCTION("""COMPUTED_VALUE"""),226.76)</f>
        <v>226.76</v>
      </c>
      <c r="D298" s="141">
        <f ca="1">IFERROR(__xludf.DUMMYFUNCTION("""COMPUTED_VALUE"""),227.28)</f>
        <v>227.28</v>
      </c>
      <c r="E298" s="141">
        <f ca="1">IFERROR(__xludf.DUMMYFUNCTION("""COMPUTED_VALUE"""),223.89)</f>
        <v>223.89</v>
      </c>
      <c r="F298" s="141">
        <f ca="1">IFERROR(__xludf.DUMMYFUNCTION("""COMPUTED_VALUE"""),227.18)</f>
        <v>227.18</v>
      </c>
      <c r="G298" s="143">
        <f ca="1">IFERROR(__xludf.DUMMYFUNCTION("""COMPUTED_VALUE"""),30602208)</f>
        <v>30602208</v>
      </c>
      <c r="H298" s="26"/>
    </row>
    <row r="299" spans="1:8" ht="17.25" customHeight="1" x14ac:dyDescent="0.2">
      <c r="A299" s="26"/>
      <c r="B299" s="139">
        <f ca="1">IFERROR(__xludf.DUMMYFUNCTION("""COMPUTED_VALUE"""),45531.6666666666)</f>
        <v>45531.666666666599</v>
      </c>
      <c r="C299" s="141">
        <f ca="1">IFERROR(__xludf.DUMMYFUNCTION("""COMPUTED_VALUE"""),226)</f>
        <v>226</v>
      </c>
      <c r="D299" s="141">
        <f ca="1">IFERROR(__xludf.DUMMYFUNCTION("""COMPUTED_VALUE"""),228.85)</f>
        <v>228.85</v>
      </c>
      <c r="E299" s="141">
        <f ca="1">IFERROR(__xludf.DUMMYFUNCTION("""COMPUTED_VALUE"""),224.89)</f>
        <v>224.89</v>
      </c>
      <c r="F299" s="141">
        <f ca="1">IFERROR(__xludf.DUMMYFUNCTION("""COMPUTED_VALUE"""),228.03)</f>
        <v>228.03</v>
      </c>
      <c r="G299" s="143">
        <f ca="1">IFERROR(__xludf.DUMMYFUNCTION("""COMPUTED_VALUE"""),35934559)</f>
        <v>35934559</v>
      </c>
      <c r="H299" s="26"/>
    </row>
    <row r="300" spans="1:8" ht="17.25" customHeight="1" x14ac:dyDescent="0.2">
      <c r="A300" s="26"/>
      <c r="B300" s="139">
        <f ca="1">IFERROR(__xludf.DUMMYFUNCTION("""COMPUTED_VALUE"""),45532.6666666666)</f>
        <v>45532.666666666599</v>
      </c>
      <c r="C300" s="141">
        <f ca="1">IFERROR(__xludf.DUMMYFUNCTION("""COMPUTED_VALUE"""),227.92)</f>
        <v>227.92</v>
      </c>
      <c r="D300" s="141">
        <f ca="1">IFERROR(__xludf.DUMMYFUNCTION("""COMPUTED_VALUE"""),229.86)</f>
        <v>229.86</v>
      </c>
      <c r="E300" s="141">
        <f ca="1">IFERROR(__xludf.DUMMYFUNCTION("""COMPUTED_VALUE"""),225.68)</f>
        <v>225.68</v>
      </c>
      <c r="F300" s="141">
        <f ca="1">IFERROR(__xludf.DUMMYFUNCTION("""COMPUTED_VALUE"""),226.49)</f>
        <v>226.49</v>
      </c>
      <c r="G300" s="143">
        <f ca="1">IFERROR(__xludf.DUMMYFUNCTION("""COMPUTED_VALUE"""),38052167)</f>
        <v>38052167</v>
      </c>
      <c r="H300" s="26"/>
    </row>
    <row r="301" spans="1:8" ht="17.25" customHeight="1" x14ac:dyDescent="0.2">
      <c r="A301" s="26"/>
      <c r="B301" s="139">
        <f ca="1">IFERROR(__xludf.DUMMYFUNCTION("""COMPUTED_VALUE"""),45533.6666666666)</f>
        <v>45533.666666666599</v>
      </c>
      <c r="C301" s="141">
        <f ca="1">IFERROR(__xludf.DUMMYFUNCTION("""COMPUTED_VALUE"""),230.1)</f>
        <v>230.1</v>
      </c>
      <c r="D301" s="141">
        <f ca="1">IFERROR(__xludf.DUMMYFUNCTION("""COMPUTED_VALUE"""),232.92)</f>
        <v>232.92</v>
      </c>
      <c r="E301" s="141">
        <f ca="1">IFERROR(__xludf.DUMMYFUNCTION("""COMPUTED_VALUE"""),228.88)</f>
        <v>228.88</v>
      </c>
      <c r="F301" s="141">
        <f ca="1">IFERROR(__xludf.DUMMYFUNCTION("""COMPUTED_VALUE"""),229.79)</f>
        <v>229.79</v>
      </c>
      <c r="G301" s="143">
        <f ca="1">IFERROR(__xludf.DUMMYFUNCTION("""COMPUTED_VALUE"""),51906297)</f>
        <v>51906297</v>
      </c>
      <c r="H301" s="26"/>
    </row>
    <row r="302" spans="1:8" ht="17.25" customHeight="1" x14ac:dyDescent="0.2">
      <c r="A302" s="26"/>
      <c r="B302" s="139">
        <f ca="1">IFERROR(__xludf.DUMMYFUNCTION("""COMPUTED_VALUE"""),45534.6666666666)</f>
        <v>45534.666666666599</v>
      </c>
      <c r="C302" s="141">
        <f ca="1">IFERROR(__xludf.DUMMYFUNCTION("""COMPUTED_VALUE"""),230.19)</f>
        <v>230.19</v>
      </c>
      <c r="D302" s="141">
        <f ca="1">IFERROR(__xludf.DUMMYFUNCTION("""COMPUTED_VALUE"""),230.4)</f>
        <v>230.4</v>
      </c>
      <c r="E302" s="141">
        <f ca="1">IFERROR(__xludf.DUMMYFUNCTION("""COMPUTED_VALUE"""),227.48)</f>
        <v>227.48</v>
      </c>
      <c r="F302" s="141">
        <f ca="1">IFERROR(__xludf.DUMMYFUNCTION("""COMPUTED_VALUE"""),229)</f>
        <v>229</v>
      </c>
      <c r="G302" s="143">
        <f ca="1">IFERROR(__xludf.DUMMYFUNCTION("""COMPUTED_VALUE"""),52990770)</f>
        <v>52990770</v>
      </c>
      <c r="H302" s="26"/>
    </row>
    <row r="303" spans="1:8" ht="17.25" customHeight="1" x14ac:dyDescent="0.2">
      <c r="A303" s="26"/>
      <c r="B303" s="139">
        <f ca="1">IFERROR(__xludf.DUMMYFUNCTION("""COMPUTED_VALUE"""),45538.6666666666)</f>
        <v>45538.666666666599</v>
      </c>
      <c r="C303" s="141">
        <f ca="1">IFERROR(__xludf.DUMMYFUNCTION("""COMPUTED_VALUE"""),228.55)</f>
        <v>228.55</v>
      </c>
      <c r="D303" s="141">
        <f ca="1">IFERROR(__xludf.DUMMYFUNCTION("""COMPUTED_VALUE"""),229)</f>
        <v>229</v>
      </c>
      <c r="E303" s="141">
        <f ca="1">IFERROR(__xludf.DUMMYFUNCTION("""COMPUTED_VALUE"""),221.17)</f>
        <v>221.17</v>
      </c>
      <c r="F303" s="141">
        <f ca="1">IFERROR(__xludf.DUMMYFUNCTION("""COMPUTED_VALUE"""),222.77)</f>
        <v>222.77</v>
      </c>
      <c r="G303" s="143">
        <f ca="1">IFERROR(__xludf.DUMMYFUNCTION("""COMPUTED_VALUE"""),50190574)</f>
        <v>50190574</v>
      </c>
      <c r="H303" s="26"/>
    </row>
    <row r="304" spans="1:8" ht="17.25" customHeight="1" x14ac:dyDescent="0.2">
      <c r="A304" s="26"/>
      <c r="B304" s="139">
        <f ca="1">IFERROR(__xludf.DUMMYFUNCTION("""COMPUTED_VALUE"""),45539.6666666666)</f>
        <v>45539.666666666599</v>
      </c>
      <c r="C304" s="141">
        <f ca="1">IFERROR(__xludf.DUMMYFUNCTION("""COMPUTED_VALUE"""),221.66)</f>
        <v>221.66</v>
      </c>
      <c r="D304" s="141">
        <f ca="1">IFERROR(__xludf.DUMMYFUNCTION("""COMPUTED_VALUE"""),221.78)</f>
        <v>221.78</v>
      </c>
      <c r="E304" s="141">
        <f ca="1">IFERROR(__xludf.DUMMYFUNCTION("""COMPUTED_VALUE"""),217.48)</f>
        <v>217.48</v>
      </c>
      <c r="F304" s="141">
        <f ca="1">IFERROR(__xludf.DUMMYFUNCTION("""COMPUTED_VALUE"""),220.85)</f>
        <v>220.85</v>
      </c>
      <c r="G304" s="143">
        <f ca="1">IFERROR(__xludf.DUMMYFUNCTION("""COMPUTED_VALUE"""),43840196)</f>
        <v>43840196</v>
      </c>
      <c r="H304" s="26"/>
    </row>
    <row r="305" spans="1:8" ht="17.25" customHeight="1" x14ac:dyDescent="0.2">
      <c r="A305" s="26"/>
      <c r="B305" s="139">
        <f ca="1">IFERROR(__xludf.DUMMYFUNCTION("""COMPUTED_VALUE"""),45540.6666666666)</f>
        <v>45540.666666666599</v>
      </c>
      <c r="C305" s="141">
        <f ca="1">IFERROR(__xludf.DUMMYFUNCTION("""COMPUTED_VALUE"""),221.63)</f>
        <v>221.63</v>
      </c>
      <c r="D305" s="141">
        <f ca="1">IFERROR(__xludf.DUMMYFUNCTION("""COMPUTED_VALUE"""),225.48)</f>
        <v>225.48</v>
      </c>
      <c r="E305" s="141">
        <f ca="1">IFERROR(__xludf.DUMMYFUNCTION("""COMPUTED_VALUE"""),221.52)</f>
        <v>221.52</v>
      </c>
      <c r="F305" s="141">
        <f ca="1">IFERROR(__xludf.DUMMYFUNCTION("""COMPUTED_VALUE"""),222.38)</f>
        <v>222.38</v>
      </c>
      <c r="G305" s="143">
        <f ca="1">IFERROR(__xludf.DUMMYFUNCTION("""COMPUTED_VALUE"""),36615398)</f>
        <v>36615398</v>
      </c>
      <c r="H305" s="26"/>
    </row>
    <row r="306" spans="1:8" ht="17.25" customHeight="1" x14ac:dyDescent="0.2">
      <c r="A306" s="26"/>
      <c r="B306" s="139">
        <f ca="1">IFERROR(__xludf.DUMMYFUNCTION("""COMPUTED_VALUE"""),45541.6666666666)</f>
        <v>45541.666666666599</v>
      </c>
      <c r="C306" s="141">
        <f ca="1">IFERROR(__xludf.DUMMYFUNCTION("""COMPUTED_VALUE"""),223.95)</f>
        <v>223.95</v>
      </c>
      <c r="D306" s="141">
        <f ca="1">IFERROR(__xludf.DUMMYFUNCTION("""COMPUTED_VALUE"""),225.24)</f>
        <v>225.24</v>
      </c>
      <c r="E306" s="141">
        <f ca="1">IFERROR(__xludf.DUMMYFUNCTION("""COMPUTED_VALUE"""),219.77)</f>
        <v>219.77</v>
      </c>
      <c r="F306" s="141">
        <f ca="1">IFERROR(__xludf.DUMMYFUNCTION("""COMPUTED_VALUE"""),220.82)</f>
        <v>220.82</v>
      </c>
      <c r="G306" s="143">
        <f ca="1">IFERROR(__xludf.DUMMYFUNCTION("""COMPUTED_VALUE"""),48423011)</f>
        <v>48423011</v>
      </c>
      <c r="H306" s="26"/>
    </row>
    <row r="307" spans="1:8" ht="17.25" customHeight="1" x14ac:dyDescent="0.2">
      <c r="A307" s="26"/>
      <c r="B307" s="139">
        <f ca="1">IFERROR(__xludf.DUMMYFUNCTION("""COMPUTED_VALUE"""),45544.6666666666)</f>
        <v>45544.666666666599</v>
      </c>
      <c r="C307" s="141">
        <f ca="1">IFERROR(__xludf.DUMMYFUNCTION("""COMPUTED_VALUE"""),220.82)</f>
        <v>220.82</v>
      </c>
      <c r="D307" s="141">
        <f ca="1">IFERROR(__xludf.DUMMYFUNCTION("""COMPUTED_VALUE"""),221.27)</f>
        <v>221.27</v>
      </c>
      <c r="E307" s="141">
        <f ca="1">IFERROR(__xludf.DUMMYFUNCTION("""COMPUTED_VALUE"""),216.71)</f>
        <v>216.71</v>
      </c>
      <c r="F307" s="141">
        <f ca="1">IFERROR(__xludf.DUMMYFUNCTION("""COMPUTED_VALUE"""),220.91)</f>
        <v>220.91</v>
      </c>
      <c r="G307" s="143">
        <f ca="1">IFERROR(__xludf.DUMMYFUNCTION("""COMPUTED_VALUE"""),67179965)</f>
        <v>67179965</v>
      </c>
      <c r="H307" s="26"/>
    </row>
    <row r="308" spans="1:8" ht="17.25" customHeight="1" x14ac:dyDescent="0.2">
      <c r="A308" s="26"/>
      <c r="B308" s="139">
        <f ca="1">IFERROR(__xludf.DUMMYFUNCTION("""COMPUTED_VALUE"""),45545.6666666666)</f>
        <v>45545.666666666599</v>
      </c>
      <c r="C308" s="141">
        <f ca="1">IFERROR(__xludf.DUMMYFUNCTION("""COMPUTED_VALUE"""),218.92)</f>
        <v>218.92</v>
      </c>
      <c r="D308" s="141">
        <f ca="1">IFERROR(__xludf.DUMMYFUNCTION("""COMPUTED_VALUE"""),221.48)</f>
        <v>221.48</v>
      </c>
      <c r="E308" s="141">
        <f ca="1">IFERROR(__xludf.DUMMYFUNCTION("""COMPUTED_VALUE"""),216.73)</f>
        <v>216.73</v>
      </c>
      <c r="F308" s="141">
        <f ca="1">IFERROR(__xludf.DUMMYFUNCTION("""COMPUTED_VALUE"""),220.11)</f>
        <v>220.11</v>
      </c>
      <c r="G308" s="143">
        <f ca="1">IFERROR(__xludf.DUMMYFUNCTION("""COMPUTED_VALUE"""),51591033)</f>
        <v>51591033</v>
      </c>
      <c r="H308" s="26"/>
    </row>
    <row r="309" spans="1:8" ht="17.25" customHeight="1" x14ac:dyDescent="0.2">
      <c r="A309" s="26"/>
      <c r="B309" s="139">
        <f ca="1">IFERROR(__xludf.DUMMYFUNCTION("""COMPUTED_VALUE"""),45546.6666666666)</f>
        <v>45546.666666666599</v>
      </c>
      <c r="C309" s="141">
        <f ca="1">IFERROR(__xludf.DUMMYFUNCTION("""COMPUTED_VALUE"""),221.46)</f>
        <v>221.46</v>
      </c>
      <c r="D309" s="141">
        <f ca="1">IFERROR(__xludf.DUMMYFUNCTION("""COMPUTED_VALUE"""),223.09)</f>
        <v>223.09</v>
      </c>
      <c r="E309" s="141">
        <f ca="1">IFERROR(__xludf.DUMMYFUNCTION("""COMPUTED_VALUE"""),217.89)</f>
        <v>217.89</v>
      </c>
      <c r="F309" s="141">
        <f ca="1">IFERROR(__xludf.DUMMYFUNCTION("""COMPUTED_VALUE"""),222.66)</f>
        <v>222.66</v>
      </c>
      <c r="G309" s="143">
        <f ca="1">IFERROR(__xludf.DUMMYFUNCTION("""COMPUTED_VALUE"""),44587072)</f>
        <v>44587072</v>
      </c>
      <c r="H309" s="26"/>
    </row>
    <row r="310" spans="1:8" ht="17.25" customHeight="1" x14ac:dyDescent="0.2">
      <c r="A310" s="26"/>
      <c r="B310" s="139">
        <f ca="1">IFERROR(__xludf.DUMMYFUNCTION("""COMPUTED_VALUE"""),45547.6666666666)</f>
        <v>45547.666666666599</v>
      </c>
      <c r="C310" s="141">
        <f ca="1">IFERROR(__xludf.DUMMYFUNCTION("""COMPUTED_VALUE"""),222.5)</f>
        <v>222.5</v>
      </c>
      <c r="D310" s="141">
        <f ca="1">IFERROR(__xludf.DUMMYFUNCTION("""COMPUTED_VALUE"""),223.55)</f>
        <v>223.55</v>
      </c>
      <c r="E310" s="141">
        <f ca="1">IFERROR(__xludf.DUMMYFUNCTION("""COMPUTED_VALUE"""),219.82)</f>
        <v>219.82</v>
      </c>
      <c r="F310" s="141">
        <f ca="1">IFERROR(__xludf.DUMMYFUNCTION("""COMPUTED_VALUE"""),222.77)</f>
        <v>222.77</v>
      </c>
      <c r="G310" s="143">
        <f ca="1">IFERROR(__xludf.DUMMYFUNCTION("""COMPUTED_VALUE"""),37498225)</f>
        <v>37498225</v>
      </c>
      <c r="H310" s="26"/>
    </row>
    <row r="311" spans="1:8" ht="17.25" customHeight="1" x14ac:dyDescent="0.2">
      <c r="A311" s="26"/>
      <c r="B311" s="139">
        <f ca="1">IFERROR(__xludf.DUMMYFUNCTION("""COMPUTED_VALUE"""),45548.6666666666)</f>
        <v>45548.666666666599</v>
      </c>
      <c r="C311" s="141">
        <f ca="1">IFERROR(__xludf.DUMMYFUNCTION("""COMPUTED_VALUE"""),223.58)</f>
        <v>223.58</v>
      </c>
      <c r="D311" s="141">
        <f ca="1">IFERROR(__xludf.DUMMYFUNCTION("""COMPUTED_VALUE"""),224.04)</f>
        <v>224.04</v>
      </c>
      <c r="E311" s="141">
        <f ca="1">IFERROR(__xludf.DUMMYFUNCTION("""COMPUTED_VALUE"""),221.91)</f>
        <v>221.91</v>
      </c>
      <c r="F311" s="141">
        <f ca="1">IFERROR(__xludf.DUMMYFUNCTION("""COMPUTED_VALUE"""),222.5)</f>
        <v>222.5</v>
      </c>
      <c r="G311" s="143">
        <f ca="1">IFERROR(__xludf.DUMMYFUNCTION("""COMPUTED_VALUE"""),36766619)</f>
        <v>36766619</v>
      </c>
      <c r="H311" s="26"/>
    </row>
    <row r="312" spans="1:8" ht="17.25" customHeight="1" x14ac:dyDescent="0.2">
      <c r="A312" s="26"/>
      <c r="B312" s="139">
        <f ca="1">IFERROR(__xludf.DUMMYFUNCTION("""COMPUTED_VALUE"""),45551.6666666666)</f>
        <v>45551.666666666599</v>
      </c>
      <c r="C312" s="141">
        <f ca="1">IFERROR(__xludf.DUMMYFUNCTION("""COMPUTED_VALUE"""),216.54)</f>
        <v>216.54</v>
      </c>
      <c r="D312" s="141">
        <f ca="1">IFERROR(__xludf.DUMMYFUNCTION("""COMPUTED_VALUE"""),217.22)</f>
        <v>217.22</v>
      </c>
      <c r="E312" s="141">
        <f ca="1">IFERROR(__xludf.DUMMYFUNCTION("""COMPUTED_VALUE"""),213.92)</f>
        <v>213.92</v>
      </c>
      <c r="F312" s="141">
        <f ca="1">IFERROR(__xludf.DUMMYFUNCTION("""COMPUTED_VALUE"""),216.32)</f>
        <v>216.32</v>
      </c>
      <c r="G312" s="143">
        <f ca="1">IFERROR(__xludf.DUMMYFUNCTION("""COMPUTED_VALUE"""),59357427)</f>
        <v>59357427</v>
      </c>
      <c r="H312" s="26"/>
    </row>
    <row r="313" spans="1:8" ht="17.25" customHeight="1" x14ac:dyDescent="0.2">
      <c r="A313" s="26"/>
      <c r="B313" s="139">
        <f ca="1">IFERROR(__xludf.DUMMYFUNCTION("""COMPUTED_VALUE"""),45552.6666666666)</f>
        <v>45552.666666666599</v>
      </c>
      <c r="C313" s="141">
        <f ca="1">IFERROR(__xludf.DUMMYFUNCTION("""COMPUTED_VALUE"""),215.75)</f>
        <v>215.75</v>
      </c>
      <c r="D313" s="141">
        <f ca="1">IFERROR(__xludf.DUMMYFUNCTION("""COMPUTED_VALUE"""),216.9)</f>
        <v>216.9</v>
      </c>
      <c r="E313" s="141">
        <f ca="1">IFERROR(__xludf.DUMMYFUNCTION("""COMPUTED_VALUE"""),214.5)</f>
        <v>214.5</v>
      </c>
      <c r="F313" s="141">
        <f ca="1">IFERROR(__xludf.DUMMYFUNCTION("""COMPUTED_VALUE"""),216.79)</f>
        <v>216.79</v>
      </c>
      <c r="G313" s="143">
        <f ca="1">IFERROR(__xludf.DUMMYFUNCTION("""COMPUTED_VALUE"""),45519339)</f>
        <v>45519339</v>
      </c>
      <c r="H313" s="26"/>
    </row>
    <row r="314" spans="1:8" ht="17.25" customHeight="1" x14ac:dyDescent="0.2">
      <c r="A314" s="26"/>
      <c r="B314" s="139">
        <f ca="1">IFERROR(__xludf.DUMMYFUNCTION("""COMPUTED_VALUE"""),45553.6666666666)</f>
        <v>45553.666666666599</v>
      </c>
      <c r="C314" s="141">
        <f ca="1">IFERROR(__xludf.DUMMYFUNCTION("""COMPUTED_VALUE"""),217.55)</f>
        <v>217.55</v>
      </c>
      <c r="D314" s="141">
        <f ca="1">IFERROR(__xludf.DUMMYFUNCTION("""COMPUTED_VALUE"""),222.71)</f>
        <v>222.71</v>
      </c>
      <c r="E314" s="141">
        <f ca="1">IFERROR(__xludf.DUMMYFUNCTION("""COMPUTED_VALUE"""),217.54)</f>
        <v>217.54</v>
      </c>
      <c r="F314" s="141">
        <f ca="1">IFERROR(__xludf.DUMMYFUNCTION("""COMPUTED_VALUE"""),220.69)</f>
        <v>220.69</v>
      </c>
      <c r="G314" s="143">
        <f ca="1">IFERROR(__xludf.DUMMYFUNCTION("""COMPUTED_VALUE"""),59894928)</f>
        <v>59894928</v>
      </c>
      <c r="H314" s="26"/>
    </row>
    <row r="315" spans="1:8" ht="17.25" customHeight="1" x14ac:dyDescent="0.2">
      <c r="A315" s="26"/>
      <c r="B315" s="139">
        <f ca="1">IFERROR(__xludf.DUMMYFUNCTION("""COMPUTED_VALUE"""),45554.6666666666)</f>
        <v>45554.666666666599</v>
      </c>
      <c r="C315" s="141">
        <f ca="1">IFERROR(__xludf.DUMMYFUNCTION("""COMPUTED_VALUE"""),224.99)</f>
        <v>224.99</v>
      </c>
      <c r="D315" s="141">
        <f ca="1">IFERROR(__xludf.DUMMYFUNCTION("""COMPUTED_VALUE"""),229.82)</f>
        <v>229.82</v>
      </c>
      <c r="E315" s="141">
        <f ca="1">IFERROR(__xludf.DUMMYFUNCTION("""COMPUTED_VALUE"""),224.63)</f>
        <v>224.63</v>
      </c>
      <c r="F315" s="141">
        <f ca="1">IFERROR(__xludf.DUMMYFUNCTION("""COMPUTED_VALUE"""),228.87)</f>
        <v>228.87</v>
      </c>
      <c r="G315" s="143">
        <f ca="1">IFERROR(__xludf.DUMMYFUNCTION("""COMPUTED_VALUE"""),66781315)</f>
        <v>66781315</v>
      </c>
      <c r="H315" s="26"/>
    </row>
    <row r="316" spans="1:8" ht="17.25" customHeight="1" x14ac:dyDescent="0.2">
      <c r="A316" s="26"/>
      <c r="B316" s="139">
        <f ca="1">IFERROR(__xludf.DUMMYFUNCTION("""COMPUTED_VALUE"""),45555.6666666666)</f>
        <v>45555.666666666599</v>
      </c>
      <c r="C316" s="141">
        <f ca="1">IFERROR(__xludf.DUMMYFUNCTION("""COMPUTED_VALUE"""),229.97)</f>
        <v>229.97</v>
      </c>
      <c r="D316" s="141">
        <f ca="1">IFERROR(__xludf.DUMMYFUNCTION("""COMPUTED_VALUE"""),233.09)</f>
        <v>233.09</v>
      </c>
      <c r="E316" s="141">
        <f ca="1">IFERROR(__xludf.DUMMYFUNCTION("""COMPUTED_VALUE"""),227.62)</f>
        <v>227.62</v>
      </c>
      <c r="F316" s="141">
        <f ca="1">IFERROR(__xludf.DUMMYFUNCTION("""COMPUTED_VALUE"""),228.2)</f>
        <v>228.2</v>
      </c>
      <c r="G316" s="143">
        <f ca="1">IFERROR(__xludf.DUMMYFUNCTION("""COMPUTED_VALUE"""),318679888)</f>
        <v>318679888</v>
      </c>
      <c r="H316" s="26"/>
    </row>
    <row r="317" spans="1:8" ht="17.25" customHeight="1" x14ac:dyDescent="0.2">
      <c r="A317" s="26"/>
      <c r="B317" s="139">
        <f ca="1">IFERROR(__xludf.DUMMYFUNCTION("""COMPUTED_VALUE"""),45558.6666666666)</f>
        <v>45558.666666666599</v>
      </c>
      <c r="C317" s="141">
        <f ca="1">IFERROR(__xludf.DUMMYFUNCTION("""COMPUTED_VALUE"""),227.34)</f>
        <v>227.34</v>
      </c>
      <c r="D317" s="141">
        <f ca="1">IFERROR(__xludf.DUMMYFUNCTION("""COMPUTED_VALUE"""),229.45)</f>
        <v>229.45</v>
      </c>
      <c r="E317" s="141">
        <f ca="1">IFERROR(__xludf.DUMMYFUNCTION("""COMPUTED_VALUE"""),225.81)</f>
        <v>225.81</v>
      </c>
      <c r="F317" s="141">
        <f ca="1">IFERROR(__xludf.DUMMYFUNCTION("""COMPUTED_VALUE"""),226.47)</f>
        <v>226.47</v>
      </c>
      <c r="G317" s="143">
        <f ca="1">IFERROR(__xludf.DUMMYFUNCTION("""COMPUTED_VALUE"""),54146023)</f>
        <v>54146023</v>
      </c>
      <c r="H317" s="26"/>
    </row>
    <row r="318" spans="1:8" ht="17.25" customHeight="1" x14ac:dyDescent="0.2">
      <c r="A318" s="26"/>
      <c r="B318" s="139">
        <f ca="1">IFERROR(__xludf.DUMMYFUNCTION("""COMPUTED_VALUE"""),45559.6666666666)</f>
        <v>45559.666666666599</v>
      </c>
      <c r="C318" s="141">
        <f ca="1">IFERROR(__xludf.DUMMYFUNCTION("""COMPUTED_VALUE"""),228.65)</f>
        <v>228.65</v>
      </c>
      <c r="D318" s="141">
        <f ca="1">IFERROR(__xludf.DUMMYFUNCTION("""COMPUTED_VALUE"""),229.35)</f>
        <v>229.35</v>
      </c>
      <c r="E318" s="141">
        <f ca="1">IFERROR(__xludf.DUMMYFUNCTION("""COMPUTED_VALUE"""),225.73)</f>
        <v>225.73</v>
      </c>
      <c r="F318" s="141">
        <f ca="1">IFERROR(__xludf.DUMMYFUNCTION("""COMPUTED_VALUE"""),227.37)</f>
        <v>227.37</v>
      </c>
      <c r="G318" s="143">
        <f ca="1">IFERROR(__xludf.DUMMYFUNCTION("""COMPUTED_VALUE"""),43556068)</f>
        <v>43556068</v>
      </c>
      <c r="H318" s="26"/>
    </row>
    <row r="319" spans="1:8" ht="17.25" customHeight="1" x14ac:dyDescent="0.2">
      <c r="A319" s="26"/>
      <c r="B319" s="139">
        <f ca="1">IFERROR(__xludf.DUMMYFUNCTION("""COMPUTED_VALUE"""),45560.6666666666)</f>
        <v>45560.666666666599</v>
      </c>
      <c r="C319" s="141">
        <f ca="1">IFERROR(__xludf.DUMMYFUNCTION("""COMPUTED_VALUE"""),224.93)</f>
        <v>224.93</v>
      </c>
      <c r="D319" s="141">
        <f ca="1">IFERROR(__xludf.DUMMYFUNCTION("""COMPUTED_VALUE"""),227.29)</f>
        <v>227.29</v>
      </c>
      <c r="E319" s="141">
        <f ca="1">IFERROR(__xludf.DUMMYFUNCTION("""COMPUTED_VALUE"""),224.02)</f>
        <v>224.02</v>
      </c>
      <c r="F319" s="141">
        <f ca="1">IFERROR(__xludf.DUMMYFUNCTION("""COMPUTED_VALUE"""),226.37)</f>
        <v>226.37</v>
      </c>
      <c r="G319" s="143">
        <f ca="1">IFERROR(__xludf.DUMMYFUNCTION("""COMPUTED_VALUE"""),42308715)</f>
        <v>42308715</v>
      </c>
      <c r="H319" s="26"/>
    </row>
    <row r="320" spans="1:8" ht="17.25" customHeight="1" x14ac:dyDescent="0.2">
      <c r="A320" s="26"/>
      <c r="B320" s="139">
        <f ca="1">IFERROR(__xludf.DUMMYFUNCTION("""COMPUTED_VALUE"""),45561.6666666666)</f>
        <v>45561.666666666599</v>
      </c>
      <c r="C320" s="141">
        <f ca="1">IFERROR(__xludf.DUMMYFUNCTION("""COMPUTED_VALUE"""),227.3)</f>
        <v>227.3</v>
      </c>
      <c r="D320" s="141">
        <f ca="1">IFERROR(__xludf.DUMMYFUNCTION("""COMPUTED_VALUE"""),228.5)</f>
        <v>228.5</v>
      </c>
      <c r="E320" s="141">
        <f ca="1">IFERROR(__xludf.DUMMYFUNCTION("""COMPUTED_VALUE"""),225.41)</f>
        <v>225.41</v>
      </c>
      <c r="F320" s="141">
        <f ca="1">IFERROR(__xludf.DUMMYFUNCTION("""COMPUTED_VALUE"""),227.52)</f>
        <v>227.52</v>
      </c>
      <c r="G320" s="143">
        <f ca="1">IFERROR(__xludf.DUMMYFUNCTION("""COMPUTED_VALUE"""),36636707)</f>
        <v>36636707</v>
      </c>
      <c r="H320" s="26"/>
    </row>
    <row r="321" spans="1:8" ht="17.25" customHeight="1" x14ac:dyDescent="0.2">
      <c r="A321" s="26"/>
      <c r="B321" s="139">
        <f ca="1">IFERROR(__xludf.DUMMYFUNCTION("""COMPUTED_VALUE"""),45562.6666666666)</f>
        <v>45562.666666666599</v>
      </c>
      <c r="C321" s="141">
        <f ca="1">IFERROR(__xludf.DUMMYFUNCTION("""COMPUTED_VALUE"""),228.46)</f>
        <v>228.46</v>
      </c>
      <c r="D321" s="141">
        <f ca="1">IFERROR(__xludf.DUMMYFUNCTION("""COMPUTED_VALUE"""),229.52)</f>
        <v>229.52</v>
      </c>
      <c r="E321" s="141">
        <f ca="1">IFERROR(__xludf.DUMMYFUNCTION("""COMPUTED_VALUE"""),227.3)</f>
        <v>227.3</v>
      </c>
      <c r="F321" s="141">
        <f ca="1">IFERROR(__xludf.DUMMYFUNCTION("""COMPUTED_VALUE"""),227.79)</f>
        <v>227.79</v>
      </c>
      <c r="G321" s="143">
        <f ca="1">IFERROR(__xludf.DUMMYFUNCTION("""COMPUTED_VALUE"""),34025967)</f>
        <v>34025967</v>
      </c>
      <c r="H321" s="26"/>
    </row>
    <row r="322" spans="1:8" ht="17.25" customHeight="1" x14ac:dyDescent="0.2">
      <c r="A322" s="26"/>
      <c r="B322" s="139">
        <f ca="1">IFERROR(__xludf.DUMMYFUNCTION("""COMPUTED_VALUE"""),45565.6666666666)</f>
        <v>45565.666666666599</v>
      </c>
      <c r="C322" s="141">
        <f ca="1">IFERROR(__xludf.DUMMYFUNCTION("""COMPUTED_VALUE"""),230.04)</f>
        <v>230.04</v>
      </c>
      <c r="D322" s="141">
        <f ca="1">IFERROR(__xludf.DUMMYFUNCTION("""COMPUTED_VALUE"""),233)</f>
        <v>233</v>
      </c>
      <c r="E322" s="141">
        <f ca="1">IFERROR(__xludf.DUMMYFUNCTION("""COMPUTED_VALUE"""),229.65)</f>
        <v>229.65</v>
      </c>
      <c r="F322" s="141">
        <f ca="1">IFERROR(__xludf.DUMMYFUNCTION("""COMPUTED_VALUE"""),233)</f>
        <v>233</v>
      </c>
      <c r="G322" s="143">
        <f ca="1">IFERROR(__xludf.DUMMYFUNCTION("""COMPUTED_VALUE"""),54793391)</f>
        <v>54793391</v>
      </c>
      <c r="H322" s="26"/>
    </row>
    <row r="323" spans="1:8" ht="17.25" customHeight="1" x14ac:dyDescent="0.2">
      <c r="A323" s="26"/>
      <c r="B323" s="139">
        <f ca="1">IFERROR(__xludf.DUMMYFUNCTION("""COMPUTED_VALUE"""),45566.6666666666)</f>
        <v>45566.666666666599</v>
      </c>
      <c r="C323" s="141">
        <f ca="1">IFERROR(__xludf.DUMMYFUNCTION("""COMPUTED_VALUE"""),229.52)</f>
        <v>229.52</v>
      </c>
      <c r="D323" s="141">
        <f ca="1">IFERROR(__xludf.DUMMYFUNCTION("""COMPUTED_VALUE"""),229.65)</f>
        <v>229.65</v>
      </c>
      <c r="E323" s="141">
        <f ca="1">IFERROR(__xludf.DUMMYFUNCTION("""COMPUTED_VALUE"""),223.74)</f>
        <v>223.74</v>
      </c>
      <c r="F323" s="141">
        <f ca="1">IFERROR(__xludf.DUMMYFUNCTION("""COMPUTED_VALUE"""),226.21)</f>
        <v>226.21</v>
      </c>
      <c r="G323" s="143">
        <f ca="1">IFERROR(__xludf.DUMMYFUNCTION("""COMPUTED_VALUE"""),63285048)</f>
        <v>63285048</v>
      </c>
      <c r="H323" s="26"/>
    </row>
    <row r="324" spans="1:8" ht="17.25" customHeight="1" x14ac:dyDescent="0.2">
      <c r="A324" s="26"/>
      <c r="B324" s="139">
        <f ca="1">IFERROR(__xludf.DUMMYFUNCTION("""COMPUTED_VALUE"""),45567.6666666666)</f>
        <v>45567.666666666599</v>
      </c>
      <c r="C324" s="141">
        <f ca="1">IFERROR(__xludf.DUMMYFUNCTION("""COMPUTED_VALUE"""),225.89)</f>
        <v>225.89</v>
      </c>
      <c r="D324" s="141">
        <f ca="1">IFERROR(__xludf.DUMMYFUNCTION("""COMPUTED_VALUE"""),227.37)</f>
        <v>227.37</v>
      </c>
      <c r="E324" s="141">
        <f ca="1">IFERROR(__xludf.DUMMYFUNCTION("""COMPUTED_VALUE"""),223.02)</f>
        <v>223.02</v>
      </c>
      <c r="F324" s="141">
        <f ca="1">IFERROR(__xludf.DUMMYFUNCTION("""COMPUTED_VALUE"""),226.78)</f>
        <v>226.78</v>
      </c>
      <c r="G324" s="143">
        <f ca="1">IFERROR(__xludf.DUMMYFUNCTION("""COMPUTED_VALUE"""),32880605)</f>
        <v>32880605</v>
      </c>
      <c r="H324" s="26"/>
    </row>
    <row r="325" spans="1:8" ht="17.25" customHeight="1" x14ac:dyDescent="0.2">
      <c r="A325" s="26"/>
      <c r="B325" s="139">
        <f ca="1">IFERROR(__xludf.DUMMYFUNCTION("""COMPUTED_VALUE"""),45568.6666666666)</f>
        <v>45568.666666666599</v>
      </c>
      <c r="C325" s="141">
        <f ca="1">IFERROR(__xludf.DUMMYFUNCTION("""COMPUTED_VALUE"""),225.14)</f>
        <v>225.14</v>
      </c>
      <c r="D325" s="141">
        <f ca="1">IFERROR(__xludf.DUMMYFUNCTION("""COMPUTED_VALUE"""),226.81)</f>
        <v>226.81</v>
      </c>
      <c r="E325" s="141">
        <f ca="1">IFERROR(__xludf.DUMMYFUNCTION("""COMPUTED_VALUE"""),223.32)</f>
        <v>223.32</v>
      </c>
      <c r="F325" s="141">
        <f ca="1">IFERROR(__xludf.DUMMYFUNCTION("""COMPUTED_VALUE"""),225.67)</f>
        <v>225.67</v>
      </c>
      <c r="G325" s="143">
        <f ca="1">IFERROR(__xludf.DUMMYFUNCTION("""COMPUTED_VALUE"""),34044158)</f>
        <v>34044158</v>
      </c>
      <c r="H325" s="26"/>
    </row>
    <row r="326" spans="1:8" ht="17.25" customHeight="1" x14ac:dyDescent="0.2">
      <c r="A326" s="26"/>
      <c r="B326" s="139">
        <f ca="1">IFERROR(__xludf.DUMMYFUNCTION("""COMPUTED_VALUE"""),45569.6666666666)</f>
        <v>45569.666666666599</v>
      </c>
      <c r="C326" s="141">
        <f ca="1">IFERROR(__xludf.DUMMYFUNCTION("""COMPUTED_VALUE"""),227.9)</f>
        <v>227.9</v>
      </c>
      <c r="D326" s="141">
        <f ca="1">IFERROR(__xludf.DUMMYFUNCTION("""COMPUTED_VALUE"""),228)</f>
        <v>228</v>
      </c>
      <c r="E326" s="141">
        <f ca="1">IFERROR(__xludf.DUMMYFUNCTION("""COMPUTED_VALUE"""),224.13)</f>
        <v>224.13</v>
      </c>
      <c r="F326" s="141">
        <f ca="1">IFERROR(__xludf.DUMMYFUNCTION("""COMPUTED_VALUE"""),226.8)</f>
        <v>226.8</v>
      </c>
      <c r="G326" s="143">
        <f ca="1">IFERROR(__xludf.DUMMYFUNCTION("""COMPUTED_VALUE"""),37345098)</f>
        <v>37345098</v>
      </c>
      <c r="H326" s="26"/>
    </row>
    <row r="327" spans="1:8" ht="17.25" customHeight="1" x14ac:dyDescent="0.2">
      <c r="A327" s="26"/>
      <c r="B327" s="139">
        <f ca="1">IFERROR(__xludf.DUMMYFUNCTION("""COMPUTED_VALUE"""),45572.6666666666)</f>
        <v>45572.666666666599</v>
      </c>
      <c r="C327" s="141">
        <f ca="1">IFERROR(__xludf.DUMMYFUNCTION("""COMPUTED_VALUE"""),224.5)</f>
        <v>224.5</v>
      </c>
      <c r="D327" s="141">
        <f ca="1">IFERROR(__xludf.DUMMYFUNCTION("""COMPUTED_VALUE"""),225.69)</f>
        <v>225.69</v>
      </c>
      <c r="E327" s="141">
        <f ca="1">IFERROR(__xludf.DUMMYFUNCTION("""COMPUTED_VALUE"""),221.33)</f>
        <v>221.33</v>
      </c>
      <c r="F327" s="141">
        <f ca="1">IFERROR(__xludf.DUMMYFUNCTION("""COMPUTED_VALUE"""),221.69)</f>
        <v>221.69</v>
      </c>
      <c r="G327" s="143">
        <f ca="1">IFERROR(__xludf.DUMMYFUNCTION("""COMPUTED_VALUE"""),39505354)</f>
        <v>39505354</v>
      </c>
      <c r="H327" s="26"/>
    </row>
    <row r="328" spans="1:8" ht="17.25" customHeight="1" x14ac:dyDescent="0.2">
      <c r="A328" s="26"/>
      <c r="B328" s="139">
        <f ca="1">IFERROR(__xludf.DUMMYFUNCTION("""COMPUTED_VALUE"""),45573.6666666666)</f>
        <v>45573.666666666599</v>
      </c>
      <c r="C328" s="141">
        <f ca="1">IFERROR(__xludf.DUMMYFUNCTION("""COMPUTED_VALUE"""),224.3)</f>
        <v>224.3</v>
      </c>
      <c r="D328" s="141">
        <f ca="1">IFERROR(__xludf.DUMMYFUNCTION("""COMPUTED_VALUE"""),225.98)</f>
        <v>225.98</v>
      </c>
      <c r="E328" s="141">
        <f ca="1">IFERROR(__xludf.DUMMYFUNCTION("""COMPUTED_VALUE"""),223.25)</f>
        <v>223.25</v>
      </c>
      <c r="F328" s="141">
        <f ca="1">IFERROR(__xludf.DUMMYFUNCTION("""COMPUTED_VALUE"""),225.77)</f>
        <v>225.77</v>
      </c>
      <c r="G328" s="143">
        <f ca="1">IFERROR(__xludf.DUMMYFUNCTION("""COMPUTED_VALUE"""),31855693)</f>
        <v>31855693</v>
      </c>
      <c r="H328" s="26"/>
    </row>
    <row r="329" spans="1:8" ht="17.25" customHeight="1" x14ac:dyDescent="0.2">
      <c r="A329" s="26"/>
      <c r="B329" s="139">
        <f ca="1">IFERROR(__xludf.DUMMYFUNCTION("""COMPUTED_VALUE"""),45574.6666666666)</f>
        <v>45574.666666666599</v>
      </c>
      <c r="C329" s="141">
        <f ca="1">IFERROR(__xludf.DUMMYFUNCTION("""COMPUTED_VALUE"""),225.23)</f>
        <v>225.23</v>
      </c>
      <c r="D329" s="141">
        <f ca="1">IFERROR(__xludf.DUMMYFUNCTION("""COMPUTED_VALUE"""),229.75)</f>
        <v>229.75</v>
      </c>
      <c r="E329" s="141">
        <f ca="1">IFERROR(__xludf.DUMMYFUNCTION("""COMPUTED_VALUE"""),224.83)</f>
        <v>224.83</v>
      </c>
      <c r="F329" s="141">
        <f ca="1">IFERROR(__xludf.DUMMYFUNCTION("""COMPUTED_VALUE"""),229.54)</f>
        <v>229.54</v>
      </c>
      <c r="G329" s="143">
        <f ca="1">IFERROR(__xludf.DUMMYFUNCTION("""COMPUTED_VALUE"""),33591091)</f>
        <v>33591091</v>
      </c>
      <c r="H329" s="26"/>
    </row>
    <row r="330" spans="1:8" ht="17.25" customHeight="1" x14ac:dyDescent="0.2">
      <c r="A330" s="26"/>
      <c r="B330" s="139">
        <f ca="1">IFERROR(__xludf.DUMMYFUNCTION("""COMPUTED_VALUE"""),45575.6666666666)</f>
        <v>45575.666666666599</v>
      </c>
      <c r="C330" s="141">
        <f ca="1">IFERROR(__xludf.DUMMYFUNCTION("""COMPUTED_VALUE"""),227.78)</f>
        <v>227.78</v>
      </c>
      <c r="D330" s="141">
        <f ca="1">IFERROR(__xludf.DUMMYFUNCTION("""COMPUTED_VALUE"""),229.5)</f>
        <v>229.5</v>
      </c>
      <c r="E330" s="141">
        <f ca="1">IFERROR(__xludf.DUMMYFUNCTION("""COMPUTED_VALUE"""),227.17)</f>
        <v>227.17</v>
      </c>
      <c r="F330" s="141">
        <f ca="1">IFERROR(__xludf.DUMMYFUNCTION("""COMPUTED_VALUE"""),229.04)</f>
        <v>229.04</v>
      </c>
      <c r="G330" s="143">
        <f ca="1">IFERROR(__xludf.DUMMYFUNCTION("""COMPUTED_VALUE"""),28183544)</f>
        <v>28183544</v>
      </c>
      <c r="H330" s="26"/>
    </row>
    <row r="331" spans="1:8" ht="17.25" customHeight="1" x14ac:dyDescent="0.2">
      <c r="A331" s="26"/>
      <c r="B331" s="139">
        <f ca="1">IFERROR(__xludf.DUMMYFUNCTION("""COMPUTED_VALUE"""),45576.6666666666)</f>
        <v>45576.666666666599</v>
      </c>
      <c r="C331" s="141">
        <f ca="1">IFERROR(__xludf.DUMMYFUNCTION("""COMPUTED_VALUE"""),229.3)</f>
        <v>229.3</v>
      </c>
      <c r="D331" s="141">
        <f ca="1">IFERROR(__xludf.DUMMYFUNCTION("""COMPUTED_VALUE"""),229.41)</f>
        <v>229.41</v>
      </c>
      <c r="E331" s="141">
        <f ca="1">IFERROR(__xludf.DUMMYFUNCTION("""COMPUTED_VALUE"""),227.34)</f>
        <v>227.34</v>
      </c>
      <c r="F331" s="141">
        <f ca="1">IFERROR(__xludf.DUMMYFUNCTION("""COMPUTED_VALUE"""),227.55)</f>
        <v>227.55</v>
      </c>
      <c r="G331" s="143">
        <f ca="1">IFERROR(__xludf.DUMMYFUNCTION("""COMPUTED_VALUE"""),31759188)</f>
        <v>31759188</v>
      </c>
      <c r="H331" s="26"/>
    </row>
    <row r="332" spans="1:8" ht="17.25" customHeight="1" x14ac:dyDescent="0.2">
      <c r="A332" s="26"/>
      <c r="B332" s="139">
        <f ca="1">IFERROR(__xludf.DUMMYFUNCTION("""COMPUTED_VALUE"""),45579.6666666666)</f>
        <v>45579.666666666599</v>
      </c>
      <c r="C332" s="141">
        <f ca="1">IFERROR(__xludf.DUMMYFUNCTION("""COMPUTED_VALUE"""),228.7)</f>
        <v>228.7</v>
      </c>
      <c r="D332" s="141">
        <f ca="1">IFERROR(__xludf.DUMMYFUNCTION("""COMPUTED_VALUE"""),231.73)</f>
        <v>231.73</v>
      </c>
      <c r="E332" s="141">
        <f ca="1">IFERROR(__xludf.DUMMYFUNCTION("""COMPUTED_VALUE"""),228.6)</f>
        <v>228.6</v>
      </c>
      <c r="F332" s="141">
        <f ca="1">IFERROR(__xludf.DUMMYFUNCTION("""COMPUTED_VALUE"""),231.3)</f>
        <v>231.3</v>
      </c>
      <c r="G332" s="143">
        <f ca="1">IFERROR(__xludf.DUMMYFUNCTION("""COMPUTED_VALUE"""),39882085)</f>
        <v>39882085</v>
      </c>
      <c r="H332" s="26"/>
    </row>
    <row r="333" spans="1:8" ht="17.25" customHeight="1" x14ac:dyDescent="0.2">
      <c r="A333" s="26"/>
      <c r="B333" s="139">
        <f ca="1">IFERROR(__xludf.DUMMYFUNCTION("""COMPUTED_VALUE"""),45580.6666666666)</f>
        <v>45580.666666666599</v>
      </c>
      <c r="C333" s="141">
        <f ca="1">IFERROR(__xludf.DUMMYFUNCTION("""COMPUTED_VALUE"""),233.61)</f>
        <v>233.61</v>
      </c>
      <c r="D333" s="141">
        <f ca="1">IFERROR(__xludf.DUMMYFUNCTION("""COMPUTED_VALUE"""),237.49)</f>
        <v>237.49</v>
      </c>
      <c r="E333" s="141">
        <f ca="1">IFERROR(__xludf.DUMMYFUNCTION("""COMPUTED_VALUE"""),232.37)</f>
        <v>232.37</v>
      </c>
      <c r="F333" s="141">
        <f ca="1">IFERROR(__xludf.DUMMYFUNCTION("""COMPUTED_VALUE"""),233.85)</f>
        <v>233.85</v>
      </c>
      <c r="G333" s="143">
        <f ca="1">IFERROR(__xludf.DUMMYFUNCTION("""COMPUTED_VALUE"""),64751367)</f>
        <v>64751367</v>
      </c>
      <c r="H333" s="26"/>
    </row>
    <row r="334" spans="1:8" ht="17.25" customHeight="1" x14ac:dyDescent="0.2">
      <c r="A334" s="26"/>
      <c r="B334" s="139">
        <f ca="1">IFERROR(__xludf.DUMMYFUNCTION("""COMPUTED_VALUE"""),45581.6666666666)</f>
        <v>45581.666666666599</v>
      </c>
      <c r="C334" s="141">
        <f ca="1">IFERROR(__xludf.DUMMYFUNCTION("""COMPUTED_VALUE"""),231.6)</f>
        <v>231.6</v>
      </c>
      <c r="D334" s="141">
        <f ca="1">IFERROR(__xludf.DUMMYFUNCTION("""COMPUTED_VALUE"""),232.12)</f>
        <v>232.12</v>
      </c>
      <c r="E334" s="141">
        <f ca="1">IFERROR(__xludf.DUMMYFUNCTION("""COMPUTED_VALUE"""),229.84)</f>
        <v>229.84</v>
      </c>
      <c r="F334" s="141">
        <f ca="1">IFERROR(__xludf.DUMMYFUNCTION("""COMPUTED_VALUE"""),231.78)</f>
        <v>231.78</v>
      </c>
      <c r="G334" s="143">
        <f ca="1">IFERROR(__xludf.DUMMYFUNCTION("""COMPUTED_VALUE"""),34082240)</f>
        <v>34082240</v>
      </c>
      <c r="H334" s="26"/>
    </row>
    <row r="335" spans="1:8" ht="17.25" customHeight="1" x14ac:dyDescent="0.2">
      <c r="A335" s="26"/>
      <c r="B335" s="139">
        <f ca="1">IFERROR(__xludf.DUMMYFUNCTION("""COMPUTED_VALUE"""),45582.6666666666)</f>
        <v>45582.666666666599</v>
      </c>
      <c r="C335" s="141">
        <f ca="1">IFERROR(__xludf.DUMMYFUNCTION("""COMPUTED_VALUE"""),233.43)</f>
        <v>233.43</v>
      </c>
      <c r="D335" s="141">
        <f ca="1">IFERROR(__xludf.DUMMYFUNCTION("""COMPUTED_VALUE"""),233.85)</f>
        <v>233.85</v>
      </c>
      <c r="E335" s="141">
        <f ca="1">IFERROR(__xludf.DUMMYFUNCTION("""COMPUTED_VALUE"""),230.52)</f>
        <v>230.52</v>
      </c>
      <c r="F335" s="141">
        <f ca="1">IFERROR(__xludf.DUMMYFUNCTION("""COMPUTED_VALUE"""),232.15)</f>
        <v>232.15</v>
      </c>
      <c r="G335" s="143">
        <f ca="1">IFERROR(__xludf.DUMMYFUNCTION("""COMPUTED_VALUE"""),32993810)</f>
        <v>32993810</v>
      </c>
      <c r="H335" s="26"/>
    </row>
    <row r="336" spans="1:8" ht="17.25" customHeight="1" x14ac:dyDescent="0.2">
      <c r="A336" s="26"/>
      <c r="B336" s="139">
        <f ca="1">IFERROR(__xludf.DUMMYFUNCTION("""COMPUTED_VALUE"""),45583.6666666666)</f>
        <v>45583.666666666599</v>
      </c>
      <c r="C336" s="141">
        <f ca="1">IFERROR(__xludf.DUMMYFUNCTION("""COMPUTED_VALUE"""),236.18)</f>
        <v>236.18</v>
      </c>
      <c r="D336" s="141">
        <f ca="1">IFERROR(__xludf.DUMMYFUNCTION("""COMPUTED_VALUE"""),236.18)</f>
        <v>236.18</v>
      </c>
      <c r="E336" s="141">
        <f ca="1">IFERROR(__xludf.DUMMYFUNCTION("""COMPUTED_VALUE"""),234.01)</f>
        <v>234.01</v>
      </c>
      <c r="F336" s="141">
        <f ca="1">IFERROR(__xludf.DUMMYFUNCTION("""COMPUTED_VALUE"""),235)</f>
        <v>235</v>
      </c>
      <c r="G336" s="143">
        <f ca="1">IFERROR(__xludf.DUMMYFUNCTION("""COMPUTED_VALUE"""),46431472)</f>
        <v>46431472</v>
      </c>
      <c r="H336" s="26"/>
    </row>
    <row r="337" spans="1:8" ht="17.25" customHeight="1" x14ac:dyDescent="0.2">
      <c r="A337" s="26"/>
      <c r="B337" s="139">
        <f ca="1">IFERROR(__xludf.DUMMYFUNCTION("""COMPUTED_VALUE"""),45586.6666666666)</f>
        <v>45586.666666666599</v>
      </c>
      <c r="C337" s="141">
        <f ca="1">IFERROR(__xludf.DUMMYFUNCTION("""COMPUTED_VALUE"""),234.45)</f>
        <v>234.45</v>
      </c>
      <c r="D337" s="141">
        <f ca="1">IFERROR(__xludf.DUMMYFUNCTION("""COMPUTED_VALUE"""),236.85)</f>
        <v>236.85</v>
      </c>
      <c r="E337" s="141">
        <f ca="1">IFERROR(__xludf.DUMMYFUNCTION("""COMPUTED_VALUE"""),234.45)</f>
        <v>234.45</v>
      </c>
      <c r="F337" s="141">
        <f ca="1">IFERROR(__xludf.DUMMYFUNCTION("""COMPUTED_VALUE"""),236.48)</f>
        <v>236.48</v>
      </c>
      <c r="G337" s="143">
        <f ca="1">IFERROR(__xludf.DUMMYFUNCTION("""COMPUTED_VALUE"""),36254470)</f>
        <v>36254470</v>
      </c>
      <c r="H337" s="26"/>
    </row>
    <row r="338" spans="1:8" ht="17.25" customHeight="1" x14ac:dyDescent="0.2">
      <c r="A338" s="26"/>
      <c r="B338" s="139">
        <f ca="1">IFERROR(__xludf.DUMMYFUNCTION("""COMPUTED_VALUE"""),45587.6666666666)</f>
        <v>45587.666666666599</v>
      </c>
      <c r="C338" s="141">
        <f ca="1">IFERROR(__xludf.DUMMYFUNCTION("""COMPUTED_VALUE"""),233.89)</f>
        <v>233.89</v>
      </c>
      <c r="D338" s="141">
        <f ca="1">IFERROR(__xludf.DUMMYFUNCTION("""COMPUTED_VALUE"""),236.22)</f>
        <v>236.22</v>
      </c>
      <c r="E338" s="141">
        <f ca="1">IFERROR(__xludf.DUMMYFUNCTION("""COMPUTED_VALUE"""),232.6)</f>
        <v>232.6</v>
      </c>
      <c r="F338" s="141">
        <f ca="1">IFERROR(__xludf.DUMMYFUNCTION("""COMPUTED_VALUE"""),235.86)</f>
        <v>235.86</v>
      </c>
      <c r="G338" s="143">
        <f ca="1">IFERROR(__xludf.DUMMYFUNCTION("""COMPUTED_VALUE"""),38846578)</f>
        <v>38846578</v>
      </c>
      <c r="H338" s="26"/>
    </row>
    <row r="339" spans="1:8" ht="17.25" customHeight="1" x14ac:dyDescent="0.2">
      <c r="A339" s="26"/>
      <c r="B339" s="139">
        <f ca="1">IFERROR(__xludf.DUMMYFUNCTION("""COMPUTED_VALUE"""),45588.6666666666)</f>
        <v>45588.666666666599</v>
      </c>
      <c r="C339" s="141">
        <f ca="1">IFERROR(__xludf.DUMMYFUNCTION("""COMPUTED_VALUE"""),234.08)</f>
        <v>234.08</v>
      </c>
      <c r="D339" s="141">
        <f ca="1">IFERROR(__xludf.DUMMYFUNCTION("""COMPUTED_VALUE"""),235.14)</f>
        <v>235.14</v>
      </c>
      <c r="E339" s="141">
        <f ca="1">IFERROR(__xludf.DUMMYFUNCTION("""COMPUTED_VALUE"""),227.76)</f>
        <v>227.76</v>
      </c>
      <c r="F339" s="141">
        <f ca="1">IFERROR(__xludf.DUMMYFUNCTION("""COMPUTED_VALUE"""),230.76)</f>
        <v>230.76</v>
      </c>
      <c r="G339" s="143">
        <f ca="1">IFERROR(__xludf.DUMMYFUNCTION("""COMPUTED_VALUE"""),52286979)</f>
        <v>52286979</v>
      </c>
      <c r="H339" s="26"/>
    </row>
    <row r="340" spans="1:8" ht="17.25" customHeight="1" x14ac:dyDescent="0.2">
      <c r="A340" s="26"/>
      <c r="B340" s="139">
        <f ca="1">IFERROR(__xludf.DUMMYFUNCTION("""COMPUTED_VALUE"""),45589.6666666666)</f>
        <v>45589.666666666599</v>
      </c>
      <c r="C340" s="141">
        <f ca="1">IFERROR(__xludf.DUMMYFUNCTION("""COMPUTED_VALUE"""),229.98)</f>
        <v>229.98</v>
      </c>
      <c r="D340" s="141">
        <f ca="1">IFERROR(__xludf.DUMMYFUNCTION("""COMPUTED_VALUE"""),230.82)</f>
        <v>230.82</v>
      </c>
      <c r="E340" s="141">
        <f ca="1">IFERROR(__xludf.DUMMYFUNCTION("""COMPUTED_VALUE"""),228.41)</f>
        <v>228.41</v>
      </c>
      <c r="F340" s="141">
        <f ca="1">IFERROR(__xludf.DUMMYFUNCTION("""COMPUTED_VALUE"""),230.57)</f>
        <v>230.57</v>
      </c>
      <c r="G340" s="143">
        <f ca="1">IFERROR(__xludf.DUMMYFUNCTION("""COMPUTED_VALUE"""),31109503)</f>
        <v>31109503</v>
      </c>
      <c r="H340" s="26"/>
    </row>
    <row r="341" spans="1:8" ht="17.25" customHeight="1" x14ac:dyDescent="0.2">
      <c r="A341" s="26"/>
      <c r="B341" s="139">
        <f ca="1">IFERROR(__xludf.DUMMYFUNCTION("""COMPUTED_VALUE"""),45590.6666666666)</f>
        <v>45590.666666666599</v>
      </c>
      <c r="C341" s="141">
        <f ca="1">IFERROR(__xludf.DUMMYFUNCTION("""COMPUTED_VALUE"""),229.74)</f>
        <v>229.74</v>
      </c>
      <c r="D341" s="141">
        <f ca="1">IFERROR(__xludf.DUMMYFUNCTION("""COMPUTED_VALUE"""),233.22)</f>
        <v>233.22</v>
      </c>
      <c r="E341" s="141">
        <f ca="1">IFERROR(__xludf.DUMMYFUNCTION("""COMPUTED_VALUE"""),229.57)</f>
        <v>229.57</v>
      </c>
      <c r="F341" s="141">
        <f ca="1">IFERROR(__xludf.DUMMYFUNCTION("""COMPUTED_VALUE"""),231.41)</f>
        <v>231.41</v>
      </c>
      <c r="G341" s="143">
        <f ca="1">IFERROR(__xludf.DUMMYFUNCTION("""COMPUTED_VALUE"""),38802304)</f>
        <v>38802304</v>
      </c>
      <c r="H341" s="26"/>
    </row>
    <row r="342" spans="1:8" ht="17.25" customHeight="1" x14ac:dyDescent="0.2">
      <c r="A342" s="26"/>
      <c r="B342" s="139">
        <f ca="1">IFERROR(__xludf.DUMMYFUNCTION("""COMPUTED_VALUE"""),45593.6666666666)</f>
        <v>45593.666666666599</v>
      </c>
      <c r="C342" s="141">
        <f ca="1">IFERROR(__xludf.DUMMYFUNCTION("""COMPUTED_VALUE"""),233.32)</f>
        <v>233.32</v>
      </c>
      <c r="D342" s="141">
        <f ca="1">IFERROR(__xludf.DUMMYFUNCTION("""COMPUTED_VALUE"""),234.73)</f>
        <v>234.73</v>
      </c>
      <c r="E342" s="141">
        <f ca="1">IFERROR(__xludf.DUMMYFUNCTION("""COMPUTED_VALUE"""),232.55)</f>
        <v>232.55</v>
      </c>
      <c r="F342" s="141">
        <f ca="1">IFERROR(__xludf.DUMMYFUNCTION("""COMPUTED_VALUE"""),233.4)</f>
        <v>233.4</v>
      </c>
      <c r="G342" s="143">
        <f ca="1">IFERROR(__xludf.DUMMYFUNCTION("""COMPUTED_VALUE"""),36087134)</f>
        <v>36087134</v>
      </c>
      <c r="H342" s="26"/>
    </row>
    <row r="343" spans="1:8" ht="17.25" customHeight="1" x14ac:dyDescent="0.2">
      <c r="A343" s="26"/>
      <c r="B343" s="139">
        <f ca="1">IFERROR(__xludf.DUMMYFUNCTION("""COMPUTED_VALUE"""),45594.6666666666)</f>
        <v>45594.666666666599</v>
      </c>
      <c r="C343" s="141">
        <f ca="1">IFERROR(__xludf.DUMMYFUNCTION("""COMPUTED_VALUE"""),233.1)</f>
        <v>233.1</v>
      </c>
      <c r="D343" s="141">
        <f ca="1">IFERROR(__xludf.DUMMYFUNCTION("""COMPUTED_VALUE"""),234.33)</f>
        <v>234.33</v>
      </c>
      <c r="E343" s="141">
        <f ca="1">IFERROR(__xludf.DUMMYFUNCTION("""COMPUTED_VALUE"""),232.32)</f>
        <v>232.32</v>
      </c>
      <c r="F343" s="141">
        <f ca="1">IFERROR(__xludf.DUMMYFUNCTION("""COMPUTED_VALUE"""),233.67)</f>
        <v>233.67</v>
      </c>
      <c r="G343" s="143">
        <f ca="1">IFERROR(__xludf.DUMMYFUNCTION("""COMPUTED_VALUE"""),35417247)</f>
        <v>35417247</v>
      </c>
      <c r="H343" s="26"/>
    </row>
    <row r="344" spans="1:8" ht="17.25" customHeight="1" x14ac:dyDescent="0.2">
      <c r="A344" s="26"/>
      <c r="B344" s="139">
        <f ca="1">IFERROR(__xludf.DUMMYFUNCTION("""COMPUTED_VALUE"""),45595.6666666666)</f>
        <v>45595.666666666599</v>
      </c>
      <c r="C344" s="141">
        <f ca="1">IFERROR(__xludf.DUMMYFUNCTION("""COMPUTED_VALUE"""),232.61)</f>
        <v>232.61</v>
      </c>
      <c r="D344" s="141">
        <f ca="1">IFERROR(__xludf.DUMMYFUNCTION("""COMPUTED_VALUE"""),233.47)</f>
        <v>233.47</v>
      </c>
      <c r="E344" s="141">
        <f ca="1">IFERROR(__xludf.DUMMYFUNCTION("""COMPUTED_VALUE"""),229.55)</f>
        <v>229.55</v>
      </c>
      <c r="F344" s="141">
        <f ca="1">IFERROR(__xludf.DUMMYFUNCTION("""COMPUTED_VALUE"""),230.1)</f>
        <v>230.1</v>
      </c>
      <c r="G344" s="143">
        <f ca="1">IFERROR(__xludf.DUMMYFUNCTION("""COMPUTED_VALUE"""),47070907)</f>
        <v>47070907</v>
      </c>
      <c r="H344" s="26"/>
    </row>
    <row r="345" spans="1:8" ht="17.25" customHeight="1" x14ac:dyDescent="0.2">
      <c r="A345" s="26"/>
      <c r="B345" s="139">
        <f ca="1">IFERROR(__xludf.DUMMYFUNCTION("""COMPUTED_VALUE"""),45596.6666666666)</f>
        <v>45596.666666666599</v>
      </c>
      <c r="C345" s="141">
        <f ca="1">IFERROR(__xludf.DUMMYFUNCTION("""COMPUTED_VALUE"""),229.34)</f>
        <v>229.34</v>
      </c>
      <c r="D345" s="141">
        <f ca="1">IFERROR(__xludf.DUMMYFUNCTION("""COMPUTED_VALUE"""),229.83)</f>
        <v>229.83</v>
      </c>
      <c r="E345" s="141">
        <f ca="1">IFERROR(__xludf.DUMMYFUNCTION("""COMPUTED_VALUE"""),225.37)</f>
        <v>225.37</v>
      </c>
      <c r="F345" s="141">
        <f ca="1">IFERROR(__xludf.DUMMYFUNCTION("""COMPUTED_VALUE"""),225.91)</f>
        <v>225.91</v>
      </c>
      <c r="G345" s="143">
        <f ca="1">IFERROR(__xludf.DUMMYFUNCTION("""COMPUTED_VALUE"""),64370086)</f>
        <v>64370086</v>
      </c>
      <c r="H345" s="26"/>
    </row>
    <row r="346" spans="1:8" ht="17.25" customHeight="1" x14ac:dyDescent="0.2">
      <c r="A346" s="26"/>
      <c r="B346" s="139">
        <f ca="1">IFERROR(__xludf.DUMMYFUNCTION("""COMPUTED_VALUE"""),45597.6666666666)</f>
        <v>45597.666666666599</v>
      </c>
      <c r="C346" s="141">
        <f ca="1">IFERROR(__xludf.DUMMYFUNCTION("""COMPUTED_VALUE"""),220.97)</f>
        <v>220.97</v>
      </c>
      <c r="D346" s="141">
        <f ca="1">IFERROR(__xludf.DUMMYFUNCTION("""COMPUTED_VALUE"""),225.35)</f>
        <v>225.35</v>
      </c>
      <c r="E346" s="141">
        <f ca="1">IFERROR(__xludf.DUMMYFUNCTION("""COMPUTED_VALUE"""),220.27)</f>
        <v>220.27</v>
      </c>
      <c r="F346" s="141">
        <f ca="1">IFERROR(__xludf.DUMMYFUNCTION("""COMPUTED_VALUE"""),222.91)</f>
        <v>222.91</v>
      </c>
      <c r="G346" s="143">
        <f ca="1">IFERROR(__xludf.DUMMYFUNCTION("""COMPUTED_VALUE"""),65276741)</f>
        <v>65276741</v>
      </c>
      <c r="H346" s="26"/>
    </row>
    <row r="347" spans="1:8" ht="17.25" customHeight="1" x14ac:dyDescent="0.2">
      <c r="A347" s="26"/>
      <c r="B347" s="139">
        <f ca="1">IFERROR(__xludf.DUMMYFUNCTION("""COMPUTED_VALUE"""),45600.6666666666)</f>
        <v>45600.666666666599</v>
      </c>
      <c r="C347" s="141">
        <f ca="1">IFERROR(__xludf.DUMMYFUNCTION("""COMPUTED_VALUE"""),220.99)</f>
        <v>220.99</v>
      </c>
      <c r="D347" s="141">
        <f ca="1">IFERROR(__xludf.DUMMYFUNCTION("""COMPUTED_VALUE"""),222.79)</f>
        <v>222.79</v>
      </c>
      <c r="E347" s="141">
        <f ca="1">IFERROR(__xludf.DUMMYFUNCTION("""COMPUTED_VALUE"""),219.71)</f>
        <v>219.71</v>
      </c>
      <c r="F347" s="141">
        <f ca="1">IFERROR(__xludf.DUMMYFUNCTION("""COMPUTED_VALUE"""),222.01)</f>
        <v>222.01</v>
      </c>
      <c r="G347" s="143">
        <f ca="1">IFERROR(__xludf.DUMMYFUNCTION("""COMPUTED_VALUE"""),44944468)</f>
        <v>44944468</v>
      </c>
      <c r="H347" s="26"/>
    </row>
    <row r="348" spans="1:8" ht="17.25" customHeight="1" x14ac:dyDescent="0.2">
      <c r="A348" s="26"/>
      <c r="B348" s="139">
        <f ca="1">IFERROR(__xludf.DUMMYFUNCTION("""COMPUTED_VALUE"""),45601.6666666666)</f>
        <v>45601.666666666599</v>
      </c>
      <c r="C348" s="141">
        <f ca="1">IFERROR(__xludf.DUMMYFUNCTION("""COMPUTED_VALUE"""),221.8)</f>
        <v>221.8</v>
      </c>
      <c r="D348" s="141">
        <f ca="1">IFERROR(__xludf.DUMMYFUNCTION("""COMPUTED_VALUE"""),223.95)</f>
        <v>223.95</v>
      </c>
      <c r="E348" s="141">
        <f ca="1">IFERROR(__xludf.DUMMYFUNCTION("""COMPUTED_VALUE"""),221.14)</f>
        <v>221.14</v>
      </c>
      <c r="F348" s="141">
        <f ca="1">IFERROR(__xludf.DUMMYFUNCTION("""COMPUTED_VALUE"""),223.45)</f>
        <v>223.45</v>
      </c>
      <c r="G348" s="143">
        <f ca="1">IFERROR(__xludf.DUMMYFUNCTION("""COMPUTED_VALUE"""),28111338)</f>
        <v>28111338</v>
      </c>
      <c r="H348" s="26"/>
    </row>
    <row r="349" spans="1:8" ht="17.25" customHeight="1" x14ac:dyDescent="0.2">
      <c r="A349" s="26"/>
      <c r="B349" s="139">
        <f ca="1">IFERROR(__xludf.DUMMYFUNCTION("""COMPUTED_VALUE"""),45602.6666666666)</f>
        <v>45602.666666666599</v>
      </c>
      <c r="C349" s="141">
        <f ca="1">IFERROR(__xludf.DUMMYFUNCTION("""COMPUTED_VALUE"""),222.61)</f>
        <v>222.61</v>
      </c>
      <c r="D349" s="141">
        <f ca="1">IFERROR(__xludf.DUMMYFUNCTION("""COMPUTED_VALUE"""),226.07)</f>
        <v>226.07</v>
      </c>
      <c r="E349" s="141">
        <f ca="1">IFERROR(__xludf.DUMMYFUNCTION("""COMPUTED_VALUE"""),221.19)</f>
        <v>221.19</v>
      </c>
      <c r="F349" s="141">
        <f ca="1">IFERROR(__xludf.DUMMYFUNCTION("""COMPUTED_VALUE"""),222.72)</f>
        <v>222.72</v>
      </c>
      <c r="G349" s="143">
        <f ca="1">IFERROR(__xludf.DUMMYFUNCTION("""COMPUTED_VALUE"""),54561121)</f>
        <v>54561121</v>
      </c>
      <c r="H349" s="26"/>
    </row>
    <row r="350" spans="1:8" ht="17.25" customHeight="1" x14ac:dyDescent="0.2">
      <c r="A350" s="26"/>
      <c r="B350" s="139">
        <f ca="1">IFERROR(__xludf.DUMMYFUNCTION("""COMPUTED_VALUE"""),45603.6666666666)</f>
        <v>45603.666666666599</v>
      </c>
      <c r="C350" s="141">
        <f ca="1">IFERROR(__xludf.DUMMYFUNCTION("""COMPUTED_VALUE"""),224.63)</f>
        <v>224.63</v>
      </c>
      <c r="D350" s="141">
        <f ca="1">IFERROR(__xludf.DUMMYFUNCTION("""COMPUTED_VALUE"""),227.88)</f>
        <v>227.88</v>
      </c>
      <c r="E350" s="141">
        <f ca="1">IFERROR(__xludf.DUMMYFUNCTION("""COMPUTED_VALUE"""),224.57)</f>
        <v>224.57</v>
      </c>
      <c r="F350" s="141">
        <f ca="1">IFERROR(__xludf.DUMMYFUNCTION("""COMPUTED_VALUE"""),227.48)</f>
        <v>227.48</v>
      </c>
      <c r="G350" s="143">
        <f ca="1">IFERROR(__xludf.DUMMYFUNCTION("""COMPUTED_VALUE"""),42137691)</f>
        <v>42137691</v>
      </c>
      <c r="H350" s="26"/>
    </row>
    <row r="351" spans="1:8" ht="17.25" customHeight="1" x14ac:dyDescent="0.2">
      <c r="A351" s="26"/>
      <c r="B351" s="139">
        <f ca="1">IFERROR(__xludf.DUMMYFUNCTION("""COMPUTED_VALUE"""),45604.6666666666)</f>
        <v>45604.666666666599</v>
      </c>
      <c r="C351" s="141">
        <f ca="1">IFERROR(__xludf.DUMMYFUNCTION("""COMPUTED_VALUE"""),227.17)</f>
        <v>227.17</v>
      </c>
      <c r="D351" s="141">
        <f ca="1">IFERROR(__xludf.DUMMYFUNCTION("""COMPUTED_VALUE"""),228.66)</f>
        <v>228.66</v>
      </c>
      <c r="E351" s="141">
        <f ca="1">IFERROR(__xludf.DUMMYFUNCTION("""COMPUTED_VALUE"""),226.41)</f>
        <v>226.41</v>
      </c>
      <c r="F351" s="141">
        <f ca="1">IFERROR(__xludf.DUMMYFUNCTION("""COMPUTED_VALUE"""),226.96)</f>
        <v>226.96</v>
      </c>
      <c r="G351" s="143">
        <f ca="1">IFERROR(__xludf.DUMMYFUNCTION("""COMPUTED_VALUE"""),38328824)</f>
        <v>38328824</v>
      </c>
      <c r="H351" s="26"/>
    </row>
    <row r="352" spans="1:8" ht="17.25" customHeight="1" x14ac:dyDescent="0.2">
      <c r="A352" s="26"/>
      <c r="B352" s="139">
        <f ca="1">IFERROR(__xludf.DUMMYFUNCTION("""COMPUTED_VALUE"""),45607.6666666666)</f>
        <v>45607.666666666599</v>
      </c>
      <c r="C352" s="141">
        <f ca="1">IFERROR(__xludf.DUMMYFUNCTION("""COMPUTED_VALUE"""),225)</f>
        <v>225</v>
      </c>
      <c r="D352" s="141">
        <f ca="1">IFERROR(__xludf.DUMMYFUNCTION("""COMPUTED_VALUE"""),225.7)</f>
        <v>225.7</v>
      </c>
      <c r="E352" s="141">
        <f ca="1">IFERROR(__xludf.DUMMYFUNCTION("""COMPUTED_VALUE"""),221.5)</f>
        <v>221.5</v>
      </c>
      <c r="F352" s="141">
        <f ca="1">IFERROR(__xludf.DUMMYFUNCTION("""COMPUTED_VALUE"""),224.23)</f>
        <v>224.23</v>
      </c>
      <c r="G352" s="143">
        <f ca="1">IFERROR(__xludf.DUMMYFUNCTION("""COMPUTED_VALUE"""),42005602)</f>
        <v>42005602</v>
      </c>
      <c r="H352" s="26"/>
    </row>
    <row r="353" spans="1:8" ht="17.25" customHeight="1" x14ac:dyDescent="0.2">
      <c r="A353" s="26"/>
      <c r="B353" s="139">
        <f ca="1">IFERROR(__xludf.DUMMYFUNCTION("""COMPUTED_VALUE"""),45608.6666666666)</f>
        <v>45608.666666666599</v>
      </c>
      <c r="C353" s="141">
        <f ca="1">IFERROR(__xludf.DUMMYFUNCTION("""COMPUTED_VALUE"""),224.55)</f>
        <v>224.55</v>
      </c>
      <c r="D353" s="141">
        <f ca="1">IFERROR(__xludf.DUMMYFUNCTION("""COMPUTED_VALUE"""),225.59)</f>
        <v>225.59</v>
      </c>
      <c r="E353" s="141">
        <f ca="1">IFERROR(__xludf.DUMMYFUNCTION("""COMPUTED_VALUE"""),223.36)</f>
        <v>223.36</v>
      </c>
      <c r="F353" s="141">
        <f ca="1">IFERROR(__xludf.DUMMYFUNCTION("""COMPUTED_VALUE"""),224.23)</f>
        <v>224.23</v>
      </c>
      <c r="G353" s="143">
        <f ca="1">IFERROR(__xludf.DUMMYFUNCTION("""COMPUTED_VALUE"""),40398299)</f>
        <v>40398299</v>
      </c>
      <c r="H353" s="26"/>
    </row>
    <row r="354" spans="1:8" ht="17.25" customHeight="1" x14ac:dyDescent="0.2">
      <c r="A354" s="26"/>
      <c r="B354" s="139">
        <f ca="1">IFERROR(__xludf.DUMMYFUNCTION("""COMPUTED_VALUE"""),45609.6666666666)</f>
        <v>45609.666666666599</v>
      </c>
      <c r="C354" s="141">
        <f ca="1">IFERROR(__xludf.DUMMYFUNCTION("""COMPUTED_VALUE"""),224.01)</f>
        <v>224.01</v>
      </c>
      <c r="D354" s="141">
        <f ca="1">IFERROR(__xludf.DUMMYFUNCTION("""COMPUTED_VALUE"""),226.65)</f>
        <v>226.65</v>
      </c>
      <c r="E354" s="141">
        <f ca="1">IFERROR(__xludf.DUMMYFUNCTION("""COMPUTED_VALUE"""),222.76)</f>
        <v>222.76</v>
      </c>
      <c r="F354" s="141">
        <f ca="1">IFERROR(__xludf.DUMMYFUNCTION("""COMPUTED_VALUE"""),225.12)</f>
        <v>225.12</v>
      </c>
      <c r="G354" s="143">
        <f ca="1">IFERROR(__xludf.DUMMYFUNCTION("""COMPUTED_VALUE"""),48566217)</f>
        <v>48566217</v>
      </c>
      <c r="H354" s="26"/>
    </row>
    <row r="355" spans="1:8" ht="17.25" customHeight="1" x14ac:dyDescent="0.2">
      <c r="A355" s="26"/>
      <c r="B355" s="139">
        <f ca="1">IFERROR(__xludf.DUMMYFUNCTION("""COMPUTED_VALUE"""),45610.6666666666)</f>
        <v>45610.666666666599</v>
      </c>
      <c r="C355" s="141">
        <f ca="1">IFERROR(__xludf.DUMMYFUNCTION("""COMPUTED_VALUE"""),225.02)</f>
        <v>225.02</v>
      </c>
      <c r="D355" s="141">
        <f ca="1">IFERROR(__xludf.DUMMYFUNCTION("""COMPUTED_VALUE"""),228.87)</f>
        <v>228.87</v>
      </c>
      <c r="E355" s="141">
        <f ca="1">IFERROR(__xludf.DUMMYFUNCTION("""COMPUTED_VALUE"""),225)</f>
        <v>225</v>
      </c>
      <c r="F355" s="141">
        <f ca="1">IFERROR(__xludf.DUMMYFUNCTION("""COMPUTED_VALUE"""),228.22)</f>
        <v>228.22</v>
      </c>
      <c r="G355" s="143">
        <f ca="1">IFERROR(__xludf.DUMMYFUNCTION("""COMPUTED_VALUE"""),44923941)</f>
        <v>44923941</v>
      </c>
      <c r="H355" s="26"/>
    </row>
    <row r="356" spans="1:8" ht="17.25" customHeight="1" x14ac:dyDescent="0.2">
      <c r="A356" s="26"/>
      <c r="B356" s="139">
        <f ca="1">IFERROR(__xludf.DUMMYFUNCTION("""COMPUTED_VALUE"""),45611.6666666666)</f>
        <v>45611.666666666599</v>
      </c>
      <c r="C356" s="141">
        <f ca="1">IFERROR(__xludf.DUMMYFUNCTION("""COMPUTED_VALUE"""),226.4)</f>
        <v>226.4</v>
      </c>
      <c r="D356" s="141">
        <f ca="1">IFERROR(__xludf.DUMMYFUNCTION("""COMPUTED_VALUE"""),226.92)</f>
        <v>226.92</v>
      </c>
      <c r="E356" s="141">
        <f ca="1">IFERROR(__xludf.DUMMYFUNCTION("""COMPUTED_VALUE"""),224.27)</f>
        <v>224.27</v>
      </c>
      <c r="F356" s="141">
        <f ca="1">IFERROR(__xludf.DUMMYFUNCTION("""COMPUTED_VALUE"""),225)</f>
        <v>225</v>
      </c>
      <c r="G356" s="143">
        <f ca="1">IFERROR(__xludf.DUMMYFUNCTION("""COMPUTED_VALUE"""),47923696)</f>
        <v>47923696</v>
      </c>
      <c r="H356" s="26"/>
    </row>
    <row r="357" spans="1:8" ht="17.25" customHeight="1" x14ac:dyDescent="0.2">
      <c r="A357" s="26"/>
      <c r="B357" s="139">
        <f ca="1">IFERROR(__xludf.DUMMYFUNCTION("""COMPUTED_VALUE"""),45614.6666666666)</f>
        <v>45614.666666666599</v>
      </c>
      <c r="C357" s="141">
        <f ca="1">IFERROR(__xludf.DUMMYFUNCTION("""COMPUTED_VALUE"""),225.25)</f>
        <v>225.25</v>
      </c>
      <c r="D357" s="141">
        <f ca="1">IFERROR(__xludf.DUMMYFUNCTION("""COMPUTED_VALUE"""),229.74)</f>
        <v>229.74</v>
      </c>
      <c r="E357" s="141">
        <f ca="1">IFERROR(__xludf.DUMMYFUNCTION("""COMPUTED_VALUE"""),225.17)</f>
        <v>225.17</v>
      </c>
      <c r="F357" s="141">
        <f ca="1">IFERROR(__xludf.DUMMYFUNCTION("""COMPUTED_VALUE"""),228.02)</f>
        <v>228.02</v>
      </c>
      <c r="G357" s="143">
        <f ca="1">IFERROR(__xludf.DUMMYFUNCTION("""COMPUTED_VALUE"""),44686020)</f>
        <v>44686020</v>
      </c>
      <c r="H357" s="26"/>
    </row>
    <row r="358" spans="1:8" ht="17.25" customHeight="1" x14ac:dyDescent="0.2">
      <c r="A358" s="26"/>
      <c r="B358" s="139">
        <f ca="1">IFERROR(__xludf.DUMMYFUNCTION("""COMPUTED_VALUE"""),45615.6666666666)</f>
        <v>45615.666666666599</v>
      </c>
      <c r="C358" s="141">
        <f ca="1">IFERROR(__xludf.DUMMYFUNCTION("""COMPUTED_VALUE"""),226.98)</f>
        <v>226.98</v>
      </c>
      <c r="D358" s="141">
        <f ca="1">IFERROR(__xludf.DUMMYFUNCTION("""COMPUTED_VALUE"""),230.16)</f>
        <v>230.16</v>
      </c>
      <c r="E358" s="141">
        <f ca="1">IFERROR(__xludf.DUMMYFUNCTION("""COMPUTED_VALUE"""),226.66)</f>
        <v>226.66</v>
      </c>
      <c r="F358" s="141">
        <f ca="1">IFERROR(__xludf.DUMMYFUNCTION("""COMPUTED_VALUE"""),228.28)</f>
        <v>228.28</v>
      </c>
      <c r="G358" s="143">
        <f ca="1">IFERROR(__xludf.DUMMYFUNCTION("""COMPUTED_VALUE"""),36211774)</f>
        <v>36211774</v>
      </c>
      <c r="H358" s="26"/>
    </row>
    <row r="359" spans="1:8" ht="17.25" customHeight="1" x14ac:dyDescent="0.2">
      <c r="A359" s="26"/>
      <c r="B359" s="139">
        <f ca="1">IFERROR(__xludf.DUMMYFUNCTION("""COMPUTED_VALUE"""),45616.6666666666)</f>
        <v>45616.666666666599</v>
      </c>
      <c r="C359" s="141">
        <f ca="1">IFERROR(__xludf.DUMMYFUNCTION("""COMPUTED_VALUE"""),228.06)</f>
        <v>228.06</v>
      </c>
      <c r="D359" s="141">
        <f ca="1">IFERROR(__xludf.DUMMYFUNCTION("""COMPUTED_VALUE"""),229.93)</f>
        <v>229.93</v>
      </c>
      <c r="E359" s="141">
        <f ca="1">IFERROR(__xludf.DUMMYFUNCTION("""COMPUTED_VALUE"""),225.89)</f>
        <v>225.89</v>
      </c>
      <c r="F359" s="141">
        <f ca="1">IFERROR(__xludf.DUMMYFUNCTION("""COMPUTED_VALUE"""),229)</f>
        <v>229</v>
      </c>
      <c r="G359" s="143">
        <f ca="1">IFERROR(__xludf.DUMMYFUNCTION("""COMPUTED_VALUE"""),35169566)</f>
        <v>35169566</v>
      </c>
      <c r="H359" s="26"/>
    </row>
    <row r="360" spans="1:8" ht="17.25" customHeight="1" x14ac:dyDescent="0.2">
      <c r="A360" s="26"/>
      <c r="B360" s="139">
        <f ca="1">IFERROR(__xludf.DUMMYFUNCTION("""COMPUTED_VALUE"""),45617.6666666666)</f>
        <v>45617.666666666599</v>
      </c>
      <c r="C360" s="141">
        <f ca="1">IFERROR(__xludf.DUMMYFUNCTION("""COMPUTED_VALUE"""),228.88)</f>
        <v>228.88</v>
      </c>
      <c r="D360" s="141">
        <f ca="1">IFERROR(__xludf.DUMMYFUNCTION("""COMPUTED_VALUE"""),230.16)</f>
        <v>230.16</v>
      </c>
      <c r="E360" s="141">
        <f ca="1">IFERROR(__xludf.DUMMYFUNCTION("""COMPUTED_VALUE"""),225.71)</f>
        <v>225.71</v>
      </c>
      <c r="F360" s="141">
        <f ca="1">IFERROR(__xludf.DUMMYFUNCTION("""COMPUTED_VALUE"""),228.52)</f>
        <v>228.52</v>
      </c>
      <c r="G360" s="143">
        <f ca="1">IFERROR(__xludf.DUMMYFUNCTION("""COMPUTED_VALUE"""),42108327)</f>
        <v>42108327</v>
      </c>
      <c r="H360" s="26"/>
    </row>
    <row r="361" spans="1:8" ht="17.25" customHeight="1" x14ac:dyDescent="0.2">
      <c r="A361" s="26"/>
      <c r="B361" s="139">
        <f ca="1">IFERROR(__xludf.DUMMYFUNCTION("""COMPUTED_VALUE"""),45618.6666666666)</f>
        <v>45618.666666666599</v>
      </c>
      <c r="C361" s="141">
        <f ca="1">IFERROR(__xludf.DUMMYFUNCTION("""COMPUTED_VALUE"""),228.06)</f>
        <v>228.06</v>
      </c>
      <c r="D361" s="141">
        <f ca="1">IFERROR(__xludf.DUMMYFUNCTION("""COMPUTED_VALUE"""),230.72)</f>
        <v>230.72</v>
      </c>
      <c r="E361" s="141">
        <f ca="1">IFERROR(__xludf.DUMMYFUNCTION("""COMPUTED_VALUE"""),228.06)</f>
        <v>228.06</v>
      </c>
      <c r="F361" s="141">
        <f ca="1">IFERROR(__xludf.DUMMYFUNCTION("""COMPUTED_VALUE"""),229.87)</f>
        <v>229.87</v>
      </c>
      <c r="G361" s="143">
        <f ca="1">IFERROR(__xludf.DUMMYFUNCTION("""COMPUTED_VALUE"""),38168252)</f>
        <v>38168252</v>
      </c>
      <c r="H361" s="26"/>
    </row>
    <row r="362" spans="1:8" ht="17.25" customHeight="1" x14ac:dyDescent="0.2">
      <c r="A362" s="26"/>
      <c r="B362" s="139">
        <f ca="1">IFERROR(__xludf.DUMMYFUNCTION("""COMPUTED_VALUE"""),45621.6666666666)</f>
        <v>45621.666666666599</v>
      </c>
      <c r="C362" s="141">
        <f ca="1">IFERROR(__xludf.DUMMYFUNCTION("""COMPUTED_VALUE"""),231.46)</f>
        <v>231.46</v>
      </c>
      <c r="D362" s="141">
        <f ca="1">IFERROR(__xludf.DUMMYFUNCTION("""COMPUTED_VALUE"""),233.25)</f>
        <v>233.25</v>
      </c>
      <c r="E362" s="141">
        <f ca="1">IFERROR(__xludf.DUMMYFUNCTION("""COMPUTED_VALUE"""),229.74)</f>
        <v>229.74</v>
      </c>
      <c r="F362" s="141">
        <f ca="1">IFERROR(__xludf.DUMMYFUNCTION("""COMPUTED_VALUE"""),232.87)</f>
        <v>232.87</v>
      </c>
      <c r="G362" s="143">
        <f ca="1">IFERROR(__xludf.DUMMYFUNCTION("""COMPUTED_VALUE"""),90152832)</f>
        <v>90152832</v>
      </c>
      <c r="H362" s="26"/>
    </row>
    <row r="363" spans="1:8" ht="17.25" customHeight="1" x14ac:dyDescent="0.2">
      <c r="A363" s="26"/>
      <c r="B363" s="139">
        <f ca="1">IFERROR(__xludf.DUMMYFUNCTION("""COMPUTED_VALUE"""),45622.6666666666)</f>
        <v>45622.666666666599</v>
      </c>
      <c r="C363" s="141">
        <f ca="1">IFERROR(__xludf.DUMMYFUNCTION("""COMPUTED_VALUE"""),233.33)</f>
        <v>233.33</v>
      </c>
      <c r="D363" s="141">
        <f ca="1">IFERROR(__xludf.DUMMYFUNCTION("""COMPUTED_VALUE"""),235.57)</f>
        <v>235.57</v>
      </c>
      <c r="E363" s="141">
        <f ca="1">IFERROR(__xludf.DUMMYFUNCTION("""COMPUTED_VALUE"""),233.33)</f>
        <v>233.33</v>
      </c>
      <c r="F363" s="141">
        <f ca="1">IFERROR(__xludf.DUMMYFUNCTION("""COMPUTED_VALUE"""),235.06)</f>
        <v>235.06</v>
      </c>
      <c r="G363" s="143">
        <f ca="1">IFERROR(__xludf.DUMMYFUNCTION("""COMPUTED_VALUE"""),45986189)</f>
        <v>45986189</v>
      </c>
      <c r="H363" s="26"/>
    </row>
    <row r="364" spans="1:8" ht="17.25" customHeight="1" x14ac:dyDescent="0.2">
      <c r="A364" s="26"/>
      <c r="B364" s="139">
        <f ca="1">IFERROR(__xludf.DUMMYFUNCTION("""COMPUTED_VALUE"""),45623.6666666666)</f>
        <v>45623.666666666599</v>
      </c>
      <c r="C364" s="141">
        <f ca="1">IFERROR(__xludf.DUMMYFUNCTION("""COMPUTED_VALUE"""),234.47)</f>
        <v>234.47</v>
      </c>
      <c r="D364" s="141">
        <f ca="1">IFERROR(__xludf.DUMMYFUNCTION("""COMPUTED_VALUE"""),235.69)</f>
        <v>235.69</v>
      </c>
      <c r="E364" s="141">
        <f ca="1">IFERROR(__xludf.DUMMYFUNCTION("""COMPUTED_VALUE"""),233.81)</f>
        <v>233.81</v>
      </c>
      <c r="F364" s="141">
        <f ca="1">IFERROR(__xludf.DUMMYFUNCTION("""COMPUTED_VALUE"""),234.93)</f>
        <v>234.93</v>
      </c>
      <c r="G364" s="143">
        <f ca="1">IFERROR(__xludf.DUMMYFUNCTION("""COMPUTED_VALUE"""),33498439)</f>
        <v>33498439</v>
      </c>
      <c r="H364" s="26"/>
    </row>
    <row r="365" spans="1:8" ht="17.25" customHeight="1" x14ac:dyDescent="0.2">
      <c r="A365" s="26"/>
      <c r="B365" s="139">
        <f ca="1">IFERROR(__xludf.DUMMYFUNCTION("""COMPUTED_VALUE"""),45625.5451388888)</f>
        <v>45625.545138888803</v>
      </c>
      <c r="C365" s="141">
        <f ca="1">IFERROR(__xludf.DUMMYFUNCTION("""COMPUTED_VALUE"""),234.81)</f>
        <v>234.81</v>
      </c>
      <c r="D365" s="141">
        <f ca="1">IFERROR(__xludf.DUMMYFUNCTION("""COMPUTED_VALUE"""),237.81)</f>
        <v>237.81</v>
      </c>
      <c r="E365" s="141">
        <f ca="1">IFERROR(__xludf.DUMMYFUNCTION("""COMPUTED_VALUE"""),233.97)</f>
        <v>233.97</v>
      </c>
      <c r="F365" s="141">
        <f ca="1">IFERROR(__xludf.DUMMYFUNCTION("""COMPUTED_VALUE"""),237.33)</f>
        <v>237.33</v>
      </c>
      <c r="G365" s="143">
        <f ca="1">IFERROR(__xludf.DUMMYFUNCTION("""COMPUTED_VALUE"""),28481377)</f>
        <v>28481377</v>
      </c>
      <c r="H365" s="26"/>
    </row>
    <row r="366" spans="1:8" ht="17.25" customHeight="1" x14ac:dyDescent="0.2">
      <c r="A366" s="26"/>
      <c r="B366" s="139">
        <f ca="1">IFERROR(__xludf.DUMMYFUNCTION("""COMPUTED_VALUE"""),45628.6666666666)</f>
        <v>45628.666666666599</v>
      </c>
      <c r="C366" s="141">
        <f ca="1">IFERROR(__xludf.DUMMYFUNCTION("""COMPUTED_VALUE"""),237.27)</f>
        <v>237.27</v>
      </c>
      <c r="D366" s="141">
        <f ca="1">IFERROR(__xludf.DUMMYFUNCTION("""COMPUTED_VALUE"""),240.79)</f>
        <v>240.79</v>
      </c>
      <c r="E366" s="141">
        <f ca="1">IFERROR(__xludf.DUMMYFUNCTION("""COMPUTED_VALUE"""),237.16)</f>
        <v>237.16</v>
      </c>
      <c r="F366" s="141">
        <f ca="1">IFERROR(__xludf.DUMMYFUNCTION("""COMPUTED_VALUE"""),239.59)</f>
        <v>239.59</v>
      </c>
      <c r="G366" s="143">
        <f ca="1">IFERROR(__xludf.DUMMYFUNCTION("""COMPUTED_VALUE"""),48137103)</f>
        <v>48137103</v>
      </c>
      <c r="H366" s="26"/>
    </row>
    <row r="367" spans="1:8" ht="17.25" customHeight="1" x14ac:dyDescent="0.2">
      <c r="A367" s="26"/>
      <c r="B367" s="139">
        <f ca="1">IFERROR(__xludf.DUMMYFUNCTION("""COMPUTED_VALUE"""),45629.6666666666)</f>
        <v>45629.666666666599</v>
      </c>
      <c r="C367" s="141">
        <f ca="1">IFERROR(__xludf.DUMMYFUNCTION("""COMPUTED_VALUE"""),239.81)</f>
        <v>239.81</v>
      </c>
      <c r="D367" s="141">
        <f ca="1">IFERROR(__xludf.DUMMYFUNCTION("""COMPUTED_VALUE"""),242.76)</f>
        <v>242.76</v>
      </c>
      <c r="E367" s="141">
        <f ca="1">IFERROR(__xludf.DUMMYFUNCTION("""COMPUTED_VALUE"""),238.9)</f>
        <v>238.9</v>
      </c>
      <c r="F367" s="141">
        <f ca="1">IFERROR(__xludf.DUMMYFUNCTION("""COMPUTED_VALUE"""),242.65)</f>
        <v>242.65</v>
      </c>
      <c r="G367" s="143">
        <f ca="1">IFERROR(__xludf.DUMMYFUNCTION("""COMPUTED_VALUE"""),38861017)</f>
        <v>38861017</v>
      </c>
      <c r="H367" s="26"/>
    </row>
    <row r="368" spans="1:8" ht="17.25" customHeight="1" x14ac:dyDescent="0.2">
      <c r="A368" s="26"/>
      <c r="B368" s="139">
        <f ca="1">IFERROR(__xludf.DUMMYFUNCTION("""COMPUTED_VALUE"""),45630.6666666666)</f>
        <v>45630.666666666599</v>
      </c>
      <c r="C368" s="141">
        <f ca="1">IFERROR(__xludf.DUMMYFUNCTION("""COMPUTED_VALUE"""),242.87)</f>
        <v>242.87</v>
      </c>
      <c r="D368" s="141">
        <f ca="1">IFERROR(__xludf.DUMMYFUNCTION("""COMPUTED_VALUE"""),244.11)</f>
        <v>244.11</v>
      </c>
      <c r="E368" s="141">
        <f ca="1">IFERROR(__xludf.DUMMYFUNCTION("""COMPUTED_VALUE"""),241.25)</f>
        <v>241.25</v>
      </c>
      <c r="F368" s="141">
        <f ca="1">IFERROR(__xludf.DUMMYFUNCTION("""COMPUTED_VALUE"""),243.01)</f>
        <v>243.01</v>
      </c>
      <c r="G368" s="143">
        <f ca="1">IFERROR(__xludf.DUMMYFUNCTION("""COMPUTED_VALUE"""),44383935)</f>
        <v>44383935</v>
      </c>
      <c r="H368" s="26"/>
    </row>
    <row r="369" spans="1:8" ht="17.25" customHeight="1" x14ac:dyDescent="0.2">
      <c r="A369" s="26"/>
      <c r="B369" s="139">
        <f ca="1">IFERROR(__xludf.DUMMYFUNCTION("""COMPUTED_VALUE"""),45631.6666666666)</f>
        <v>45631.666666666599</v>
      </c>
      <c r="C369" s="141">
        <f ca="1">IFERROR(__xludf.DUMMYFUNCTION("""COMPUTED_VALUE"""),243.99)</f>
        <v>243.99</v>
      </c>
      <c r="D369" s="141">
        <f ca="1">IFERROR(__xludf.DUMMYFUNCTION("""COMPUTED_VALUE"""),244.54)</f>
        <v>244.54</v>
      </c>
      <c r="E369" s="141">
        <f ca="1">IFERROR(__xludf.DUMMYFUNCTION("""COMPUTED_VALUE"""),242.13)</f>
        <v>242.13</v>
      </c>
      <c r="F369" s="141">
        <f ca="1">IFERROR(__xludf.DUMMYFUNCTION("""COMPUTED_VALUE"""),243.04)</f>
        <v>243.04</v>
      </c>
      <c r="G369" s="143">
        <f ca="1">IFERROR(__xludf.DUMMYFUNCTION("""COMPUTED_VALUE"""),40033878)</f>
        <v>40033878</v>
      </c>
      <c r="H369" s="26"/>
    </row>
    <row r="370" spans="1:8" ht="17.25" customHeight="1" x14ac:dyDescent="0.2">
      <c r="A370" s="26"/>
      <c r="B370" s="139">
        <f ca="1">IFERROR(__xludf.DUMMYFUNCTION("""COMPUTED_VALUE"""),45632.6666666666)</f>
        <v>45632.666666666599</v>
      </c>
      <c r="C370" s="141">
        <f ca="1">IFERROR(__xludf.DUMMYFUNCTION("""COMPUTED_VALUE"""),242.91)</f>
        <v>242.91</v>
      </c>
      <c r="D370" s="141">
        <f ca="1">IFERROR(__xludf.DUMMYFUNCTION("""COMPUTED_VALUE"""),244.63)</f>
        <v>244.63</v>
      </c>
      <c r="E370" s="141">
        <f ca="1">IFERROR(__xludf.DUMMYFUNCTION("""COMPUTED_VALUE"""),242.08)</f>
        <v>242.08</v>
      </c>
      <c r="F370" s="141">
        <f ca="1">IFERROR(__xludf.DUMMYFUNCTION("""COMPUTED_VALUE"""),242.84)</f>
        <v>242.84</v>
      </c>
      <c r="G370" s="143">
        <f ca="1">IFERROR(__xludf.DUMMYFUNCTION("""COMPUTED_VALUE"""),36870619)</f>
        <v>36870619</v>
      </c>
      <c r="H370" s="26"/>
    </row>
    <row r="371" spans="1:8" ht="17.25" customHeight="1" x14ac:dyDescent="0.2">
      <c r="A371" s="26"/>
      <c r="B371" s="139">
        <f ca="1">IFERROR(__xludf.DUMMYFUNCTION("""COMPUTED_VALUE"""),45635.6666666666)</f>
        <v>45635.666666666599</v>
      </c>
      <c r="C371" s="141">
        <f ca="1">IFERROR(__xludf.DUMMYFUNCTION("""COMPUTED_VALUE"""),241.83)</f>
        <v>241.83</v>
      </c>
      <c r="D371" s="141">
        <f ca="1">IFERROR(__xludf.DUMMYFUNCTION("""COMPUTED_VALUE"""),247.24)</f>
        <v>247.24</v>
      </c>
      <c r="E371" s="141">
        <f ca="1">IFERROR(__xludf.DUMMYFUNCTION("""COMPUTED_VALUE"""),241.75)</f>
        <v>241.75</v>
      </c>
      <c r="F371" s="141">
        <f ca="1">IFERROR(__xludf.DUMMYFUNCTION("""COMPUTED_VALUE"""),246.75)</f>
        <v>246.75</v>
      </c>
      <c r="G371" s="143">
        <f ca="1">IFERROR(__xludf.DUMMYFUNCTION("""COMPUTED_VALUE"""),44649232)</f>
        <v>44649232</v>
      </c>
      <c r="H371" s="26"/>
    </row>
    <row r="372" spans="1:8" ht="17.25" customHeight="1" x14ac:dyDescent="0.2">
      <c r="A372" s="26"/>
      <c r="B372" s="139">
        <f ca="1">IFERROR(__xludf.DUMMYFUNCTION("""COMPUTED_VALUE"""),45636.6666666666)</f>
        <v>45636.666666666599</v>
      </c>
      <c r="C372" s="141">
        <f ca="1">IFERROR(__xludf.DUMMYFUNCTION("""COMPUTED_VALUE"""),246.89)</f>
        <v>246.89</v>
      </c>
      <c r="D372" s="141">
        <f ca="1">IFERROR(__xludf.DUMMYFUNCTION("""COMPUTED_VALUE"""),248.21)</f>
        <v>248.21</v>
      </c>
      <c r="E372" s="141">
        <f ca="1">IFERROR(__xludf.DUMMYFUNCTION("""COMPUTED_VALUE"""),245.34)</f>
        <v>245.34</v>
      </c>
      <c r="F372" s="141">
        <f ca="1">IFERROR(__xludf.DUMMYFUNCTION("""COMPUTED_VALUE"""),247.77)</f>
        <v>247.77</v>
      </c>
      <c r="G372" s="143">
        <f ca="1">IFERROR(__xludf.DUMMYFUNCTION("""COMPUTED_VALUE"""),36914806)</f>
        <v>36914806</v>
      </c>
      <c r="H372" s="26"/>
    </row>
    <row r="373" spans="1:8" ht="17.25" customHeight="1" x14ac:dyDescent="0.2">
      <c r="A373" s="26"/>
      <c r="B373" s="139">
        <f ca="1">IFERROR(__xludf.DUMMYFUNCTION("""COMPUTED_VALUE"""),45637.6666666666)</f>
        <v>45637.666666666599</v>
      </c>
      <c r="C373" s="141">
        <f ca="1">IFERROR(__xludf.DUMMYFUNCTION("""COMPUTED_VALUE"""),247.96)</f>
        <v>247.96</v>
      </c>
      <c r="D373" s="141">
        <f ca="1">IFERROR(__xludf.DUMMYFUNCTION("""COMPUTED_VALUE"""),250.8)</f>
        <v>250.8</v>
      </c>
      <c r="E373" s="141">
        <f ca="1">IFERROR(__xludf.DUMMYFUNCTION("""COMPUTED_VALUE"""),246.26)</f>
        <v>246.26</v>
      </c>
      <c r="F373" s="141">
        <f ca="1">IFERROR(__xludf.DUMMYFUNCTION("""COMPUTED_VALUE"""),246.49)</f>
        <v>246.49</v>
      </c>
      <c r="G373" s="143">
        <f ca="1">IFERROR(__xludf.DUMMYFUNCTION("""COMPUTED_VALUE"""),45205814)</f>
        <v>45205814</v>
      </c>
      <c r="H373" s="26"/>
    </row>
    <row r="374" spans="1:8" ht="17.25" customHeight="1" x14ac:dyDescent="0.2">
      <c r="A374" s="26"/>
      <c r="B374" s="139">
        <f ca="1">IFERROR(__xludf.DUMMYFUNCTION("""COMPUTED_VALUE"""),45638.6666666666)</f>
        <v>45638.666666666599</v>
      </c>
      <c r="C374" s="141">
        <f ca="1">IFERROR(__xludf.DUMMYFUNCTION("""COMPUTED_VALUE"""),246.89)</f>
        <v>246.89</v>
      </c>
      <c r="D374" s="141">
        <f ca="1">IFERROR(__xludf.DUMMYFUNCTION("""COMPUTED_VALUE"""),248.74)</f>
        <v>248.74</v>
      </c>
      <c r="E374" s="141">
        <f ca="1">IFERROR(__xludf.DUMMYFUNCTION("""COMPUTED_VALUE"""),245.68)</f>
        <v>245.68</v>
      </c>
      <c r="F374" s="141">
        <f ca="1">IFERROR(__xludf.DUMMYFUNCTION("""COMPUTED_VALUE"""),247.96)</f>
        <v>247.96</v>
      </c>
      <c r="G374" s="143">
        <f ca="1">IFERROR(__xludf.DUMMYFUNCTION("""COMPUTED_VALUE"""),32777532)</f>
        <v>32777532</v>
      </c>
      <c r="H374" s="26"/>
    </row>
    <row r="375" spans="1:8" ht="17.25" customHeight="1" x14ac:dyDescent="0.2">
      <c r="A375" s="26"/>
      <c r="B375" s="139">
        <f ca="1">IFERROR(__xludf.DUMMYFUNCTION("""COMPUTED_VALUE"""),45639.6666666666)</f>
        <v>45639.666666666599</v>
      </c>
      <c r="C375" s="141">
        <f ca="1">IFERROR(__xludf.DUMMYFUNCTION("""COMPUTED_VALUE"""),247.82)</f>
        <v>247.82</v>
      </c>
      <c r="D375" s="141">
        <f ca="1">IFERROR(__xludf.DUMMYFUNCTION("""COMPUTED_VALUE"""),249.29)</f>
        <v>249.29</v>
      </c>
      <c r="E375" s="141">
        <f ca="1">IFERROR(__xludf.DUMMYFUNCTION("""COMPUTED_VALUE"""),246.24)</f>
        <v>246.24</v>
      </c>
      <c r="F375" s="141">
        <f ca="1">IFERROR(__xludf.DUMMYFUNCTION("""COMPUTED_VALUE"""),248.13)</f>
        <v>248.13</v>
      </c>
      <c r="G375" s="143">
        <f ca="1">IFERROR(__xludf.DUMMYFUNCTION("""COMPUTED_VALUE"""),33155290)</f>
        <v>33155290</v>
      </c>
      <c r="H375" s="26"/>
    </row>
    <row r="376" spans="1:8" ht="17.25" customHeight="1" x14ac:dyDescent="0.2">
      <c r="A376" s="26"/>
      <c r="B376" s="139">
        <f ca="1">IFERROR(__xludf.DUMMYFUNCTION("""COMPUTED_VALUE"""),45642.6666666666)</f>
        <v>45642.666666666599</v>
      </c>
      <c r="C376" s="141">
        <f ca="1">IFERROR(__xludf.DUMMYFUNCTION("""COMPUTED_VALUE"""),247.99)</f>
        <v>247.99</v>
      </c>
      <c r="D376" s="141">
        <f ca="1">IFERROR(__xludf.DUMMYFUNCTION("""COMPUTED_VALUE"""),251.38)</f>
        <v>251.38</v>
      </c>
      <c r="E376" s="141">
        <f ca="1">IFERROR(__xludf.DUMMYFUNCTION("""COMPUTED_VALUE"""),247.65)</f>
        <v>247.65</v>
      </c>
      <c r="F376" s="141">
        <f ca="1">IFERROR(__xludf.DUMMYFUNCTION("""COMPUTED_VALUE"""),251.04)</f>
        <v>251.04</v>
      </c>
      <c r="G376" s="143">
        <f ca="1">IFERROR(__xludf.DUMMYFUNCTION("""COMPUTED_VALUE"""),51694753)</f>
        <v>51694753</v>
      </c>
      <c r="H376" s="26"/>
    </row>
    <row r="377" spans="1:8" ht="17.25" customHeight="1" x14ac:dyDescent="0.2">
      <c r="A377" s="26"/>
      <c r="B377" s="139">
        <f ca="1">IFERROR(__xludf.DUMMYFUNCTION("""COMPUTED_VALUE"""),45643.6666666666)</f>
        <v>45643.666666666599</v>
      </c>
      <c r="C377" s="141">
        <f ca="1">IFERROR(__xludf.DUMMYFUNCTION("""COMPUTED_VALUE"""),250.08)</f>
        <v>250.08</v>
      </c>
      <c r="D377" s="141">
        <f ca="1">IFERROR(__xludf.DUMMYFUNCTION("""COMPUTED_VALUE"""),253.83)</f>
        <v>253.83</v>
      </c>
      <c r="E377" s="141">
        <f ca="1">IFERROR(__xludf.DUMMYFUNCTION("""COMPUTED_VALUE"""),249.78)</f>
        <v>249.78</v>
      </c>
      <c r="F377" s="141">
        <f ca="1">IFERROR(__xludf.DUMMYFUNCTION("""COMPUTED_VALUE"""),253.48)</f>
        <v>253.48</v>
      </c>
      <c r="G377" s="143">
        <f ca="1">IFERROR(__xludf.DUMMYFUNCTION("""COMPUTED_VALUE"""),51356360)</f>
        <v>51356360</v>
      </c>
      <c r="H377" s="26"/>
    </row>
    <row r="378" spans="1:8" ht="17.25" customHeight="1" x14ac:dyDescent="0.2">
      <c r="A378" s="26"/>
      <c r="B378" s="139">
        <f ca="1">IFERROR(__xludf.DUMMYFUNCTION("""COMPUTED_VALUE"""),45644.6666666666)</f>
        <v>45644.666666666599</v>
      </c>
      <c r="C378" s="141">
        <f ca="1">IFERROR(__xludf.DUMMYFUNCTION("""COMPUTED_VALUE"""),252.16)</f>
        <v>252.16</v>
      </c>
      <c r="D378" s="141">
        <f ca="1">IFERROR(__xludf.DUMMYFUNCTION("""COMPUTED_VALUE"""),254.28)</f>
        <v>254.28</v>
      </c>
      <c r="E378" s="141">
        <f ca="1">IFERROR(__xludf.DUMMYFUNCTION("""COMPUTED_VALUE"""),247.74)</f>
        <v>247.74</v>
      </c>
      <c r="F378" s="141">
        <f ca="1">IFERROR(__xludf.DUMMYFUNCTION("""COMPUTED_VALUE"""),248.05)</f>
        <v>248.05</v>
      </c>
      <c r="G378" s="143">
        <f ca="1">IFERROR(__xludf.DUMMYFUNCTION("""COMPUTED_VALUE"""),56774101)</f>
        <v>56774101</v>
      </c>
      <c r="H378" s="26"/>
    </row>
    <row r="379" spans="1:8" ht="17.25" customHeight="1" x14ac:dyDescent="0.2">
      <c r="A379" s="26"/>
      <c r="B379" s="139">
        <f ca="1">IFERROR(__xludf.DUMMYFUNCTION("""COMPUTED_VALUE"""),45645.6666666666)</f>
        <v>45645.666666666599</v>
      </c>
      <c r="C379" s="141">
        <f ca="1">IFERROR(__xludf.DUMMYFUNCTION("""COMPUTED_VALUE"""),247.5)</f>
        <v>247.5</v>
      </c>
      <c r="D379" s="141">
        <f ca="1">IFERROR(__xludf.DUMMYFUNCTION("""COMPUTED_VALUE"""),252)</f>
        <v>252</v>
      </c>
      <c r="E379" s="141">
        <f ca="1">IFERROR(__xludf.DUMMYFUNCTION("""COMPUTED_VALUE"""),247.09)</f>
        <v>247.09</v>
      </c>
      <c r="F379" s="141">
        <f ca="1">IFERROR(__xludf.DUMMYFUNCTION("""COMPUTED_VALUE"""),249.79)</f>
        <v>249.79</v>
      </c>
      <c r="G379" s="143">
        <f ca="1">IFERROR(__xludf.DUMMYFUNCTION("""COMPUTED_VALUE"""),60882264)</f>
        <v>60882264</v>
      </c>
      <c r="H379" s="26"/>
    </row>
    <row r="380" spans="1:8" ht="17.25" customHeight="1" x14ac:dyDescent="0.2">
      <c r="A380" s="26"/>
      <c r="B380" s="139">
        <f ca="1">IFERROR(__xludf.DUMMYFUNCTION("""COMPUTED_VALUE"""),45646.6666666666)</f>
        <v>45646.666666666599</v>
      </c>
      <c r="C380" s="141">
        <f ca="1">IFERROR(__xludf.DUMMYFUNCTION("""COMPUTED_VALUE"""),248.04)</f>
        <v>248.04</v>
      </c>
      <c r="D380" s="141">
        <f ca="1">IFERROR(__xludf.DUMMYFUNCTION("""COMPUTED_VALUE"""),255)</f>
        <v>255</v>
      </c>
      <c r="E380" s="141">
        <f ca="1">IFERROR(__xludf.DUMMYFUNCTION("""COMPUTED_VALUE"""),245.69)</f>
        <v>245.69</v>
      </c>
      <c r="F380" s="141">
        <f ca="1">IFERROR(__xludf.DUMMYFUNCTION("""COMPUTED_VALUE"""),254.49)</f>
        <v>254.49</v>
      </c>
      <c r="G380" s="143">
        <f ca="1">IFERROR(__xludf.DUMMYFUNCTION("""COMPUTED_VALUE"""),147495267)</f>
        <v>147495267</v>
      </c>
      <c r="H380" s="26"/>
    </row>
    <row r="381" spans="1:8" ht="17.25" customHeight="1" x14ac:dyDescent="0.2">
      <c r="A381" s="26"/>
      <c r="B381" s="139">
        <f ca="1">IFERROR(__xludf.DUMMYFUNCTION("""COMPUTED_VALUE"""),45649.6666666666)</f>
        <v>45649.666666666599</v>
      </c>
      <c r="C381" s="141">
        <f ca="1">IFERROR(__xludf.DUMMYFUNCTION("""COMPUTED_VALUE"""),254.77)</f>
        <v>254.77</v>
      </c>
      <c r="D381" s="141">
        <f ca="1">IFERROR(__xludf.DUMMYFUNCTION("""COMPUTED_VALUE"""),255.65)</f>
        <v>255.65</v>
      </c>
      <c r="E381" s="141">
        <f ca="1">IFERROR(__xludf.DUMMYFUNCTION("""COMPUTED_VALUE"""),253.45)</f>
        <v>253.45</v>
      </c>
      <c r="F381" s="141">
        <f ca="1">IFERROR(__xludf.DUMMYFUNCTION("""COMPUTED_VALUE"""),255.27)</f>
        <v>255.27</v>
      </c>
      <c r="G381" s="143">
        <f ca="1">IFERROR(__xludf.DUMMYFUNCTION("""COMPUTED_VALUE"""),40858774)</f>
        <v>40858774</v>
      </c>
      <c r="H381" s="26"/>
    </row>
    <row r="382" spans="1:8" ht="17.25" customHeight="1" x14ac:dyDescent="0.2">
      <c r="A382" s="26"/>
      <c r="B382" s="139">
        <f ca="1">IFERROR(__xludf.DUMMYFUNCTION("""COMPUTED_VALUE"""),45650.5451388888)</f>
        <v>45650.545138888803</v>
      </c>
      <c r="C382" s="141">
        <f ca="1">IFERROR(__xludf.DUMMYFUNCTION("""COMPUTED_VALUE"""),255.49)</f>
        <v>255.49</v>
      </c>
      <c r="D382" s="141">
        <f ca="1">IFERROR(__xludf.DUMMYFUNCTION("""COMPUTED_VALUE"""),258.21)</f>
        <v>258.20999999999998</v>
      </c>
      <c r="E382" s="141">
        <f ca="1">IFERROR(__xludf.DUMMYFUNCTION("""COMPUTED_VALUE"""),255.29)</f>
        <v>255.29</v>
      </c>
      <c r="F382" s="141">
        <f ca="1">IFERROR(__xludf.DUMMYFUNCTION("""COMPUTED_VALUE"""),258.2)</f>
        <v>258.2</v>
      </c>
      <c r="G382" s="143">
        <f ca="1">IFERROR(__xludf.DUMMYFUNCTION("""COMPUTED_VALUE"""),23234705)</f>
        <v>23234705</v>
      </c>
      <c r="H382" s="26"/>
    </row>
    <row r="383" spans="1:8" ht="17.25" customHeight="1" x14ac:dyDescent="0.2">
      <c r="A383" s="26"/>
      <c r="B383" s="139">
        <f ca="1">IFERROR(__xludf.DUMMYFUNCTION("""COMPUTED_VALUE"""),45652.6666666666)</f>
        <v>45652.666666666599</v>
      </c>
      <c r="C383" s="141">
        <f ca="1">IFERROR(__xludf.DUMMYFUNCTION("""COMPUTED_VALUE"""),258.19)</f>
        <v>258.19</v>
      </c>
      <c r="D383" s="141">
        <f ca="1">IFERROR(__xludf.DUMMYFUNCTION("""COMPUTED_VALUE"""),260.1)</f>
        <v>260.10000000000002</v>
      </c>
      <c r="E383" s="141">
        <f ca="1">IFERROR(__xludf.DUMMYFUNCTION("""COMPUTED_VALUE"""),257.63)</f>
        <v>257.63</v>
      </c>
      <c r="F383" s="141">
        <f ca="1">IFERROR(__xludf.DUMMYFUNCTION("""COMPUTED_VALUE"""),259.02)</f>
        <v>259.02</v>
      </c>
      <c r="G383" s="143">
        <f ca="1">IFERROR(__xludf.DUMMYFUNCTION("""COMPUTED_VALUE"""),27262983)</f>
        <v>27262983</v>
      </c>
      <c r="H383" s="26"/>
    </row>
    <row r="384" spans="1:8" ht="17.25" customHeight="1" x14ac:dyDescent="0.2">
      <c r="A384" s="26"/>
      <c r="B384" s="139">
        <f ca="1">IFERROR(__xludf.DUMMYFUNCTION("""COMPUTED_VALUE"""),45653.6666666666)</f>
        <v>45653.666666666599</v>
      </c>
      <c r="C384" s="141">
        <f ca="1">IFERROR(__xludf.DUMMYFUNCTION("""COMPUTED_VALUE"""),257.83)</f>
        <v>257.83</v>
      </c>
      <c r="D384" s="141">
        <f ca="1">IFERROR(__xludf.DUMMYFUNCTION("""COMPUTED_VALUE"""),258.7)</f>
        <v>258.7</v>
      </c>
      <c r="E384" s="141">
        <f ca="1">IFERROR(__xludf.DUMMYFUNCTION("""COMPUTED_VALUE"""),253.06)</f>
        <v>253.06</v>
      </c>
      <c r="F384" s="141">
        <f ca="1">IFERROR(__xludf.DUMMYFUNCTION("""COMPUTED_VALUE"""),255.59)</f>
        <v>255.59</v>
      </c>
      <c r="G384" s="143">
        <f ca="1">IFERROR(__xludf.DUMMYFUNCTION("""COMPUTED_VALUE"""),42355321)</f>
        <v>42355321</v>
      </c>
      <c r="H384" s="26"/>
    </row>
    <row r="385" spans="1:8" ht="17.25" customHeight="1" x14ac:dyDescent="0.2">
      <c r="A385" s="26"/>
      <c r="B385" s="139">
        <f ca="1">IFERROR(__xludf.DUMMYFUNCTION("""COMPUTED_VALUE"""),45656.6666666666)</f>
        <v>45656.666666666599</v>
      </c>
      <c r="C385" s="141">
        <f ca="1">IFERROR(__xludf.DUMMYFUNCTION("""COMPUTED_VALUE"""),252.23)</f>
        <v>252.23</v>
      </c>
      <c r="D385" s="141">
        <f ca="1">IFERROR(__xludf.DUMMYFUNCTION("""COMPUTED_VALUE"""),253.5)</f>
        <v>253.5</v>
      </c>
      <c r="E385" s="141">
        <f ca="1">IFERROR(__xludf.DUMMYFUNCTION("""COMPUTED_VALUE"""),250.75)</f>
        <v>250.75</v>
      </c>
      <c r="F385" s="141">
        <f ca="1">IFERROR(__xludf.DUMMYFUNCTION("""COMPUTED_VALUE"""),252.2)</f>
        <v>252.2</v>
      </c>
      <c r="G385" s="143">
        <f ca="1">IFERROR(__xludf.DUMMYFUNCTION("""COMPUTED_VALUE"""),35557542)</f>
        <v>35557542</v>
      </c>
      <c r="H385" s="26"/>
    </row>
    <row r="386" spans="1:8" ht="17.25" customHeight="1" x14ac:dyDescent="0.2">
      <c r="A386" s="26"/>
      <c r="B386" s="139">
        <f ca="1">IFERROR(__xludf.DUMMYFUNCTION("""COMPUTED_VALUE"""),45657.6666666666)</f>
        <v>45657.666666666599</v>
      </c>
      <c r="C386" s="141">
        <f ca="1">IFERROR(__xludf.DUMMYFUNCTION("""COMPUTED_VALUE"""),252.44)</f>
        <v>252.44</v>
      </c>
      <c r="D386" s="141">
        <f ca="1">IFERROR(__xludf.DUMMYFUNCTION("""COMPUTED_VALUE"""),253.28)</f>
        <v>253.28</v>
      </c>
      <c r="E386" s="141">
        <f ca="1">IFERROR(__xludf.DUMMYFUNCTION("""COMPUTED_VALUE"""),249.43)</f>
        <v>249.43</v>
      </c>
      <c r="F386" s="141">
        <f ca="1">IFERROR(__xludf.DUMMYFUNCTION("""COMPUTED_VALUE"""),250.42)</f>
        <v>250.42</v>
      </c>
      <c r="G386" s="143">
        <f ca="1">IFERROR(__xludf.DUMMYFUNCTION("""COMPUTED_VALUE"""),39480718)</f>
        <v>39480718</v>
      </c>
      <c r="H386" s="26"/>
    </row>
    <row r="387" spans="1:8" ht="17.25" customHeight="1" x14ac:dyDescent="0.2">
      <c r="A387" s="26"/>
      <c r="B387" s="139">
        <f ca="1">IFERROR(__xludf.DUMMYFUNCTION("""COMPUTED_VALUE"""),45659.6666666666)</f>
        <v>45659.666666666599</v>
      </c>
      <c r="C387" s="141">
        <f ca="1">IFERROR(__xludf.DUMMYFUNCTION("""COMPUTED_VALUE"""),248.93)</f>
        <v>248.93</v>
      </c>
      <c r="D387" s="141">
        <f ca="1">IFERROR(__xludf.DUMMYFUNCTION("""COMPUTED_VALUE"""),249.1)</f>
        <v>249.1</v>
      </c>
      <c r="E387" s="141">
        <f ca="1">IFERROR(__xludf.DUMMYFUNCTION("""COMPUTED_VALUE"""),241.82)</f>
        <v>241.82</v>
      </c>
      <c r="F387" s="141">
        <f ca="1">IFERROR(__xludf.DUMMYFUNCTION("""COMPUTED_VALUE"""),243.85)</f>
        <v>243.85</v>
      </c>
      <c r="G387" s="143">
        <f ca="1">IFERROR(__xludf.DUMMYFUNCTION("""COMPUTED_VALUE"""),55740731)</f>
        <v>55740731</v>
      </c>
      <c r="H387" s="26"/>
    </row>
    <row r="388" spans="1:8" ht="17.25" customHeight="1" x14ac:dyDescent="0.2">
      <c r="A388" s="26"/>
      <c r="B388" s="139">
        <f ca="1">IFERROR(__xludf.DUMMYFUNCTION("""COMPUTED_VALUE"""),45660.6666666666)</f>
        <v>45660.666666666599</v>
      </c>
      <c r="C388" s="141">
        <f ca="1">IFERROR(__xludf.DUMMYFUNCTION("""COMPUTED_VALUE"""),243.36)</f>
        <v>243.36</v>
      </c>
      <c r="D388" s="141">
        <f ca="1">IFERROR(__xludf.DUMMYFUNCTION("""COMPUTED_VALUE"""),244.18)</f>
        <v>244.18</v>
      </c>
      <c r="E388" s="141">
        <f ca="1">IFERROR(__xludf.DUMMYFUNCTION("""COMPUTED_VALUE"""),241.89)</f>
        <v>241.89</v>
      </c>
      <c r="F388" s="141">
        <f ca="1">IFERROR(__xludf.DUMMYFUNCTION("""COMPUTED_VALUE"""),243.36)</f>
        <v>243.36</v>
      </c>
      <c r="G388" s="143">
        <f ca="1">IFERROR(__xludf.DUMMYFUNCTION("""COMPUTED_VALUE"""),40244114)</f>
        <v>40244114</v>
      </c>
      <c r="H388" s="26"/>
    </row>
    <row r="389" spans="1:8" ht="17.25" customHeight="1" x14ac:dyDescent="0.2">
      <c r="A389" s="26"/>
      <c r="B389" s="139">
        <f ca="1">IFERROR(__xludf.DUMMYFUNCTION("""COMPUTED_VALUE"""),45663.6666666666)</f>
        <v>45663.666666666599</v>
      </c>
      <c r="C389" s="141">
        <f ca="1">IFERROR(__xludf.DUMMYFUNCTION("""COMPUTED_VALUE"""),244.31)</f>
        <v>244.31</v>
      </c>
      <c r="D389" s="141">
        <f ca="1">IFERROR(__xludf.DUMMYFUNCTION("""COMPUTED_VALUE"""),247.33)</f>
        <v>247.33</v>
      </c>
      <c r="E389" s="141">
        <f ca="1">IFERROR(__xludf.DUMMYFUNCTION("""COMPUTED_VALUE"""),243.2)</f>
        <v>243.2</v>
      </c>
      <c r="F389" s="141">
        <f ca="1">IFERROR(__xludf.DUMMYFUNCTION("""COMPUTED_VALUE"""),245)</f>
        <v>245</v>
      </c>
      <c r="G389" s="143">
        <f ca="1">IFERROR(__xludf.DUMMYFUNCTION("""COMPUTED_VALUE"""),45045571)</f>
        <v>45045571</v>
      </c>
      <c r="H389" s="26"/>
    </row>
    <row r="390" spans="1:8" ht="17.25" customHeight="1" x14ac:dyDescent="0.2">
      <c r="A390" s="26"/>
      <c r="B390" s="139">
        <f ca="1">IFERROR(__xludf.DUMMYFUNCTION("""COMPUTED_VALUE"""),45664.6666666666)</f>
        <v>45664.666666666599</v>
      </c>
      <c r="C390" s="141">
        <f ca="1">IFERROR(__xludf.DUMMYFUNCTION("""COMPUTED_VALUE"""),242.98)</f>
        <v>242.98</v>
      </c>
      <c r="D390" s="141">
        <f ca="1">IFERROR(__xludf.DUMMYFUNCTION("""COMPUTED_VALUE"""),245.55)</f>
        <v>245.55</v>
      </c>
      <c r="E390" s="141">
        <f ca="1">IFERROR(__xludf.DUMMYFUNCTION("""COMPUTED_VALUE"""),241.35)</f>
        <v>241.35</v>
      </c>
      <c r="F390" s="141">
        <f ca="1">IFERROR(__xludf.DUMMYFUNCTION("""COMPUTED_VALUE"""),242.21)</f>
        <v>242.21</v>
      </c>
      <c r="G390" s="143">
        <f ca="1">IFERROR(__xludf.DUMMYFUNCTION("""COMPUTED_VALUE"""),40855960)</f>
        <v>40855960</v>
      </c>
      <c r="H390" s="26"/>
    </row>
    <row r="391" spans="1:8" ht="17.25" customHeight="1" x14ac:dyDescent="0.2">
      <c r="A391" s="26"/>
      <c r="B391" s="139">
        <f ca="1">IFERROR(__xludf.DUMMYFUNCTION("""COMPUTED_VALUE"""),45665.6666666666)</f>
        <v>45665.666666666599</v>
      </c>
      <c r="C391" s="141">
        <f ca="1">IFERROR(__xludf.DUMMYFUNCTION("""COMPUTED_VALUE"""),241.92)</f>
        <v>241.92</v>
      </c>
      <c r="D391" s="141">
        <f ca="1">IFERROR(__xludf.DUMMYFUNCTION("""COMPUTED_VALUE"""),243.71)</f>
        <v>243.71</v>
      </c>
      <c r="E391" s="141">
        <f ca="1">IFERROR(__xludf.DUMMYFUNCTION("""COMPUTED_VALUE"""),240.05)</f>
        <v>240.05</v>
      </c>
      <c r="F391" s="141">
        <f ca="1">IFERROR(__xludf.DUMMYFUNCTION("""COMPUTED_VALUE"""),242.7)</f>
        <v>242.7</v>
      </c>
      <c r="G391" s="143">
        <f ca="1">IFERROR(__xludf.DUMMYFUNCTION("""COMPUTED_VALUE"""),37628940)</f>
        <v>37628940</v>
      </c>
      <c r="H391" s="26"/>
    </row>
    <row r="392" spans="1:8" ht="17.25" customHeight="1" x14ac:dyDescent="0.2">
      <c r="A392" s="26"/>
      <c r="B392" s="139">
        <f ca="1">IFERROR(__xludf.DUMMYFUNCTION("""COMPUTED_VALUE"""),45667.6666666666)</f>
        <v>45667.666666666599</v>
      </c>
      <c r="C392" s="141">
        <f ca="1">IFERROR(__xludf.DUMMYFUNCTION("""COMPUTED_VALUE"""),240.01)</f>
        <v>240.01</v>
      </c>
      <c r="D392" s="141">
        <f ca="1">IFERROR(__xludf.DUMMYFUNCTION("""COMPUTED_VALUE"""),240.16)</f>
        <v>240.16</v>
      </c>
      <c r="E392" s="141">
        <f ca="1">IFERROR(__xludf.DUMMYFUNCTION("""COMPUTED_VALUE"""),233)</f>
        <v>233</v>
      </c>
      <c r="F392" s="141">
        <f ca="1">IFERROR(__xludf.DUMMYFUNCTION("""COMPUTED_VALUE"""),236.85)</f>
        <v>236.85</v>
      </c>
      <c r="G392" s="143">
        <f ca="1">IFERROR(__xludf.DUMMYFUNCTION("""COMPUTED_VALUE"""),61710856)</f>
        <v>61710856</v>
      </c>
      <c r="H392" s="26"/>
    </row>
    <row r="393" spans="1:8" ht="17.25" customHeight="1" x14ac:dyDescent="0.2">
      <c r="A393" s="26"/>
      <c r="B393" s="139">
        <f ca="1">IFERROR(__xludf.DUMMYFUNCTION("""COMPUTED_VALUE"""),45670.6666666666)</f>
        <v>45670.666666666599</v>
      </c>
      <c r="C393" s="141">
        <f ca="1">IFERROR(__xludf.DUMMYFUNCTION("""COMPUTED_VALUE"""),233.53)</f>
        <v>233.53</v>
      </c>
      <c r="D393" s="141">
        <f ca="1">IFERROR(__xludf.DUMMYFUNCTION("""COMPUTED_VALUE"""),234.67)</f>
        <v>234.67</v>
      </c>
      <c r="E393" s="141">
        <f ca="1">IFERROR(__xludf.DUMMYFUNCTION("""COMPUTED_VALUE"""),229.72)</f>
        <v>229.72</v>
      </c>
      <c r="F393" s="141">
        <f ca="1">IFERROR(__xludf.DUMMYFUNCTION("""COMPUTED_VALUE"""),234.4)</f>
        <v>234.4</v>
      </c>
      <c r="G393" s="143">
        <f ca="1">IFERROR(__xludf.DUMMYFUNCTION("""COMPUTED_VALUE"""),49630725)</f>
        <v>49630725</v>
      </c>
      <c r="H393" s="26"/>
    </row>
    <row r="394" spans="1:8" ht="17.25" customHeight="1" x14ac:dyDescent="0.2">
      <c r="A394" s="26"/>
      <c r="B394" s="139">
        <f ca="1">IFERROR(__xludf.DUMMYFUNCTION("""COMPUTED_VALUE"""),45671.6666666666)</f>
        <v>45671.666666666599</v>
      </c>
      <c r="C394" s="141">
        <f ca="1">IFERROR(__xludf.DUMMYFUNCTION("""COMPUTED_VALUE"""),234.75)</f>
        <v>234.75</v>
      </c>
      <c r="D394" s="141">
        <f ca="1">IFERROR(__xludf.DUMMYFUNCTION("""COMPUTED_VALUE"""),236.12)</f>
        <v>236.12</v>
      </c>
      <c r="E394" s="141">
        <f ca="1">IFERROR(__xludf.DUMMYFUNCTION("""COMPUTED_VALUE"""),232.47)</f>
        <v>232.47</v>
      </c>
      <c r="F394" s="141">
        <f ca="1">IFERROR(__xludf.DUMMYFUNCTION("""COMPUTED_VALUE"""),233.28)</f>
        <v>233.28</v>
      </c>
      <c r="G394" s="143">
        <f ca="1">IFERROR(__xludf.DUMMYFUNCTION("""COMPUTED_VALUE"""),39435294)</f>
        <v>39435294</v>
      </c>
      <c r="H394" s="26"/>
    </row>
    <row r="395" spans="1:8" ht="17.25" customHeight="1" x14ac:dyDescent="0.2">
      <c r="A395" s="26"/>
      <c r="B395" s="139">
        <f ca="1">IFERROR(__xludf.DUMMYFUNCTION("""COMPUTED_VALUE"""),45672.6666666666)</f>
        <v>45672.666666666599</v>
      </c>
      <c r="C395" s="141">
        <f ca="1">IFERROR(__xludf.DUMMYFUNCTION("""COMPUTED_VALUE"""),234.64)</f>
        <v>234.64</v>
      </c>
      <c r="D395" s="141">
        <f ca="1">IFERROR(__xludf.DUMMYFUNCTION("""COMPUTED_VALUE"""),238.96)</f>
        <v>238.96</v>
      </c>
      <c r="E395" s="141">
        <f ca="1">IFERROR(__xludf.DUMMYFUNCTION("""COMPUTED_VALUE"""),234.43)</f>
        <v>234.43</v>
      </c>
      <c r="F395" s="141">
        <f ca="1">IFERROR(__xludf.DUMMYFUNCTION("""COMPUTED_VALUE"""),237.87)</f>
        <v>237.87</v>
      </c>
      <c r="G395" s="143">
        <f ca="1">IFERROR(__xludf.DUMMYFUNCTION("""COMPUTED_VALUE"""),39831969)</f>
        <v>39831969</v>
      </c>
      <c r="H395" s="26"/>
    </row>
    <row r="396" spans="1:8" ht="17.25" customHeight="1" x14ac:dyDescent="0.2">
      <c r="A396" s="26"/>
      <c r="B396" s="139">
        <f ca="1">IFERROR(__xludf.DUMMYFUNCTION("""COMPUTED_VALUE"""),45673.6666666666)</f>
        <v>45673.666666666599</v>
      </c>
      <c r="C396" s="141">
        <f ca="1">IFERROR(__xludf.DUMMYFUNCTION("""COMPUTED_VALUE"""),237.35)</f>
        <v>237.35</v>
      </c>
      <c r="D396" s="141">
        <f ca="1">IFERROR(__xludf.DUMMYFUNCTION("""COMPUTED_VALUE"""),238.01)</f>
        <v>238.01</v>
      </c>
      <c r="E396" s="141">
        <f ca="1">IFERROR(__xludf.DUMMYFUNCTION("""COMPUTED_VALUE"""),228.03)</f>
        <v>228.03</v>
      </c>
      <c r="F396" s="141">
        <f ca="1">IFERROR(__xludf.DUMMYFUNCTION("""COMPUTED_VALUE"""),228.26)</f>
        <v>228.26</v>
      </c>
      <c r="G396" s="143">
        <f ca="1">IFERROR(__xludf.DUMMYFUNCTION("""COMPUTED_VALUE"""),71759052)</f>
        <v>71759052</v>
      </c>
      <c r="H396" s="26"/>
    </row>
    <row r="397" spans="1:8" ht="17.25" customHeight="1" x14ac:dyDescent="0.2">
      <c r="A397" s="26"/>
      <c r="B397" s="139">
        <f ca="1">IFERROR(__xludf.DUMMYFUNCTION("""COMPUTED_VALUE"""),45674.6666666666)</f>
        <v>45674.666666666599</v>
      </c>
      <c r="C397" s="141">
        <f ca="1">IFERROR(__xludf.DUMMYFUNCTION("""COMPUTED_VALUE"""),232.12)</f>
        <v>232.12</v>
      </c>
      <c r="D397" s="141">
        <f ca="1">IFERROR(__xludf.DUMMYFUNCTION("""COMPUTED_VALUE"""),232.29)</f>
        <v>232.29</v>
      </c>
      <c r="E397" s="141">
        <f ca="1">IFERROR(__xludf.DUMMYFUNCTION("""COMPUTED_VALUE"""),228.48)</f>
        <v>228.48</v>
      </c>
      <c r="F397" s="141">
        <f ca="1">IFERROR(__xludf.DUMMYFUNCTION("""COMPUTED_VALUE"""),229.98)</f>
        <v>229.98</v>
      </c>
      <c r="G397" s="143">
        <f ca="1">IFERROR(__xludf.DUMMYFUNCTION("""COMPUTED_VALUE"""),68488301)</f>
        <v>68488301</v>
      </c>
      <c r="H397" s="26"/>
    </row>
    <row r="398" spans="1:8" ht="17.25" customHeight="1" x14ac:dyDescent="0.2">
      <c r="A398" s="26"/>
      <c r="B398" s="139">
        <f ca="1">IFERROR(__xludf.DUMMYFUNCTION("""COMPUTED_VALUE"""),45678.6666666666)</f>
        <v>45678.666666666599</v>
      </c>
      <c r="C398" s="141">
        <f ca="1">IFERROR(__xludf.DUMMYFUNCTION("""COMPUTED_VALUE"""),224)</f>
        <v>224</v>
      </c>
      <c r="D398" s="141">
        <f ca="1">IFERROR(__xludf.DUMMYFUNCTION("""COMPUTED_VALUE"""),224.42)</f>
        <v>224.42</v>
      </c>
      <c r="E398" s="141">
        <f ca="1">IFERROR(__xludf.DUMMYFUNCTION("""COMPUTED_VALUE"""),219.38)</f>
        <v>219.38</v>
      </c>
      <c r="F398" s="141">
        <f ca="1">IFERROR(__xludf.DUMMYFUNCTION("""COMPUTED_VALUE"""),222.64)</f>
        <v>222.64</v>
      </c>
      <c r="G398" s="143">
        <f ca="1">IFERROR(__xludf.DUMMYFUNCTION("""COMPUTED_VALUE"""),98070429)</f>
        <v>98070429</v>
      </c>
      <c r="H398" s="26"/>
    </row>
    <row r="399" spans="1:8" ht="17.25" customHeight="1" x14ac:dyDescent="0.2">
      <c r="A399" s="26"/>
      <c r="B399" s="139">
        <f ca="1">IFERROR(__xludf.DUMMYFUNCTION("""COMPUTED_VALUE"""),45679.6666666666)</f>
        <v>45679.666666666599</v>
      </c>
      <c r="C399" s="141">
        <f ca="1">IFERROR(__xludf.DUMMYFUNCTION("""COMPUTED_VALUE"""),219.79)</f>
        <v>219.79</v>
      </c>
      <c r="D399" s="141">
        <f ca="1">IFERROR(__xludf.DUMMYFUNCTION("""COMPUTED_VALUE"""),224.12)</f>
        <v>224.12</v>
      </c>
      <c r="E399" s="141">
        <f ca="1">IFERROR(__xludf.DUMMYFUNCTION("""COMPUTED_VALUE"""),219.79)</f>
        <v>219.79</v>
      </c>
      <c r="F399" s="141">
        <f ca="1">IFERROR(__xludf.DUMMYFUNCTION("""COMPUTED_VALUE"""),223.83)</f>
        <v>223.83</v>
      </c>
      <c r="G399" s="143">
        <f ca="1">IFERROR(__xludf.DUMMYFUNCTION("""COMPUTED_VALUE"""),64126500)</f>
        <v>64126500</v>
      </c>
      <c r="H399" s="26"/>
    </row>
    <row r="400" spans="1:8" ht="17.25" customHeight="1" x14ac:dyDescent="0.2">
      <c r="A400" s="26"/>
      <c r="B400" s="139">
        <f ca="1">IFERROR(__xludf.DUMMYFUNCTION("""COMPUTED_VALUE"""),45680.6666666666)</f>
        <v>45680.666666666599</v>
      </c>
      <c r="C400" s="141">
        <f ca="1">IFERROR(__xludf.DUMMYFUNCTION("""COMPUTED_VALUE"""),224.74)</f>
        <v>224.74</v>
      </c>
      <c r="D400" s="141">
        <f ca="1">IFERROR(__xludf.DUMMYFUNCTION("""COMPUTED_VALUE"""),227.03)</f>
        <v>227.03</v>
      </c>
      <c r="E400" s="141">
        <f ca="1">IFERROR(__xludf.DUMMYFUNCTION("""COMPUTED_VALUE"""),222.3)</f>
        <v>222.3</v>
      </c>
      <c r="F400" s="141">
        <f ca="1">IFERROR(__xludf.DUMMYFUNCTION("""COMPUTED_VALUE"""),223.66)</f>
        <v>223.66</v>
      </c>
      <c r="G400" s="143">
        <f ca="1">IFERROR(__xludf.DUMMYFUNCTION("""COMPUTED_VALUE"""),60234760)</f>
        <v>60234760</v>
      </c>
      <c r="H400" s="26"/>
    </row>
    <row r="401" spans="1:8" ht="17.25" customHeight="1" x14ac:dyDescent="0.2">
      <c r="A401" s="26"/>
      <c r="B401" s="139">
        <f ca="1">IFERROR(__xludf.DUMMYFUNCTION("""COMPUTED_VALUE"""),45681.6666666666)</f>
        <v>45681.666666666599</v>
      </c>
      <c r="C401" s="141">
        <f ca="1">IFERROR(__xludf.DUMMYFUNCTION("""COMPUTED_VALUE"""),224.78)</f>
        <v>224.78</v>
      </c>
      <c r="D401" s="141">
        <f ca="1">IFERROR(__xludf.DUMMYFUNCTION("""COMPUTED_VALUE"""),225.63)</f>
        <v>225.63</v>
      </c>
      <c r="E401" s="141">
        <f ca="1">IFERROR(__xludf.DUMMYFUNCTION("""COMPUTED_VALUE"""),221.41)</f>
        <v>221.41</v>
      </c>
      <c r="F401" s="141">
        <f ca="1">IFERROR(__xludf.DUMMYFUNCTION("""COMPUTED_VALUE"""),222.78)</f>
        <v>222.78</v>
      </c>
      <c r="G401" s="143">
        <f ca="1">IFERROR(__xludf.DUMMYFUNCTION("""COMPUTED_VALUE"""),54697907)</f>
        <v>54697907</v>
      </c>
      <c r="H401" s="26"/>
    </row>
    <row r="402" spans="1:8" ht="17.25" customHeight="1" x14ac:dyDescent="0.2">
      <c r="A402" s="26"/>
      <c r="B402" s="139">
        <f ca="1">IFERROR(__xludf.DUMMYFUNCTION("""COMPUTED_VALUE"""),45684.6666666666)</f>
        <v>45684.666666666599</v>
      </c>
      <c r="C402" s="141">
        <f ca="1">IFERROR(__xludf.DUMMYFUNCTION("""COMPUTED_VALUE"""),224.02)</f>
        <v>224.02</v>
      </c>
      <c r="D402" s="141">
        <f ca="1">IFERROR(__xludf.DUMMYFUNCTION("""COMPUTED_VALUE"""),232.15)</f>
        <v>232.15</v>
      </c>
      <c r="E402" s="141">
        <f ca="1">IFERROR(__xludf.DUMMYFUNCTION("""COMPUTED_VALUE"""),223.98)</f>
        <v>223.98</v>
      </c>
      <c r="F402" s="141">
        <f ca="1">IFERROR(__xludf.DUMMYFUNCTION("""COMPUTED_VALUE"""),229.86)</f>
        <v>229.86</v>
      </c>
      <c r="G402" s="143">
        <f ca="1">IFERROR(__xludf.DUMMYFUNCTION("""COMPUTED_VALUE"""),94863418)</f>
        <v>94863418</v>
      </c>
      <c r="H402" s="26"/>
    </row>
    <row r="403" spans="1:8" ht="17.25" customHeight="1" x14ac:dyDescent="0.2">
      <c r="A403" s="26"/>
      <c r="B403" s="139">
        <f ca="1">IFERROR(__xludf.DUMMYFUNCTION("""COMPUTED_VALUE"""),45685.6666666666)</f>
        <v>45685.666666666599</v>
      </c>
      <c r="C403" s="141">
        <f ca="1">IFERROR(__xludf.DUMMYFUNCTION("""COMPUTED_VALUE"""),230.85)</f>
        <v>230.85</v>
      </c>
      <c r="D403" s="141">
        <f ca="1">IFERROR(__xludf.DUMMYFUNCTION("""COMPUTED_VALUE"""),240.19)</f>
        <v>240.19</v>
      </c>
      <c r="E403" s="141">
        <f ca="1">IFERROR(__xludf.DUMMYFUNCTION("""COMPUTED_VALUE"""),230.81)</f>
        <v>230.81</v>
      </c>
      <c r="F403" s="141">
        <f ca="1">IFERROR(__xludf.DUMMYFUNCTION("""COMPUTED_VALUE"""),238.26)</f>
        <v>238.26</v>
      </c>
      <c r="G403" s="143">
        <f ca="1">IFERROR(__xludf.DUMMYFUNCTION("""COMPUTED_VALUE"""),75707569)</f>
        <v>75707569</v>
      </c>
      <c r="H403" s="26"/>
    </row>
    <row r="404" spans="1:8" ht="17.25" customHeight="1" x14ac:dyDescent="0.2">
      <c r="A404" s="26"/>
      <c r="B404" s="139">
        <f ca="1">IFERROR(__xludf.DUMMYFUNCTION("""COMPUTED_VALUE"""),45686.6666666666)</f>
        <v>45686.666666666599</v>
      </c>
      <c r="C404" s="141">
        <f ca="1">IFERROR(__xludf.DUMMYFUNCTION("""COMPUTED_VALUE"""),234.12)</f>
        <v>234.12</v>
      </c>
      <c r="D404" s="141">
        <f ca="1">IFERROR(__xludf.DUMMYFUNCTION("""COMPUTED_VALUE"""),239.86)</f>
        <v>239.86</v>
      </c>
      <c r="E404" s="141">
        <f ca="1">IFERROR(__xludf.DUMMYFUNCTION("""COMPUTED_VALUE"""),234.01)</f>
        <v>234.01</v>
      </c>
      <c r="F404" s="141">
        <f ca="1">IFERROR(__xludf.DUMMYFUNCTION("""COMPUTED_VALUE"""),239.36)</f>
        <v>239.36</v>
      </c>
      <c r="G404" s="143">
        <f ca="1">IFERROR(__xludf.DUMMYFUNCTION("""COMPUTED_VALUE"""),45486100)</f>
        <v>45486100</v>
      </c>
      <c r="H404" s="26"/>
    </row>
    <row r="405" spans="1:8" ht="17.25" customHeight="1" x14ac:dyDescent="0.2">
      <c r="A405" s="26"/>
      <c r="B405" s="139">
        <f ca="1">IFERROR(__xludf.DUMMYFUNCTION("""COMPUTED_VALUE"""),45687.6666666666)</f>
        <v>45687.666666666599</v>
      </c>
      <c r="C405" s="141">
        <f ca="1">IFERROR(__xludf.DUMMYFUNCTION("""COMPUTED_VALUE"""),238.67)</f>
        <v>238.67</v>
      </c>
      <c r="D405" s="141">
        <f ca="1">IFERROR(__xludf.DUMMYFUNCTION("""COMPUTED_VALUE"""),240.79)</f>
        <v>240.79</v>
      </c>
      <c r="E405" s="141">
        <f ca="1">IFERROR(__xludf.DUMMYFUNCTION("""COMPUTED_VALUE"""),237.21)</f>
        <v>237.21</v>
      </c>
      <c r="F405" s="141">
        <f ca="1">IFERROR(__xludf.DUMMYFUNCTION("""COMPUTED_VALUE"""),237.59)</f>
        <v>237.59</v>
      </c>
      <c r="G405" s="143">
        <f ca="1">IFERROR(__xludf.DUMMYFUNCTION("""COMPUTED_VALUE"""),55658279)</f>
        <v>55658279</v>
      </c>
      <c r="H405" s="26"/>
    </row>
    <row r="406" spans="1:8" ht="17.25" customHeight="1" x14ac:dyDescent="0.2">
      <c r="A406" s="26"/>
      <c r="B406" s="139">
        <f ca="1">IFERROR(__xludf.DUMMYFUNCTION("""COMPUTED_VALUE"""),45688.6666666666)</f>
        <v>45688.666666666599</v>
      </c>
      <c r="C406" s="141">
        <f ca="1">IFERROR(__xludf.DUMMYFUNCTION("""COMPUTED_VALUE"""),247.19)</f>
        <v>247.19</v>
      </c>
      <c r="D406" s="141">
        <f ca="1">IFERROR(__xludf.DUMMYFUNCTION("""COMPUTED_VALUE"""),247.19)</f>
        <v>247.19</v>
      </c>
      <c r="E406" s="141">
        <f ca="1">IFERROR(__xludf.DUMMYFUNCTION("""COMPUTED_VALUE"""),233.44)</f>
        <v>233.44</v>
      </c>
      <c r="F406" s="141">
        <f ca="1">IFERROR(__xludf.DUMMYFUNCTION("""COMPUTED_VALUE"""),236)</f>
        <v>236</v>
      </c>
      <c r="G406" s="143">
        <f ca="1">IFERROR(__xludf.DUMMYFUNCTION("""COMPUTED_VALUE"""),101075128)</f>
        <v>101075128</v>
      </c>
      <c r="H406" s="26"/>
    </row>
    <row r="407" spans="1:8" ht="17.25" customHeight="1" x14ac:dyDescent="0.2">
      <c r="A407" s="26"/>
      <c r="B407" s="139">
        <f ca="1">IFERROR(__xludf.DUMMYFUNCTION("""COMPUTED_VALUE"""),45691.6666666666)</f>
        <v>45691.666666666599</v>
      </c>
      <c r="C407" s="141">
        <f ca="1">IFERROR(__xludf.DUMMYFUNCTION("""COMPUTED_VALUE"""),229.99)</f>
        <v>229.99</v>
      </c>
      <c r="D407" s="141">
        <f ca="1">IFERROR(__xludf.DUMMYFUNCTION("""COMPUTED_VALUE"""),231.83)</f>
        <v>231.83</v>
      </c>
      <c r="E407" s="141">
        <f ca="1">IFERROR(__xludf.DUMMYFUNCTION("""COMPUTED_VALUE"""),225.7)</f>
        <v>225.7</v>
      </c>
      <c r="F407" s="141">
        <f ca="1">IFERROR(__xludf.DUMMYFUNCTION("""COMPUTED_VALUE"""),228.01)</f>
        <v>228.01</v>
      </c>
      <c r="G407" s="143">
        <f ca="1">IFERROR(__xludf.DUMMYFUNCTION("""COMPUTED_VALUE"""),73063301)</f>
        <v>73063301</v>
      </c>
      <c r="H407" s="26"/>
    </row>
    <row r="408" spans="1:8" ht="17.25" customHeight="1" x14ac:dyDescent="0.2">
      <c r="A408" s="26"/>
      <c r="B408" s="139">
        <f ca="1">IFERROR(__xludf.DUMMYFUNCTION("""COMPUTED_VALUE"""),45692.6666666666)</f>
        <v>45692.666666666599</v>
      </c>
      <c r="C408" s="141">
        <f ca="1">IFERROR(__xludf.DUMMYFUNCTION("""COMPUTED_VALUE"""),227.25)</f>
        <v>227.25</v>
      </c>
      <c r="D408" s="141">
        <f ca="1">IFERROR(__xludf.DUMMYFUNCTION("""COMPUTED_VALUE"""),233.13)</f>
        <v>233.13</v>
      </c>
      <c r="E408" s="141">
        <f ca="1">IFERROR(__xludf.DUMMYFUNCTION("""COMPUTED_VALUE"""),226.65)</f>
        <v>226.65</v>
      </c>
      <c r="F408" s="141">
        <f ca="1">IFERROR(__xludf.DUMMYFUNCTION("""COMPUTED_VALUE"""),232.8)</f>
        <v>232.8</v>
      </c>
      <c r="G408" s="143">
        <f ca="1">IFERROR(__xludf.DUMMYFUNCTION("""COMPUTED_VALUE"""),45067301)</f>
        <v>45067301</v>
      </c>
      <c r="H408" s="26"/>
    </row>
    <row r="409" spans="1:8" ht="17.25" customHeight="1" x14ac:dyDescent="0.2">
      <c r="A409" s="26"/>
      <c r="B409" s="139">
        <f ca="1">IFERROR(__xludf.DUMMYFUNCTION("""COMPUTED_VALUE"""),45693.6666666666)</f>
        <v>45693.666666666599</v>
      </c>
      <c r="C409" s="141">
        <f ca="1">IFERROR(__xludf.DUMMYFUNCTION("""COMPUTED_VALUE"""),228.53)</f>
        <v>228.53</v>
      </c>
      <c r="D409" s="141">
        <f ca="1">IFERROR(__xludf.DUMMYFUNCTION("""COMPUTED_VALUE"""),232.67)</f>
        <v>232.67</v>
      </c>
      <c r="E409" s="141">
        <f ca="1">IFERROR(__xludf.DUMMYFUNCTION("""COMPUTED_VALUE"""),228.27)</f>
        <v>228.27</v>
      </c>
      <c r="F409" s="141">
        <f ca="1">IFERROR(__xludf.DUMMYFUNCTION("""COMPUTED_VALUE"""),232.47)</f>
        <v>232.47</v>
      </c>
      <c r="G409" s="143">
        <f ca="1">IFERROR(__xludf.DUMMYFUNCTION("""COMPUTED_VALUE"""),39664989)</f>
        <v>39664989</v>
      </c>
      <c r="H409" s="26"/>
    </row>
    <row r="410" spans="1:8" ht="17.25" customHeight="1" x14ac:dyDescent="0.2">
      <c r="A410" s="26"/>
      <c r="B410" s="139">
        <f ca="1">IFERROR(__xludf.DUMMYFUNCTION("""COMPUTED_VALUE"""),45694.6666666666)</f>
        <v>45694.666666666599</v>
      </c>
      <c r="C410" s="141">
        <f ca="1">IFERROR(__xludf.DUMMYFUNCTION("""COMPUTED_VALUE"""),231.29)</f>
        <v>231.29</v>
      </c>
      <c r="D410" s="141">
        <f ca="1">IFERROR(__xludf.DUMMYFUNCTION("""COMPUTED_VALUE"""),233.8)</f>
        <v>233.8</v>
      </c>
      <c r="E410" s="141">
        <f ca="1">IFERROR(__xludf.DUMMYFUNCTION("""COMPUTED_VALUE"""),230.43)</f>
        <v>230.43</v>
      </c>
      <c r="F410" s="141">
        <f ca="1">IFERROR(__xludf.DUMMYFUNCTION("""COMPUTED_VALUE"""),233.22)</f>
        <v>233.22</v>
      </c>
      <c r="G410" s="143">
        <f ca="1">IFERROR(__xludf.DUMMYFUNCTION("""COMPUTED_VALUE"""),29925349)</f>
        <v>29925349</v>
      </c>
      <c r="H410" s="26"/>
    </row>
    <row r="411" spans="1:8" ht="17.25" customHeight="1" x14ac:dyDescent="0.2">
      <c r="A411" s="26"/>
      <c r="B411" s="139">
        <f ca="1">IFERROR(__xludf.DUMMYFUNCTION("""COMPUTED_VALUE"""),45695.6666666666)</f>
        <v>45695.666666666599</v>
      </c>
      <c r="C411" s="141">
        <f ca="1">IFERROR(__xludf.DUMMYFUNCTION("""COMPUTED_VALUE"""),232.6)</f>
        <v>232.6</v>
      </c>
      <c r="D411" s="141">
        <f ca="1">IFERROR(__xludf.DUMMYFUNCTION("""COMPUTED_VALUE"""),234)</f>
        <v>234</v>
      </c>
      <c r="E411" s="141">
        <f ca="1">IFERROR(__xludf.DUMMYFUNCTION("""COMPUTED_VALUE"""),227.26)</f>
        <v>227.26</v>
      </c>
      <c r="F411" s="141">
        <f ca="1">IFERROR(__xludf.DUMMYFUNCTION("""COMPUTED_VALUE"""),227.63)</f>
        <v>227.63</v>
      </c>
      <c r="G411" s="143">
        <f ca="1">IFERROR(__xludf.DUMMYFUNCTION("""COMPUTED_VALUE"""),39707224)</f>
        <v>39707224</v>
      </c>
      <c r="H411" s="26"/>
    </row>
    <row r="412" spans="1:8" ht="17.25" customHeight="1" x14ac:dyDescent="0.2">
      <c r="A412" s="26"/>
      <c r="B412" s="139">
        <f ca="1">IFERROR(__xludf.DUMMYFUNCTION("""COMPUTED_VALUE"""),45698.6666666666)</f>
        <v>45698.666666666599</v>
      </c>
      <c r="C412" s="141">
        <f ca="1">IFERROR(__xludf.DUMMYFUNCTION("""COMPUTED_VALUE"""),229.57)</f>
        <v>229.57</v>
      </c>
      <c r="D412" s="141">
        <f ca="1">IFERROR(__xludf.DUMMYFUNCTION("""COMPUTED_VALUE"""),230.59)</f>
        <v>230.59</v>
      </c>
      <c r="E412" s="141">
        <f ca="1">IFERROR(__xludf.DUMMYFUNCTION("""COMPUTED_VALUE"""),227.2)</f>
        <v>227.2</v>
      </c>
      <c r="F412" s="141">
        <f ca="1">IFERROR(__xludf.DUMMYFUNCTION("""COMPUTED_VALUE"""),227.65)</f>
        <v>227.65</v>
      </c>
      <c r="G412" s="143">
        <f ca="1">IFERROR(__xludf.DUMMYFUNCTION("""COMPUTED_VALUE"""),33115645)</f>
        <v>33115645</v>
      </c>
      <c r="H412" s="26"/>
    </row>
    <row r="413" spans="1:8" ht="17.25" customHeight="1" x14ac:dyDescent="0.2">
      <c r="A413" s="26"/>
      <c r="B413" s="139">
        <f ca="1">IFERROR(__xludf.DUMMYFUNCTION("""COMPUTED_VALUE"""),45699.6666666666)</f>
        <v>45699.666666666599</v>
      </c>
      <c r="C413" s="141">
        <f ca="1">IFERROR(__xludf.DUMMYFUNCTION("""COMPUTED_VALUE"""),228.2)</f>
        <v>228.2</v>
      </c>
      <c r="D413" s="141">
        <f ca="1">IFERROR(__xludf.DUMMYFUNCTION("""COMPUTED_VALUE"""),235.23)</f>
        <v>235.23</v>
      </c>
      <c r="E413" s="141">
        <f ca="1">IFERROR(__xludf.DUMMYFUNCTION("""COMPUTED_VALUE"""),228.13)</f>
        <v>228.13</v>
      </c>
      <c r="F413" s="141">
        <f ca="1">IFERROR(__xludf.DUMMYFUNCTION("""COMPUTED_VALUE"""),232.62)</f>
        <v>232.62</v>
      </c>
      <c r="G413" s="143">
        <f ca="1">IFERROR(__xludf.DUMMYFUNCTION("""COMPUTED_VALUE"""),53718362)</f>
        <v>53718362</v>
      </c>
      <c r="H413" s="26"/>
    </row>
    <row r="414" spans="1:8" ht="17.25" customHeight="1" x14ac:dyDescent="0.2">
      <c r="A414" s="26"/>
      <c r="B414" s="139">
        <f ca="1">IFERROR(__xludf.DUMMYFUNCTION("""COMPUTED_VALUE"""),45700.6666666666)</f>
        <v>45700.666666666599</v>
      </c>
      <c r="C414" s="141">
        <f ca="1">IFERROR(__xludf.DUMMYFUNCTION("""COMPUTED_VALUE"""),231.2)</f>
        <v>231.2</v>
      </c>
      <c r="D414" s="141">
        <f ca="1">IFERROR(__xludf.DUMMYFUNCTION("""COMPUTED_VALUE"""),236.96)</f>
        <v>236.96</v>
      </c>
      <c r="E414" s="141">
        <f ca="1">IFERROR(__xludf.DUMMYFUNCTION("""COMPUTED_VALUE"""),230.68)</f>
        <v>230.68</v>
      </c>
      <c r="F414" s="141">
        <f ca="1">IFERROR(__xludf.DUMMYFUNCTION("""COMPUTED_VALUE"""),236.87)</f>
        <v>236.87</v>
      </c>
      <c r="G414" s="143">
        <f ca="1">IFERROR(__xludf.DUMMYFUNCTION("""COMPUTED_VALUE"""),45243292)</f>
        <v>45243292</v>
      </c>
      <c r="H414" s="26"/>
    </row>
    <row r="415" spans="1:8" ht="17.25" customHeight="1" x14ac:dyDescent="0.2">
      <c r="A415" s="26"/>
      <c r="B415" s="139">
        <f ca="1">IFERROR(__xludf.DUMMYFUNCTION("""COMPUTED_VALUE"""),45701.6666666666)</f>
        <v>45701.666666666599</v>
      </c>
      <c r="C415" s="141">
        <f ca="1">IFERROR(__xludf.DUMMYFUNCTION("""COMPUTED_VALUE"""),236.91)</f>
        <v>236.91</v>
      </c>
      <c r="D415" s="141">
        <f ca="1">IFERROR(__xludf.DUMMYFUNCTION("""COMPUTED_VALUE"""),242.34)</f>
        <v>242.34</v>
      </c>
      <c r="E415" s="141">
        <f ca="1">IFERROR(__xludf.DUMMYFUNCTION("""COMPUTED_VALUE"""),235.57)</f>
        <v>235.57</v>
      </c>
      <c r="F415" s="141">
        <f ca="1">IFERROR(__xludf.DUMMYFUNCTION("""COMPUTED_VALUE"""),241.53)</f>
        <v>241.53</v>
      </c>
      <c r="G415" s="143">
        <f ca="1">IFERROR(__xludf.DUMMYFUNCTION("""COMPUTED_VALUE"""),53614054)</f>
        <v>53614054</v>
      </c>
      <c r="H415" s="26"/>
    </row>
    <row r="416" spans="1:8" ht="17.25" customHeight="1" x14ac:dyDescent="0.2">
      <c r="A416" s="26"/>
      <c r="B416" s="139">
        <f ca="1">IFERROR(__xludf.DUMMYFUNCTION("""COMPUTED_VALUE"""),45702.6666666666)</f>
        <v>45702.666666666599</v>
      </c>
      <c r="C416" s="141">
        <f ca="1">IFERROR(__xludf.DUMMYFUNCTION("""COMPUTED_VALUE"""),241.25)</f>
        <v>241.25</v>
      </c>
      <c r="D416" s="141">
        <f ca="1">IFERROR(__xludf.DUMMYFUNCTION("""COMPUTED_VALUE"""),245.55)</f>
        <v>245.55</v>
      </c>
      <c r="E416" s="141">
        <f ca="1">IFERROR(__xludf.DUMMYFUNCTION("""COMPUTED_VALUE"""),240.99)</f>
        <v>240.99</v>
      </c>
      <c r="F416" s="141">
        <f ca="1">IFERROR(__xludf.DUMMYFUNCTION("""COMPUTED_VALUE"""),244.6)</f>
        <v>244.6</v>
      </c>
      <c r="G416" s="143">
        <f ca="1">IFERROR(__xludf.DUMMYFUNCTION("""COMPUTED_VALUE"""),40896227)</f>
        <v>40896227</v>
      </c>
      <c r="H416" s="26"/>
    </row>
    <row r="417" spans="1:8" ht="17.25" customHeight="1" x14ac:dyDescent="0.2">
      <c r="A417" s="26"/>
      <c r="B417" s="139">
        <f ca="1">IFERROR(__xludf.DUMMYFUNCTION("""COMPUTED_VALUE"""),45706.6666666666)</f>
        <v>45706.666666666599</v>
      </c>
      <c r="C417" s="141">
        <f ca="1">IFERROR(__xludf.DUMMYFUNCTION("""COMPUTED_VALUE"""),244.15)</f>
        <v>244.15</v>
      </c>
      <c r="D417" s="141">
        <f ca="1">IFERROR(__xludf.DUMMYFUNCTION("""COMPUTED_VALUE"""),245.18)</f>
        <v>245.18</v>
      </c>
      <c r="E417" s="141">
        <f ca="1">IFERROR(__xludf.DUMMYFUNCTION("""COMPUTED_VALUE"""),241.84)</f>
        <v>241.84</v>
      </c>
      <c r="F417" s="141">
        <f ca="1">IFERROR(__xludf.DUMMYFUNCTION("""COMPUTED_VALUE"""),244.47)</f>
        <v>244.47</v>
      </c>
      <c r="G417" s="143">
        <f ca="1">IFERROR(__xludf.DUMMYFUNCTION("""COMPUTED_VALUE"""),48822491)</f>
        <v>48822491</v>
      </c>
      <c r="H417" s="26"/>
    </row>
    <row r="418" spans="1:8" ht="17.25" customHeight="1" x14ac:dyDescent="0.2">
      <c r="A418" s="26"/>
      <c r="B418" s="139">
        <f ca="1">IFERROR(__xludf.DUMMYFUNCTION("""COMPUTED_VALUE"""),45707.6666666666)</f>
        <v>45707.666666666599</v>
      </c>
      <c r="C418" s="141">
        <f ca="1">IFERROR(__xludf.DUMMYFUNCTION("""COMPUTED_VALUE"""),244.66)</f>
        <v>244.66</v>
      </c>
      <c r="D418" s="141">
        <f ca="1">IFERROR(__xludf.DUMMYFUNCTION("""COMPUTED_VALUE"""),246.01)</f>
        <v>246.01</v>
      </c>
      <c r="E418" s="141">
        <f ca="1">IFERROR(__xludf.DUMMYFUNCTION("""COMPUTED_VALUE"""),243.16)</f>
        <v>243.16</v>
      </c>
      <c r="F418" s="141">
        <f ca="1">IFERROR(__xludf.DUMMYFUNCTION("""COMPUTED_VALUE"""),244.87)</f>
        <v>244.87</v>
      </c>
      <c r="G418" s="143">
        <f ca="1">IFERROR(__xludf.DUMMYFUNCTION("""COMPUTED_VALUE"""),32204215)</f>
        <v>32204215</v>
      </c>
      <c r="H418" s="26"/>
    </row>
    <row r="419" spans="1:8" ht="17.25" customHeight="1" x14ac:dyDescent="0.2">
      <c r="A419" s="26"/>
      <c r="B419" s="139">
        <f ca="1">IFERROR(__xludf.DUMMYFUNCTION("""COMPUTED_VALUE"""),45708.6666666666)</f>
        <v>45708.666666666599</v>
      </c>
      <c r="C419" s="141">
        <f ca="1">IFERROR(__xludf.DUMMYFUNCTION("""COMPUTED_VALUE"""),244.94)</f>
        <v>244.94</v>
      </c>
      <c r="D419" s="141">
        <f ca="1">IFERROR(__xludf.DUMMYFUNCTION("""COMPUTED_VALUE"""),246.78)</f>
        <v>246.78</v>
      </c>
      <c r="E419" s="141">
        <f ca="1">IFERROR(__xludf.DUMMYFUNCTION("""COMPUTED_VALUE"""),244.29)</f>
        <v>244.29</v>
      </c>
      <c r="F419" s="141">
        <f ca="1">IFERROR(__xludf.DUMMYFUNCTION("""COMPUTED_VALUE"""),245.83)</f>
        <v>245.83</v>
      </c>
      <c r="G419" s="143">
        <f ca="1">IFERROR(__xludf.DUMMYFUNCTION("""COMPUTED_VALUE"""),32316907)</f>
        <v>32316907</v>
      </c>
      <c r="H419" s="26"/>
    </row>
    <row r="420" spans="1:8" ht="17.25" customHeight="1" x14ac:dyDescent="0.2">
      <c r="A420" s="26"/>
      <c r="B420" s="139">
        <f ca="1">IFERROR(__xludf.DUMMYFUNCTION("""COMPUTED_VALUE"""),45709.6666666666)</f>
        <v>45709.666666666599</v>
      </c>
      <c r="C420" s="141">
        <f ca="1">IFERROR(__xludf.DUMMYFUNCTION("""COMPUTED_VALUE"""),245.95)</f>
        <v>245.95</v>
      </c>
      <c r="D420" s="141">
        <f ca="1">IFERROR(__xludf.DUMMYFUNCTION("""COMPUTED_VALUE"""),248.69)</f>
        <v>248.69</v>
      </c>
      <c r="E420" s="141">
        <f ca="1">IFERROR(__xludf.DUMMYFUNCTION("""COMPUTED_VALUE"""),245.22)</f>
        <v>245.22</v>
      </c>
      <c r="F420" s="141">
        <f ca="1">IFERROR(__xludf.DUMMYFUNCTION("""COMPUTED_VALUE"""),245.55)</f>
        <v>245.55</v>
      </c>
      <c r="G420" s="143">
        <f ca="1">IFERROR(__xludf.DUMMYFUNCTION("""COMPUTED_VALUE"""),53197431)</f>
        <v>53197431</v>
      </c>
      <c r="H420" s="26"/>
    </row>
    <row r="421" spans="1:8" ht="17.25" customHeight="1" x14ac:dyDescent="0.2">
      <c r="A421" s="26"/>
      <c r="B421" s="139">
        <f ca="1">IFERROR(__xludf.DUMMYFUNCTION("""COMPUTED_VALUE"""),45712.6666666666)</f>
        <v>45712.666666666599</v>
      </c>
      <c r="C421" s="141">
        <f ca="1">IFERROR(__xludf.DUMMYFUNCTION("""COMPUTED_VALUE"""),244.93)</f>
        <v>244.93</v>
      </c>
      <c r="D421" s="141">
        <f ca="1">IFERROR(__xludf.DUMMYFUNCTION("""COMPUTED_VALUE"""),248.86)</f>
        <v>248.86</v>
      </c>
      <c r="E421" s="141">
        <f ca="1">IFERROR(__xludf.DUMMYFUNCTION("""COMPUTED_VALUE"""),244.42)</f>
        <v>244.42</v>
      </c>
      <c r="F421" s="141">
        <f ca="1">IFERROR(__xludf.DUMMYFUNCTION("""COMPUTED_VALUE"""),247.1)</f>
        <v>247.1</v>
      </c>
      <c r="G421" s="143">
        <f ca="1">IFERROR(__xludf.DUMMYFUNCTION("""COMPUTED_VALUE"""),51326396)</f>
        <v>51326396</v>
      </c>
      <c r="H421" s="26"/>
    </row>
    <row r="422" spans="1:8" ht="17.25" customHeight="1" x14ac:dyDescent="0.2">
      <c r="A422" s="26"/>
      <c r="B422" s="139">
        <f ca="1">IFERROR(__xludf.DUMMYFUNCTION("""COMPUTED_VALUE"""),45713.6666666666)</f>
        <v>45713.666666666599</v>
      </c>
      <c r="C422" s="141">
        <f ca="1">IFERROR(__xludf.DUMMYFUNCTION("""COMPUTED_VALUE"""),248)</f>
        <v>248</v>
      </c>
      <c r="D422" s="141">
        <f ca="1">IFERROR(__xludf.DUMMYFUNCTION("""COMPUTED_VALUE"""),250)</f>
        <v>250</v>
      </c>
      <c r="E422" s="141">
        <f ca="1">IFERROR(__xludf.DUMMYFUNCTION("""COMPUTED_VALUE"""),244.91)</f>
        <v>244.91</v>
      </c>
      <c r="F422" s="141">
        <f ca="1">IFERROR(__xludf.DUMMYFUNCTION("""COMPUTED_VALUE"""),247.04)</f>
        <v>247.04</v>
      </c>
      <c r="G422" s="143">
        <f ca="1">IFERROR(__xludf.DUMMYFUNCTION("""COMPUTED_VALUE"""),48013272)</f>
        <v>48013272</v>
      </c>
      <c r="H422" s="26"/>
    </row>
    <row r="423" spans="1:8" ht="17.25" customHeight="1" x14ac:dyDescent="0.2">
      <c r="A423" s="26"/>
      <c r="B423" s="139">
        <f ca="1">IFERROR(__xludf.DUMMYFUNCTION("""COMPUTED_VALUE"""),45714.6666666666)</f>
        <v>45714.666666666599</v>
      </c>
      <c r="C423" s="141">
        <f ca="1">IFERROR(__xludf.DUMMYFUNCTION("""COMPUTED_VALUE"""),244.33)</f>
        <v>244.33</v>
      </c>
      <c r="D423" s="141">
        <f ca="1">IFERROR(__xludf.DUMMYFUNCTION("""COMPUTED_VALUE"""),244.98)</f>
        <v>244.98</v>
      </c>
      <c r="E423" s="141">
        <f ca="1">IFERROR(__xludf.DUMMYFUNCTION("""COMPUTED_VALUE"""),239.13)</f>
        <v>239.13</v>
      </c>
      <c r="F423" s="141">
        <f ca="1">IFERROR(__xludf.DUMMYFUNCTION("""COMPUTED_VALUE"""),240.36)</f>
        <v>240.36</v>
      </c>
      <c r="G423" s="143">
        <f ca="1">IFERROR(__xludf.DUMMYFUNCTION("""COMPUTED_VALUE"""),44433564)</f>
        <v>44433564</v>
      </c>
      <c r="H423" s="26"/>
    </row>
    <row r="424" spans="1:8" ht="17.25" customHeight="1" x14ac:dyDescent="0.2">
      <c r="A424" s="26"/>
      <c r="B424" s="139">
        <f ca="1">IFERROR(__xludf.DUMMYFUNCTION("""COMPUTED_VALUE"""),45715.6666666666)</f>
        <v>45715.666666666599</v>
      </c>
      <c r="C424" s="141">
        <f ca="1">IFERROR(__xludf.DUMMYFUNCTION("""COMPUTED_VALUE"""),239.41)</f>
        <v>239.41</v>
      </c>
      <c r="D424" s="141">
        <f ca="1">IFERROR(__xludf.DUMMYFUNCTION("""COMPUTED_VALUE"""),242.46)</f>
        <v>242.46</v>
      </c>
      <c r="E424" s="141">
        <f ca="1">IFERROR(__xludf.DUMMYFUNCTION("""COMPUTED_VALUE"""),237.06)</f>
        <v>237.06</v>
      </c>
      <c r="F424" s="141">
        <f ca="1">IFERROR(__xludf.DUMMYFUNCTION("""COMPUTED_VALUE"""),237.3)</f>
        <v>237.3</v>
      </c>
      <c r="G424" s="143">
        <f ca="1">IFERROR(__xludf.DUMMYFUNCTION("""COMPUTED_VALUE"""),41153639)</f>
        <v>41153639</v>
      </c>
      <c r="H424" s="26"/>
    </row>
    <row r="425" spans="1:8" ht="17.25" customHeight="1" x14ac:dyDescent="0.2">
      <c r="A425" s="26"/>
      <c r="B425" s="139">
        <f ca="1">IFERROR(__xludf.DUMMYFUNCTION("""COMPUTED_VALUE"""),45716.6666666666)</f>
        <v>45716.666666666599</v>
      </c>
      <c r="C425" s="141">
        <f ca="1">IFERROR(__xludf.DUMMYFUNCTION("""COMPUTED_VALUE"""),236.95)</f>
        <v>236.95</v>
      </c>
      <c r="D425" s="141">
        <f ca="1">IFERROR(__xludf.DUMMYFUNCTION("""COMPUTED_VALUE"""),242.09)</f>
        <v>242.09</v>
      </c>
      <c r="E425" s="141">
        <f ca="1">IFERROR(__xludf.DUMMYFUNCTION("""COMPUTED_VALUE"""),230.2)</f>
        <v>230.2</v>
      </c>
      <c r="F425" s="141">
        <f ca="1">IFERROR(__xludf.DUMMYFUNCTION("""COMPUTED_VALUE"""),241.84)</f>
        <v>241.84</v>
      </c>
      <c r="G425" s="143">
        <f ca="1">IFERROR(__xludf.DUMMYFUNCTION("""COMPUTED_VALUE"""),56833360)</f>
        <v>56833360</v>
      </c>
      <c r="H425" s="26"/>
    </row>
    <row r="426" spans="1:8" ht="17.25" customHeight="1" x14ac:dyDescent="0.2">
      <c r="A426" s="26"/>
      <c r="B426" s="139">
        <f ca="1">IFERROR(__xludf.DUMMYFUNCTION("""COMPUTED_VALUE"""),45719.6666666666)</f>
        <v>45719.666666666599</v>
      </c>
      <c r="C426" s="141">
        <f ca="1">IFERROR(__xludf.DUMMYFUNCTION("""COMPUTED_VALUE"""),241.79)</f>
        <v>241.79</v>
      </c>
      <c r="D426" s="141">
        <f ca="1">IFERROR(__xludf.DUMMYFUNCTION("""COMPUTED_VALUE"""),244.03)</f>
        <v>244.03</v>
      </c>
      <c r="E426" s="141">
        <f ca="1">IFERROR(__xludf.DUMMYFUNCTION("""COMPUTED_VALUE"""),236.11)</f>
        <v>236.11</v>
      </c>
      <c r="F426" s="141">
        <f ca="1">IFERROR(__xludf.DUMMYFUNCTION("""COMPUTED_VALUE"""),238.03)</f>
        <v>238.03</v>
      </c>
      <c r="G426" s="143">
        <f ca="1">IFERROR(__xludf.DUMMYFUNCTION("""COMPUTED_VALUE"""),47183985)</f>
        <v>47183985</v>
      </c>
      <c r="H426" s="26"/>
    </row>
    <row r="427" spans="1:8" ht="17.25" customHeight="1" x14ac:dyDescent="0.2">
      <c r="A427" s="26"/>
      <c r="B427" s="139">
        <f ca="1">IFERROR(__xludf.DUMMYFUNCTION("""COMPUTED_VALUE"""),45720.6666666666)</f>
        <v>45720.666666666599</v>
      </c>
      <c r="C427" s="141">
        <f ca="1">IFERROR(__xludf.DUMMYFUNCTION("""COMPUTED_VALUE"""),237.71)</f>
        <v>237.71</v>
      </c>
      <c r="D427" s="141">
        <f ca="1">IFERROR(__xludf.DUMMYFUNCTION("""COMPUTED_VALUE"""),240.07)</f>
        <v>240.07</v>
      </c>
      <c r="E427" s="141">
        <f ca="1">IFERROR(__xludf.DUMMYFUNCTION("""COMPUTED_VALUE"""),234.68)</f>
        <v>234.68</v>
      </c>
      <c r="F427" s="141">
        <f ca="1">IFERROR(__xludf.DUMMYFUNCTION("""COMPUTED_VALUE"""),235.93)</f>
        <v>235.93</v>
      </c>
      <c r="G427" s="143">
        <f ca="1">IFERROR(__xludf.DUMMYFUNCTION("""COMPUTED_VALUE"""),53798062)</f>
        <v>53798062</v>
      </c>
      <c r="H427" s="26"/>
    </row>
    <row r="428" spans="1:8" ht="17.25" customHeight="1" x14ac:dyDescent="0.2">
      <c r="A428" s="26"/>
      <c r="B428" s="139">
        <f ca="1">IFERROR(__xludf.DUMMYFUNCTION("""COMPUTED_VALUE"""),45721.6666666666)</f>
        <v>45721.666666666599</v>
      </c>
      <c r="C428" s="141">
        <f ca="1">IFERROR(__xludf.DUMMYFUNCTION("""COMPUTED_VALUE"""),235.42)</f>
        <v>235.42</v>
      </c>
      <c r="D428" s="141">
        <f ca="1">IFERROR(__xludf.DUMMYFUNCTION("""COMPUTED_VALUE"""),236.55)</f>
        <v>236.55</v>
      </c>
      <c r="E428" s="141">
        <f ca="1">IFERROR(__xludf.DUMMYFUNCTION("""COMPUTED_VALUE"""),229.23)</f>
        <v>229.23</v>
      </c>
      <c r="F428" s="141">
        <f ca="1">IFERROR(__xludf.DUMMYFUNCTION("""COMPUTED_VALUE"""),235.74)</f>
        <v>235.74</v>
      </c>
      <c r="G428" s="143">
        <f ca="1">IFERROR(__xludf.DUMMYFUNCTION("""COMPUTED_VALUE"""),47227643)</f>
        <v>47227643</v>
      </c>
      <c r="H428" s="26"/>
    </row>
    <row r="429" spans="1:8" ht="17.25" customHeight="1" x14ac:dyDescent="0.2">
      <c r="A429" s="26"/>
      <c r="B429" s="139">
        <f ca="1">IFERROR(__xludf.DUMMYFUNCTION("""COMPUTED_VALUE"""),45722.6666666666)</f>
        <v>45722.666666666599</v>
      </c>
      <c r="C429" s="141">
        <f ca="1">IFERROR(__xludf.DUMMYFUNCTION("""COMPUTED_VALUE"""),234.44)</f>
        <v>234.44</v>
      </c>
      <c r="D429" s="141">
        <f ca="1">IFERROR(__xludf.DUMMYFUNCTION("""COMPUTED_VALUE"""),237.86)</f>
        <v>237.86</v>
      </c>
      <c r="E429" s="141">
        <f ca="1">IFERROR(__xludf.DUMMYFUNCTION("""COMPUTED_VALUE"""),233.16)</f>
        <v>233.16</v>
      </c>
      <c r="F429" s="141">
        <f ca="1">IFERROR(__xludf.DUMMYFUNCTION("""COMPUTED_VALUE"""),235.33)</f>
        <v>235.33</v>
      </c>
      <c r="G429" s="143">
        <f ca="1">IFERROR(__xludf.DUMMYFUNCTION("""COMPUTED_VALUE"""),45170419)</f>
        <v>45170419</v>
      </c>
      <c r="H429" s="26"/>
    </row>
    <row r="430" spans="1:8" ht="17.25" customHeight="1" x14ac:dyDescent="0.2">
      <c r="A430" s="26"/>
      <c r="B430" s="139">
        <f ca="1">IFERROR(__xludf.DUMMYFUNCTION("""COMPUTED_VALUE"""),45723.6666666666)</f>
        <v>45723.666666666599</v>
      </c>
      <c r="C430" s="141">
        <f ca="1">IFERROR(__xludf.DUMMYFUNCTION("""COMPUTED_VALUE"""),235.11)</f>
        <v>235.11</v>
      </c>
      <c r="D430" s="141">
        <f ca="1">IFERROR(__xludf.DUMMYFUNCTION("""COMPUTED_VALUE"""),241.37)</f>
        <v>241.37</v>
      </c>
      <c r="E430" s="141">
        <f ca="1">IFERROR(__xludf.DUMMYFUNCTION("""COMPUTED_VALUE"""),234.76)</f>
        <v>234.76</v>
      </c>
      <c r="F430" s="141">
        <f ca="1">IFERROR(__xludf.DUMMYFUNCTION("""COMPUTED_VALUE"""),239.07)</f>
        <v>239.07</v>
      </c>
      <c r="G430" s="143">
        <f ca="1">IFERROR(__xludf.DUMMYFUNCTION("""COMPUTED_VALUE"""),46273565)</f>
        <v>46273565</v>
      </c>
      <c r="H430" s="26"/>
    </row>
    <row r="431" spans="1:8" ht="17.25" customHeight="1" x14ac:dyDescent="0.2">
      <c r="A431" s="26"/>
      <c r="B431" s="139">
        <f ca="1">IFERROR(__xludf.DUMMYFUNCTION("""COMPUTED_VALUE"""),45726.6666666666)</f>
        <v>45726.666666666599</v>
      </c>
      <c r="C431" s="141">
        <f ca="1">IFERROR(__xludf.DUMMYFUNCTION("""COMPUTED_VALUE"""),235.54)</f>
        <v>235.54</v>
      </c>
      <c r="D431" s="141">
        <f ca="1">IFERROR(__xludf.DUMMYFUNCTION("""COMPUTED_VALUE"""),236.16)</f>
        <v>236.16</v>
      </c>
      <c r="E431" s="141">
        <f ca="1">IFERROR(__xludf.DUMMYFUNCTION("""COMPUTED_VALUE"""),224.22)</f>
        <v>224.22</v>
      </c>
      <c r="F431" s="141">
        <f ca="1">IFERROR(__xludf.DUMMYFUNCTION("""COMPUTED_VALUE"""),227.48)</f>
        <v>227.48</v>
      </c>
      <c r="G431" s="143">
        <f ca="1">IFERROR(__xludf.DUMMYFUNCTION("""COMPUTED_VALUE"""),72071197)</f>
        <v>72071197</v>
      </c>
      <c r="H431" s="26"/>
    </row>
    <row r="432" spans="1:8" ht="17.25" customHeight="1" x14ac:dyDescent="0.2">
      <c r="A432" s="26"/>
      <c r="B432" s="139">
        <f ca="1">IFERROR(__xludf.DUMMYFUNCTION("""COMPUTED_VALUE"""),45727.6666666666)</f>
        <v>45727.666666666599</v>
      </c>
      <c r="C432" s="141">
        <f ca="1">IFERROR(__xludf.DUMMYFUNCTION("""COMPUTED_VALUE"""),223.81)</f>
        <v>223.81</v>
      </c>
      <c r="D432" s="141">
        <f ca="1">IFERROR(__xludf.DUMMYFUNCTION("""COMPUTED_VALUE"""),225.84)</f>
        <v>225.84</v>
      </c>
      <c r="E432" s="141">
        <f ca="1">IFERROR(__xludf.DUMMYFUNCTION("""COMPUTED_VALUE"""),217.45)</f>
        <v>217.45</v>
      </c>
      <c r="F432" s="141">
        <f ca="1">IFERROR(__xludf.DUMMYFUNCTION("""COMPUTED_VALUE"""),220.84)</f>
        <v>220.84</v>
      </c>
      <c r="G432" s="143">
        <f ca="1">IFERROR(__xludf.DUMMYFUNCTION("""COMPUTED_VALUE"""),76137410)</f>
        <v>76137410</v>
      </c>
      <c r="H432" s="26"/>
    </row>
    <row r="433" spans="1:8" ht="17.25" customHeight="1" x14ac:dyDescent="0.2">
      <c r="A433" s="26"/>
      <c r="B433" s="139">
        <f ca="1">IFERROR(__xludf.DUMMYFUNCTION("""COMPUTED_VALUE"""),45728.6666666666)</f>
        <v>45728.666666666599</v>
      </c>
      <c r="C433" s="141">
        <f ca="1">IFERROR(__xludf.DUMMYFUNCTION("""COMPUTED_VALUE"""),220.14)</f>
        <v>220.14</v>
      </c>
      <c r="D433" s="141">
        <f ca="1">IFERROR(__xludf.DUMMYFUNCTION("""COMPUTED_VALUE"""),221.75)</f>
        <v>221.75</v>
      </c>
      <c r="E433" s="141">
        <f ca="1">IFERROR(__xludf.DUMMYFUNCTION("""COMPUTED_VALUE"""),214.91)</f>
        <v>214.91</v>
      </c>
      <c r="F433" s="141">
        <f ca="1">IFERROR(__xludf.DUMMYFUNCTION("""COMPUTED_VALUE"""),216.98)</f>
        <v>216.98</v>
      </c>
      <c r="G433" s="143">
        <f ca="1">IFERROR(__xludf.DUMMYFUNCTION("""COMPUTED_VALUE"""),62547467)</f>
        <v>62547467</v>
      </c>
      <c r="H433" s="26"/>
    </row>
    <row r="434" spans="1:8" ht="17.25" customHeight="1" x14ac:dyDescent="0.2">
      <c r="A434" s="26"/>
      <c r="B434" s="139">
        <f ca="1">IFERROR(__xludf.DUMMYFUNCTION("""COMPUTED_VALUE"""),45729.6666666666)</f>
        <v>45729.666666666599</v>
      </c>
      <c r="C434" s="141">
        <f ca="1">IFERROR(__xludf.DUMMYFUNCTION("""COMPUTED_VALUE"""),215.95)</f>
        <v>215.95</v>
      </c>
      <c r="D434" s="141">
        <f ca="1">IFERROR(__xludf.DUMMYFUNCTION("""COMPUTED_VALUE"""),216.84)</f>
        <v>216.84</v>
      </c>
      <c r="E434" s="141">
        <f ca="1">IFERROR(__xludf.DUMMYFUNCTION("""COMPUTED_VALUE"""),208.42)</f>
        <v>208.42</v>
      </c>
      <c r="F434" s="141">
        <f ca="1">IFERROR(__xludf.DUMMYFUNCTION("""COMPUTED_VALUE"""),209.68)</f>
        <v>209.68</v>
      </c>
      <c r="G434" s="143">
        <f ca="1">IFERROR(__xludf.DUMMYFUNCTION("""COMPUTED_VALUE"""),61368330)</f>
        <v>61368330</v>
      </c>
      <c r="H434" s="26"/>
    </row>
    <row r="435" spans="1:8" ht="17.25" customHeight="1" x14ac:dyDescent="0.2">
      <c r="A435" s="26"/>
      <c r="B435" s="139">
        <f ca="1">IFERROR(__xludf.DUMMYFUNCTION("""COMPUTED_VALUE"""),45730.6666666666)</f>
        <v>45730.666666666599</v>
      </c>
      <c r="C435" s="141">
        <f ca="1">IFERROR(__xludf.DUMMYFUNCTION("""COMPUTED_VALUE"""),211.25)</f>
        <v>211.25</v>
      </c>
      <c r="D435" s="141">
        <f ca="1">IFERROR(__xludf.DUMMYFUNCTION("""COMPUTED_VALUE"""),213.95)</f>
        <v>213.95</v>
      </c>
      <c r="E435" s="141">
        <f ca="1">IFERROR(__xludf.DUMMYFUNCTION("""COMPUTED_VALUE"""),209.58)</f>
        <v>209.58</v>
      </c>
      <c r="F435" s="141">
        <f ca="1">IFERROR(__xludf.DUMMYFUNCTION("""COMPUTED_VALUE"""),213.49)</f>
        <v>213.49</v>
      </c>
      <c r="G435" s="143">
        <f ca="1">IFERROR(__xludf.DUMMYFUNCTION("""COMPUTED_VALUE"""),60107582)</f>
        <v>60107582</v>
      </c>
      <c r="H435" s="26"/>
    </row>
    <row r="436" spans="1:8" ht="17.25" customHeight="1" x14ac:dyDescent="0.2">
      <c r="A436" s="26"/>
      <c r="B436" s="139">
        <f ca="1">IFERROR(__xludf.DUMMYFUNCTION("""COMPUTED_VALUE"""),45733.6666666666)</f>
        <v>45733.666666666599</v>
      </c>
      <c r="C436" s="141">
        <f ca="1">IFERROR(__xludf.DUMMYFUNCTION("""COMPUTED_VALUE"""),213.31)</f>
        <v>213.31</v>
      </c>
      <c r="D436" s="141">
        <f ca="1">IFERROR(__xludf.DUMMYFUNCTION("""COMPUTED_VALUE"""),215.22)</f>
        <v>215.22</v>
      </c>
      <c r="E436" s="141">
        <f ca="1">IFERROR(__xludf.DUMMYFUNCTION("""COMPUTED_VALUE"""),209.97)</f>
        <v>209.97</v>
      </c>
      <c r="F436" s="141">
        <f ca="1">IFERROR(__xludf.DUMMYFUNCTION("""COMPUTED_VALUE"""),214)</f>
        <v>214</v>
      </c>
      <c r="G436" s="143">
        <f ca="1">IFERROR(__xludf.DUMMYFUNCTION("""COMPUTED_VALUE"""),48073426)</f>
        <v>48073426</v>
      </c>
      <c r="H436" s="26"/>
    </row>
    <row r="437" spans="1:8" ht="17.25" customHeight="1" x14ac:dyDescent="0.2">
      <c r="A437" s="26"/>
      <c r="B437" s="139">
        <f ca="1">IFERROR(__xludf.DUMMYFUNCTION("""COMPUTED_VALUE"""),45734.6666666666)</f>
        <v>45734.666666666599</v>
      </c>
      <c r="C437" s="141">
        <f ca="1">IFERROR(__xludf.DUMMYFUNCTION("""COMPUTED_VALUE"""),214.16)</f>
        <v>214.16</v>
      </c>
      <c r="D437" s="141">
        <f ca="1">IFERROR(__xludf.DUMMYFUNCTION("""COMPUTED_VALUE"""),215.15)</f>
        <v>215.15</v>
      </c>
      <c r="E437" s="141">
        <f ca="1">IFERROR(__xludf.DUMMYFUNCTION("""COMPUTED_VALUE"""),211.49)</f>
        <v>211.49</v>
      </c>
      <c r="F437" s="141">
        <f ca="1">IFERROR(__xludf.DUMMYFUNCTION("""COMPUTED_VALUE"""),212.69)</f>
        <v>212.69</v>
      </c>
      <c r="G437" s="143">
        <f ca="1">IFERROR(__xludf.DUMMYFUNCTION("""COMPUTED_VALUE"""),42432426)</f>
        <v>42432426</v>
      </c>
      <c r="H437" s="26"/>
    </row>
    <row r="438" spans="1:8" ht="17.25" customHeight="1" x14ac:dyDescent="0.2">
      <c r="A438" s="26"/>
      <c r="B438" s="139">
        <f ca="1">IFERROR(__xludf.DUMMYFUNCTION("""COMPUTED_VALUE"""),45735.6666666666)</f>
        <v>45735.666666666599</v>
      </c>
      <c r="C438" s="141">
        <f ca="1">IFERROR(__xludf.DUMMYFUNCTION("""COMPUTED_VALUE"""),214.22)</f>
        <v>214.22</v>
      </c>
      <c r="D438" s="141">
        <f ca="1">IFERROR(__xludf.DUMMYFUNCTION("""COMPUTED_VALUE"""),218.76)</f>
        <v>218.76</v>
      </c>
      <c r="E438" s="141">
        <f ca="1">IFERROR(__xludf.DUMMYFUNCTION("""COMPUTED_VALUE"""),213.75)</f>
        <v>213.75</v>
      </c>
      <c r="F438" s="141">
        <f ca="1">IFERROR(__xludf.DUMMYFUNCTION("""COMPUTED_VALUE"""),215.24)</f>
        <v>215.24</v>
      </c>
      <c r="G438" s="143">
        <f ca="1">IFERROR(__xludf.DUMMYFUNCTION("""COMPUTED_VALUE"""),54385391)</f>
        <v>54385391</v>
      </c>
      <c r="H438" s="26"/>
    </row>
    <row r="439" spans="1:8" ht="17.25" customHeight="1" x14ac:dyDescent="0.2">
      <c r="A439" s="26"/>
      <c r="B439" s="139">
        <f ca="1">IFERROR(__xludf.DUMMYFUNCTION("""COMPUTED_VALUE"""),45736.6666666666)</f>
        <v>45736.666666666599</v>
      </c>
      <c r="C439" s="141">
        <f ca="1">IFERROR(__xludf.DUMMYFUNCTION("""COMPUTED_VALUE"""),213.99)</f>
        <v>213.99</v>
      </c>
      <c r="D439" s="141">
        <f ca="1">IFERROR(__xludf.DUMMYFUNCTION("""COMPUTED_VALUE"""),217.49)</f>
        <v>217.49</v>
      </c>
      <c r="E439" s="141">
        <f ca="1">IFERROR(__xludf.DUMMYFUNCTION("""COMPUTED_VALUE"""),212.22)</f>
        <v>212.22</v>
      </c>
      <c r="F439" s="141">
        <f ca="1">IFERROR(__xludf.DUMMYFUNCTION("""COMPUTED_VALUE"""),214.1)</f>
        <v>214.1</v>
      </c>
      <c r="G439" s="143">
        <f ca="1">IFERROR(__xludf.DUMMYFUNCTION("""COMPUTED_VALUE"""),48862947)</f>
        <v>48862947</v>
      </c>
      <c r="H439" s="26"/>
    </row>
    <row r="440" spans="1:8" ht="17.25" customHeight="1" x14ac:dyDescent="0.2">
      <c r="A440" s="26"/>
      <c r="B440" s="139">
        <f ca="1">IFERROR(__xludf.DUMMYFUNCTION("""COMPUTED_VALUE"""),45737.6666666666)</f>
        <v>45737.666666666599</v>
      </c>
      <c r="C440" s="141">
        <f ca="1">IFERROR(__xludf.DUMMYFUNCTION("""COMPUTED_VALUE"""),211.56)</f>
        <v>211.56</v>
      </c>
      <c r="D440" s="141">
        <f ca="1">IFERROR(__xludf.DUMMYFUNCTION("""COMPUTED_VALUE"""),218.84)</f>
        <v>218.84</v>
      </c>
      <c r="E440" s="141">
        <f ca="1">IFERROR(__xludf.DUMMYFUNCTION("""COMPUTED_VALUE"""),211.28)</f>
        <v>211.28</v>
      </c>
      <c r="F440" s="141">
        <f ca="1">IFERROR(__xludf.DUMMYFUNCTION("""COMPUTED_VALUE"""),218.27)</f>
        <v>218.27</v>
      </c>
      <c r="G440" s="143">
        <f ca="1">IFERROR(__xludf.DUMMYFUNCTION("""COMPUTED_VALUE"""),94127768)</f>
        <v>94127768</v>
      </c>
      <c r="H440" s="26"/>
    </row>
    <row r="441" spans="1:8" ht="17.25" customHeight="1" x14ac:dyDescent="0.2">
      <c r="A441" s="26"/>
      <c r="B441" s="139">
        <f ca="1">IFERROR(__xludf.DUMMYFUNCTION("""COMPUTED_VALUE"""),45740.6666666666)</f>
        <v>45740.666666666599</v>
      </c>
      <c r="C441" s="141">
        <f ca="1">IFERROR(__xludf.DUMMYFUNCTION("""COMPUTED_VALUE"""),221)</f>
        <v>221</v>
      </c>
      <c r="D441" s="141">
        <f ca="1">IFERROR(__xludf.DUMMYFUNCTION("""COMPUTED_VALUE"""),221.48)</f>
        <v>221.48</v>
      </c>
      <c r="E441" s="141">
        <f ca="1">IFERROR(__xludf.DUMMYFUNCTION("""COMPUTED_VALUE"""),218.58)</f>
        <v>218.58</v>
      </c>
      <c r="F441" s="141">
        <f ca="1">IFERROR(__xludf.DUMMYFUNCTION("""COMPUTED_VALUE"""),220.73)</f>
        <v>220.73</v>
      </c>
      <c r="G441" s="143">
        <f ca="1">IFERROR(__xludf.DUMMYFUNCTION("""COMPUTED_VALUE"""),44299483)</f>
        <v>44299483</v>
      </c>
      <c r="H441" s="26"/>
    </row>
    <row r="442" spans="1:8" ht="17.25" customHeight="1" x14ac:dyDescent="0.2">
      <c r="A442" s="26"/>
      <c r="B442" s="139">
        <f ca="1">IFERROR(__xludf.DUMMYFUNCTION("""COMPUTED_VALUE"""),45741.6666666666)</f>
        <v>45741.666666666599</v>
      </c>
      <c r="C442" s="141">
        <f ca="1">IFERROR(__xludf.DUMMYFUNCTION("""COMPUTED_VALUE"""),220.77)</f>
        <v>220.77</v>
      </c>
      <c r="D442" s="141">
        <f ca="1">IFERROR(__xludf.DUMMYFUNCTION("""COMPUTED_VALUE"""),224.1)</f>
        <v>224.1</v>
      </c>
      <c r="E442" s="141">
        <f ca="1">IFERROR(__xludf.DUMMYFUNCTION("""COMPUTED_VALUE"""),220.08)</f>
        <v>220.08</v>
      </c>
      <c r="F442" s="141">
        <f ca="1">IFERROR(__xludf.DUMMYFUNCTION("""COMPUTED_VALUE"""),223.75)</f>
        <v>223.75</v>
      </c>
      <c r="G442" s="143">
        <f ca="1">IFERROR(__xludf.DUMMYFUNCTION("""COMPUTED_VALUE"""),34493583)</f>
        <v>34493583</v>
      </c>
      <c r="H442" s="26"/>
    </row>
    <row r="443" spans="1:8" ht="17.25" customHeight="1" x14ac:dyDescent="0.2">
      <c r="A443" s="26"/>
      <c r="B443" s="139">
        <f ca="1">IFERROR(__xludf.DUMMYFUNCTION("""COMPUTED_VALUE"""),45742.6666666666)</f>
        <v>45742.666666666599</v>
      </c>
      <c r="C443" s="141">
        <f ca="1">IFERROR(__xludf.DUMMYFUNCTION("""COMPUTED_VALUE"""),223.51)</f>
        <v>223.51</v>
      </c>
      <c r="D443" s="141">
        <f ca="1">IFERROR(__xludf.DUMMYFUNCTION("""COMPUTED_VALUE"""),225.02)</f>
        <v>225.02</v>
      </c>
      <c r="E443" s="141">
        <f ca="1">IFERROR(__xludf.DUMMYFUNCTION("""COMPUTED_VALUE"""),220.47)</f>
        <v>220.47</v>
      </c>
      <c r="F443" s="141">
        <f ca="1">IFERROR(__xludf.DUMMYFUNCTION("""COMPUTED_VALUE"""),221.53)</f>
        <v>221.53</v>
      </c>
      <c r="G443" s="143">
        <f ca="1">IFERROR(__xludf.DUMMYFUNCTION("""COMPUTED_VALUE"""),34532656)</f>
        <v>34532656</v>
      </c>
      <c r="H443" s="26"/>
    </row>
    <row r="444" spans="1:8" ht="17.25" customHeight="1" x14ac:dyDescent="0.2">
      <c r="A444" s="26"/>
      <c r="B444" s="139">
        <f ca="1">IFERROR(__xludf.DUMMYFUNCTION("""COMPUTED_VALUE"""),45743.6666666666)</f>
        <v>45743.666666666599</v>
      </c>
      <c r="C444" s="141">
        <f ca="1">IFERROR(__xludf.DUMMYFUNCTION("""COMPUTED_VALUE"""),221.39)</f>
        <v>221.39</v>
      </c>
      <c r="D444" s="141">
        <f ca="1">IFERROR(__xludf.DUMMYFUNCTION("""COMPUTED_VALUE"""),224.99)</f>
        <v>224.99</v>
      </c>
      <c r="E444" s="141">
        <f ca="1">IFERROR(__xludf.DUMMYFUNCTION("""COMPUTED_VALUE"""),220.56)</f>
        <v>220.56</v>
      </c>
      <c r="F444" s="141">
        <f ca="1">IFERROR(__xludf.DUMMYFUNCTION("""COMPUTED_VALUE"""),223.85)</f>
        <v>223.85</v>
      </c>
      <c r="G444" s="143">
        <f ca="1">IFERROR(__xludf.DUMMYFUNCTION("""COMPUTED_VALUE"""),37094774)</f>
        <v>37094774</v>
      </c>
      <c r="H444" s="26"/>
    </row>
    <row r="445" spans="1:8" ht="17.25" customHeight="1" x14ac:dyDescent="0.2">
      <c r="A445" s="26"/>
      <c r="B445" s="139">
        <f ca="1">IFERROR(__xludf.DUMMYFUNCTION("""COMPUTED_VALUE"""),45744.6666666666)</f>
        <v>45744.666666666599</v>
      </c>
      <c r="C445" s="141">
        <f ca="1">IFERROR(__xludf.DUMMYFUNCTION("""COMPUTED_VALUE"""),221.67)</f>
        <v>221.67</v>
      </c>
      <c r="D445" s="141">
        <f ca="1">IFERROR(__xludf.DUMMYFUNCTION("""COMPUTED_VALUE"""),223.81)</f>
        <v>223.81</v>
      </c>
      <c r="E445" s="141">
        <f ca="1">IFERROR(__xludf.DUMMYFUNCTION("""COMPUTED_VALUE"""),217.68)</f>
        <v>217.68</v>
      </c>
      <c r="F445" s="141">
        <f ca="1">IFERROR(__xludf.DUMMYFUNCTION("""COMPUTED_VALUE"""),217.9)</f>
        <v>217.9</v>
      </c>
      <c r="G445" s="143">
        <f ca="1">IFERROR(__xludf.DUMMYFUNCTION("""COMPUTED_VALUE"""),39818617)</f>
        <v>39818617</v>
      </c>
      <c r="H445" s="26"/>
    </row>
    <row r="446" spans="1:8" ht="17.25" customHeight="1" x14ac:dyDescent="0.2">
      <c r="A446" s="26"/>
      <c r="B446" s="139">
        <f ca="1">IFERROR(__xludf.DUMMYFUNCTION("""COMPUTED_VALUE"""),45747.6666666666)</f>
        <v>45747.666666666599</v>
      </c>
      <c r="C446" s="141">
        <f ca="1">IFERROR(__xludf.DUMMYFUNCTION("""COMPUTED_VALUE"""),217.01)</f>
        <v>217.01</v>
      </c>
      <c r="D446" s="141">
        <f ca="1">IFERROR(__xludf.DUMMYFUNCTION("""COMPUTED_VALUE"""),225.62)</f>
        <v>225.62</v>
      </c>
      <c r="E446" s="141">
        <f ca="1">IFERROR(__xludf.DUMMYFUNCTION("""COMPUTED_VALUE"""),216.23)</f>
        <v>216.23</v>
      </c>
      <c r="F446" s="141">
        <f ca="1">IFERROR(__xludf.DUMMYFUNCTION("""COMPUTED_VALUE"""),222.13)</f>
        <v>222.13</v>
      </c>
      <c r="G446" s="143">
        <f ca="1">IFERROR(__xludf.DUMMYFUNCTION("""COMPUTED_VALUE"""),65299321)</f>
        <v>65299321</v>
      </c>
      <c r="H446" s="26"/>
    </row>
    <row r="447" spans="1:8" ht="17.25" customHeight="1" x14ac:dyDescent="0.2">
      <c r="A447" s="26"/>
      <c r="B447" s="139">
        <f ca="1">IFERROR(__xludf.DUMMYFUNCTION("""COMPUTED_VALUE"""),45748.6666666666)</f>
        <v>45748.666666666599</v>
      </c>
      <c r="C447" s="141">
        <f ca="1">IFERROR(__xludf.DUMMYFUNCTION("""COMPUTED_VALUE"""),219.81)</f>
        <v>219.81</v>
      </c>
      <c r="D447" s="141">
        <f ca="1">IFERROR(__xludf.DUMMYFUNCTION("""COMPUTED_VALUE"""),223.68)</f>
        <v>223.68</v>
      </c>
      <c r="E447" s="141">
        <f ca="1">IFERROR(__xludf.DUMMYFUNCTION("""COMPUTED_VALUE"""),218.9)</f>
        <v>218.9</v>
      </c>
      <c r="F447" s="141">
        <f ca="1">IFERROR(__xludf.DUMMYFUNCTION("""COMPUTED_VALUE"""),223.19)</f>
        <v>223.19</v>
      </c>
      <c r="G447" s="143">
        <f ca="1">IFERROR(__xludf.DUMMYFUNCTION("""COMPUTED_VALUE"""),36412740)</f>
        <v>36412740</v>
      </c>
      <c r="H447" s="26"/>
    </row>
    <row r="448" spans="1:8" ht="17.25" customHeight="1" x14ac:dyDescent="0.2">
      <c r="A448" s="26"/>
      <c r="B448" s="139">
        <f ca="1">IFERROR(__xludf.DUMMYFUNCTION("""COMPUTED_VALUE"""),45749.6666666666)</f>
        <v>45749.666666666599</v>
      </c>
      <c r="C448" s="141">
        <f ca="1">IFERROR(__xludf.DUMMYFUNCTION("""COMPUTED_VALUE"""),221.32)</f>
        <v>221.32</v>
      </c>
      <c r="D448" s="141">
        <f ca="1">IFERROR(__xludf.DUMMYFUNCTION("""COMPUTED_VALUE"""),225.19)</f>
        <v>225.19</v>
      </c>
      <c r="E448" s="141">
        <f ca="1">IFERROR(__xludf.DUMMYFUNCTION("""COMPUTED_VALUE"""),221.02)</f>
        <v>221.02</v>
      </c>
      <c r="F448" s="141">
        <f ca="1">IFERROR(__xludf.DUMMYFUNCTION("""COMPUTED_VALUE"""),223.89)</f>
        <v>223.89</v>
      </c>
      <c r="G448" s="143">
        <f ca="1">IFERROR(__xludf.DUMMYFUNCTION("""COMPUTED_VALUE"""),35905904)</f>
        <v>35905904</v>
      </c>
      <c r="H448" s="26"/>
    </row>
    <row r="449" spans="1:8" ht="17.25" customHeight="1" x14ac:dyDescent="0.2">
      <c r="A449" s="26"/>
      <c r="B449" s="139">
        <f ca="1">IFERROR(__xludf.DUMMYFUNCTION("""COMPUTED_VALUE"""),45750.6666666666)</f>
        <v>45750.666666666599</v>
      </c>
      <c r="C449" s="141">
        <f ca="1">IFERROR(__xludf.DUMMYFUNCTION("""COMPUTED_VALUE"""),205.54)</f>
        <v>205.54</v>
      </c>
      <c r="D449" s="141">
        <f ca="1">IFERROR(__xludf.DUMMYFUNCTION("""COMPUTED_VALUE"""),207.49)</f>
        <v>207.49</v>
      </c>
      <c r="E449" s="141">
        <f ca="1">IFERROR(__xludf.DUMMYFUNCTION("""COMPUTED_VALUE"""),201.25)</f>
        <v>201.25</v>
      </c>
      <c r="F449" s="141">
        <f ca="1">IFERROR(__xludf.DUMMYFUNCTION("""COMPUTED_VALUE"""),203.19)</f>
        <v>203.19</v>
      </c>
      <c r="G449" s="143">
        <f ca="1">IFERROR(__xludf.DUMMYFUNCTION("""COMPUTED_VALUE"""),103419006)</f>
        <v>103419006</v>
      </c>
      <c r="H449" s="26"/>
    </row>
    <row r="450" spans="1:8" ht="17.25" customHeight="1" x14ac:dyDescent="0.2">
      <c r="A450" s="26"/>
      <c r="B450" s="139">
        <f ca="1">IFERROR(__xludf.DUMMYFUNCTION("""COMPUTED_VALUE"""),45751.6666666666)</f>
        <v>45751.666666666599</v>
      </c>
      <c r="C450" s="141">
        <f ca="1">IFERROR(__xludf.DUMMYFUNCTION("""COMPUTED_VALUE"""),193.89)</f>
        <v>193.89</v>
      </c>
      <c r="D450" s="141">
        <f ca="1">IFERROR(__xludf.DUMMYFUNCTION("""COMPUTED_VALUE"""),199.88)</f>
        <v>199.88</v>
      </c>
      <c r="E450" s="141">
        <f ca="1">IFERROR(__xludf.DUMMYFUNCTION("""COMPUTED_VALUE"""),187.34)</f>
        <v>187.34</v>
      </c>
      <c r="F450" s="141">
        <f ca="1">IFERROR(__xludf.DUMMYFUNCTION("""COMPUTED_VALUE"""),188.38)</f>
        <v>188.38</v>
      </c>
      <c r="G450" s="143">
        <f ca="1">IFERROR(__xludf.DUMMYFUNCTION("""COMPUTED_VALUE"""),125910913)</f>
        <v>125910913</v>
      </c>
      <c r="H450" s="26"/>
    </row>
    <row r="451" spans="1:8" ht="17.25" customHeight="1" x14ac:dyDescent="0.2">
      <c r="A451" s="26"/>
      <c r="B451" s="139">
        <f ca="1">IFERROR(__xludf.DUMMYFUNCTION("""COMPUTED_VALUE"""),45754.6666666666)</f>
        <v>45754.666666666599</v>
      </c>
      <c r="C451" s="141">
        <f ca="1">IFERROR(__xludf.DUMMYFUNCTION("""COMPUTED_VALUE"""),177.2)</f>
        <v>177.2</v>
      </c>
      <c r="D451" s="141">
        <f ca="1">IFERROR(__xludf.DUMMYFUNCTION("""COMPUTED_VALUE"""),194.15)</f>
        <v>194.15</v>
      </c>
      <c r="E451" s="141">
        <f ca="1">IFERROR(__xludf.DUMMYFUNCTION("""COMPUTED_VALUE"""),174.62)</f>
        <v>174.62</v>
      </c>
      <c r="F451" s="141">
        <f ca="1">IFERROR(__xludf.DUMMYFUNCTION("""COMPUTED_VALUE"""),181.46)</f>
        <v>181.46</v>
      </c>
      <c r="G451" s="143">
        <f ca="1">IFERROR(__xludf.DUMMYFUNCTION("""COMPUTED_VALUE"""),160466286)</f>
        <v>160466286</v>
      </c>
      <c r="H451" s="26"/>
    </row>
    <row r="452" spans="1:8" ht="17.25" customHeight="1" x14ac:dyDescent="0.2">
      <c r="A452" s="26"/>
      <c r="B452" s="139">
        <f ca="1">IFERROR(__xludf.DUMMYFUNCTION("""COMPUTED_VALUE"""),45755.6666666666)</f>
        <v>45755.666666666599</v>
      </c>
      <c r="C452" s="141">
        <f ca="1">IFERROR(__xludf.DUMMYFUNCTION("""COMPUTED_VALUE"""),186.7)</f>
        <v>186.7</v>
      </c>
      <c r="D452" s="141">
        <f ca="1">IFERROR(__xludf.DUMMYFUNCTION("""COMPUTED_VALUE"""),190.34)</f>
        <v>190.34</v>
      </c>
      <c r="E452" s="141">
        <f ca="1">IFERROR(__xludf.DUMMYFUNCTION("""COMPUTED_VALUE"""),169.21)</f>
        <v>169.21</v>
      </c>
      <c r="F452" s="141">
        <f ca="1">IFERROR(__xludf.DUMMYFUNCTION("""COMPUTED_VALUE"""),172.42)</f>
        <v>172.42</v>
      </c>
      <c r="G452" s="143">
        <f ca="1">IFERROR(__xludf.DUMMYFUNCTION("""COMPUTED_VALUE"""),120859491)</f>
        <v>120859491</v>
      </c>
      <c r="H452" s="26"/>
    </row>
    <row r="453" spans="1:8" ht="17.25" customHeight="1" x14ac:dyDescent="0.2">
      <c r="A453" s="26"/>
      <c r="B453" s="139">
        <f ca="1">IFERROR(__xludf.DUMMYFUNCTION("""COMPUTED_VALUE"""),45756.6666666666)</f>
        <v>45756.666666666599</v>
      </c>
      <c r="C453" s="141">
        <f ca="1">IFERROR(__xludf.DUMMYFUNCTION("""COMPUTED_VALUE"""),171.95)</f>
        <v>171.95</v>
      </c>
      <c r="D453" s="141">
        <f ca="1">IFERROR(__xludf.DUMMYFUNCTION("""COMPUTED_VALUE"""),200.61)</f>
        <v>200.61</v>
      </c>
      <c r="E453" s="141">
        <f ca="1">IFERROR(__xludf.DUMMYFUNCTION("""COMPUTED_VALUE"""),171.89)</f>
        <v>171.89</v>
      </c>
      <c r="F453" s="141">
        <f ca="1">IFERROR(__xludf.DUMMYFUNCTION("""COMPUTED_VALUE"""),198.85)</f>
        <v>198.85</v>
      </c>
      <c r="G453" s="143">
        <f ca="1">IFERROR(__xludf.DUMMYFUNCTION("""COMPUTED_VALUE"""),184395885)</f>
        <v>184395885</v>
      </c>
      <c r="H453" s="26"/>
    </row>
    <row r="454" spans="1:8" ht="17.25" customHeight="1" x14ac:dyDescent="0.2">
      <c r="A454" s="26"/>
      <c r="B454" s="139">
        <f ca="1">IFERROR(__xludf.DUMMYFUNCTION("""COMPUTED_VALUE"""),45757.6666666666)</f>
        <v>45757.666666666599</v>
      </c>
      <c r="C454" s="141">
        <f ca="1">IFERROR(__xludf.DUMMYFUNCTION("""COMPUTED_VALUE"""),189.07)</f>
        <v>189.07</v>
      </c>
      <c r="D454" s="141">
        <f ca="1">IFERROR(__xludf.DUMMYFUNCTION("""COMPUTED_VALUE"""),194.78)</f>
        <v>194.78</v>
      </c>
      <c r="E454" s="141">
        <f ca="1">IFERROR(__xludf.DUMMYFUNCTION("""COMPUTED_VALUE"""),183)</f>
        <v>183</v>
      </c>
      <c r="F454" s="141">
        <f ca="1">IFERROR(__xludf.DUMMYFUNCTION("""COMPUTED_VALUE"""),190.42)</f>
        <v>190.42</v>
      </c>
      <c r="G454" s="143">
        <f ca="1">IFERROR(__xludf.DUMMYFUNCTION("""COMPUTED_VALUE"""),121879981)</f>
        <v>121879981</v>
      </c>
      <c r="H454" s="26"/>
    </row>
    <row r="455" spans="1:8" ht="17.25" customHeight="1" x14ac:dyDescent="0.2">
      <c r="A455" s="26"/>
      <c r="B455" s="139">
        <f ca="1">IFERROR(__xludf.DUMMYFUNCTION("""COMPUTED_VALUE"""),45758.6666666666)</f>
        <v>45758.666666666599</v>
      </c>
      <c r="C455" s="141">
        <f ca="1">IFERROR(__xludf.DUMMYFUNCTION("""COMPUTED_VALUE"""),186.1)</f>
        <v>186.1</v>
      </c>
      <c r="D455" s="141">
        <f ca="1">IFERROR(__xludf.DUMMYFUNCTION("""COMPUTED_VALUE"""),199.54)</f>
        <v>199.54</v>
      </c>
      <c r="E455" s="141">
        <f ca="1">IFERROR(__xludf.DUMMYFUNCTION("""COMPUTED_VALUE"""),186.06)</f>
        <v>186.06</v>
      </c>
      <c r="F455" s="141">
        <f ca="1">IFERROR(__xludf.DUMMYFUNCTION("""COMPUTED_VALUE"""),198.15)</f>
        <v>198.15</v>
      </c>
      <c r="G455" s="143">
        <f ca="1">IFERROR(__xludf.DUMMYFUNCTION("""COMPUTED_VALUE"""),87435915)</f>
        <v>87435915</v>
      </c>
      <c r="H455" s="26"/>
    </row>
    <row r="456" spans="1:8" ht="17.25" customHeight="1" x14ac:dyDescent="0.2">
      <c r="A456" s="26"/>
      <c r="B456" s="139">
        <f ca="1">IFERROR(__xludf.DUMMYFUNCTION("""COMPUTED_VALUE"""),45761.6666666666)</f>
        <v>45761.666666666599</v>
      </c>
      <c r="C456" s="141">
        <f ca="1">IFERROR(__xludf.DUMMYFUNCTION("""COMPUTED_VALUE"""),211.44)</f>
        <v>211.44</v>
      </c>
      <c r="D456" s="141">
        <f ca="1">IFERROR(__xludf.DUMMYFUNCTION("""COMPUTED_VALUE"""),212.94)</f>
        <v>212.94</v>
      </c>
      <c r="E456" s="141">
        <f ca="1">IFERROR(__xludf.DUMMYFUNCTION("""COMPUTED_VALUE"""),201.16)</f>
        <v>201.16</v>
      </c>
      <c r="F456" s="141">
        <f ca="1">IFERROR(__xludf.DUMMYFUNCTION("""COMPUTED_VALUE"""),202.52)</f>
        <v>202.52</v>
      </c>
      <c r="G456" s="143">
        <f ca="1">IFERROR(__xludf.DUMMYFUNCTION("""COMPUTED_VALUE"""),101352911)</f>
        <v>101352911</v>
      </c>
      <c r="H456" s="26"/>
    </row>
    <row r="457" spans="1:8" ht="17.25" customHeight="1" x14ac:dyDescent="0.2">
      <c r="A457" s="26"/>
      <c r="B457" s="139">
        <f ca="1">IFERROR(__xludf.DUMMYFUNCTION("""COMPUTED_VALUE"""),45762.6666666666)</f>
        <v>45762.666666666599</v>
      </c>
      <c r="C457" s="141">
        <f ca="1">IFERROR(__xludf.DUMMYFUNCTION("""COMPUTED_VALUE"""),201.86)</f>
        <v>201.86</v>
      </c>
      <c r="D457" s="141">
        <f ca="1">IFERROR(__xludf.DUMMYFUNCTION("""COMPUTED_VALUE"""),203.51)</f>
        <v>203.51</v>
      </c>
      <c r="E457" s="141">
        <f ca="1">IFERROR(__xludf.DUMMYFUNCTION("""COMPUTED_VALUE"""),199.8)</f>
        <v>199.8</v>
      </c>
      <c r="F457" s="141">
        <f ca="1">IFERROR(__xludf.DUMMYFUNCTION("""COMPUTED_VALUE"""),202.14)</f>
        <v>202.14</v>
      </c>
      <c r="G457" s="143">
        <f ca="1">IFERROR(__xludf.DUMMYFUNCTION("""COMPUTED_VALUE"""),51343872)</f>
        <v>51343872</v>
      </c>
      <c r="H457" s="26"/>
    </row>
    <row r="458" spans="1:8" ht="17.25" customHeight="1" x14ac:dyDescent="0.2">
      <c r="A458" s="26"/>
      <c r="B458" s="139">
        <f ca="1">IFERROR(__xludf.DUMMYFUNCTION("""COMPUTED_VALUE"""),45763.6666666666)</f>
        <v>45763.666666666599</v>
      </c>
      <c r="C458" s="141">
        <f ca="1">IFERROR(__xludf.DUMMYFUNCTION("""COMPUTED_VALUE"""),198.36)</f>
        <v>198.36</v>
      </c>
      <c r="D458" s="141">
        <f ca="1">IFERROR(__xludf.DUMMYFUNCTION("""COMPUTED_VALUE"""),200.7)</f>
        <v>200.7</v>
      </c>
      <c r="E458" s="141">
        <f ca="1">IFERROR(__xludf.DUMMYFUNCTION("""COMPUTED_VALUE"""),192.37)</f>
        <v>192.37</v>
      </c>
      <c r="F458" s="141">
        <f ca="1">IFERROR(__xludf.DUMMYFUNCTION("""COMPUTED_VALUE"""),194.27)</f>
        <v>194.27</v>
      </c>
      <c r="G458" s="143">
        <f ca="1">IFERROR(__xludf.DUMMYFUNCTION("""COMPUTED_VALUE"""),59732423)</f>
        <v>59732423</v>
      </c>
      <c r="H458" s="26"/>
    </row>
    <row r="459" spans="1:8" ht="17.25" customHeight="1" x14ac:dyDescent="0.2">
      <c r="A459" s="26"/>
      <c r="B459" s="139">
        <f ca="1">IFERROR(__xludf.DUMMYFUNCTION("""COMPUTED_VALUE"""),45764.6666666666)</f>
        <v>45764.666666666599</v>
      </c>
      <c r="C459" s="141">
        <f ca="1">IFERROR(__xludf.DUMMYFUNCTION("""COMPUTED_VALUE"""),197.2)</f>
        <v>197.2</v>
      </c>
      <c r="D459" s="141">
        <f ca="1">IFERROR(__xludf.DUMMYFUNCTION("""COMPUTED_VALUE"""),198.83)</f>
        <v>198.83</v>
      </c>
      <c r="E459" s="141">
        <f ca="1">IFERROR(__xludf.DUMMYFUNCTION("""COMPUTED_VALUE"""),194.42)</f>
        <v>194.42</v>
      </c>
      <c r="F459" s="141">
        <f ca="1">IFERROR(__xludf.DUMMYFUNCTION("""COMPUTED_VALUE"""),196.98)</f>
        <v>196.98</v>
      </c>
      <c r="G459" s="143">
        <f ca="1">IFERROR(__xludf.DUMMYFUNCTION("""COMPUTED_VALUE"""),52164675)</f>
        <v>52164675</v>
      </c>
      <c r="H459" s="26"/>
    </row>
    <row r="460" spans="1:8" ht="17.25" customHeight="1" x14ac:dyDescent="0.2">
      <c r="A460" s="26"/>
      <c r="B460" s="139">
        <f ca="1">IFERROR(__xludf.DUMMYFUNCTION("""COMPUTED_VALUE"""),45768.6666666666)</f>
        <v>45768.666666666599</v>
      </c>
      <c r="C460" s="141">
        <f ca="1">IFERROR(__xludf.DUMMYFUNCTION("""COMPUTED_VALUE"""),193.27)</f>
        <v>193.27</v>
      </c>
      <c r="D460" s="141">
        <f ca="1">IFERROR(__xludf.DUMMYFUNCTION("""COMPUTED_VALUE"""),193.8)</f>
        <v>193.8</v>
      </c>
      <c r="E460" s="141">
        <f ca="1">IFERROR(__xludf.DUMMYFUNCTION("""COMPUTED_VALUE"""),189.81)</f>
        <v>189.81</v>
      </c>
      <c r="F460" s="141">
        <f ca="1">IFERROR(__xludf.DUMMYFUNCTION("""COMPUTED_VALUE"""),193.16)</f>
        <v>193.16</v>
      </c>
      <c r="G460" s="143">
        <f ca="1">IFERROR(__xludf.DUMMYFUNCTION("""COMPUTED_VALUE"""),46742537)</f>
        <v>46742537</v>
      </c>
      <c r="H460" s="26"/>
    </row>
    <row r="461" spans="1:8" ht="17.25" customHeight="1" x14ac:dyDescent="0.2">
      <c r="A461" s="26"/>
      <c r="B461" s="139">
        <f ca="1">IFERROR(__xludf.DUMMYFUNCTION("""COMPUTED_VALUE"""),45769.6666666666)</f>
        <v>45769.666666666599</v>
      </c>
      <c r="C461" s="141">
        <f ca="1">IFERROR(__xludf.DUMMYFUNCTION("""COMPUTED_VALUE"""),196.12)</f>
        <v>196.12</v>
      </c>
      <c r="D461" s="141">
        <f ca="1">IFERROR(__xludf.DUMMYFUNCTION("""COMPUTED_VALUE"""),201.59)</f>
        <v>201.59</v>
      </c>
      <c r="E461" s="141">
        <f ca="1">IFERROR(__xludf.DUMMYFUNCTION("""COMPUTED_VALUE"""),195.97)</f>
        <v>195.97</v>
      </c>
      <c r="F461" s="141">
        <f ca="1">IFERROR(__xludf.DUMMYFUNCTION("""COMPUTED_VALUE"""),199.74)</f>
        <v>199.74</v>
      </c>
      <c r="G461" s="143">
        <f ca="1">IFERROR(__xludf.DUMMYFUNCTION("""COMPUTED_VALUE"""),52976371)</f>
        <v>52976371</v>
      </c>
      <c r="H461" s="26"/>
    </row>
    <row r="462" spans="1:8" ht="17.25" customHeight="1" x14ac:dyDescent="0.2">
      <c r="A462" s="26"/>
      <c r="B462" s="139">
        <f ca="1">IFERROR(__xludf.DUMMYFUNCTION("""COMPUTED_VALUE"""),45770.6666666666)</f>
        <v>45770.666666666599</v>
      </c>
      <c r="C462" s="141">
        <f ca="1">IFERROR(__xludf.DUMMYFUNCTION("""COMPUTED_VALUE"""),206)</f>
        <v>206</v>
      </c>
      <c r="D462" s="141">
        <f ca="1">IFERROR(__xludf.DUMMYFUNCTION("""COMPUTED_VALUE"""),208)</f>
        <v>208</v>
      </c>
      <c r="E462" s="141">
        <f ca="1">IFERROR(__xludf.DUMMYFUNCTION("""COMPUTED_VALUE"""),202.8)</f>
        <v>202.8</v>
      </c>
      <c r="F462" s="141">
        <f ca="1">IFERROR(__xludf.DUMMYFUNCTION("""COMPUTED_VALUE"""),204.6)</f>
        <v>204.6</v>
      </c>
      <c r="G462" s="143">
        <f ca="1">IFERROR(__xludf.DUMMYFUNCTION("""COMPUTED_VALUE"""),52929165)</f>
        <v>52929165</v>
      </c>
      <c r="H462" s="26"/>
    </row>
    <row r="463" spans="1:8" ht="17.25" customHeight="1" x14ac:dyDescent="0.2">
      <c r="A463" s="26"/>
      <c r="B463" s="139">
        <f ca="1">IFERROR(__xludf.DUMMYFUNCTION("""COMPUTED_VALUE"""),45771.6666666666)</f>
        <v>45771.666666666599</v>
      </c>
      <c r="C463" s="141">
        <f ca="1">IFERROR(__xludf.DUMMYFUNCTION("""COMPUTED_VALUE"""),204.89)</f>
        <v>204.89</v>
      </c>
      <c r="D463" s="141">
        <f ca="1">IFERROR(__xludf.DUMMYFUNCTION("""COMPUTED_VALUE"""),208.83)</f>
        <v>208.83</v>
      </c>
      <c r="E463" s="141">
        <f ca="1">IFERROR(__xludf.DUMMYFUNCTION("""COMPUTED_VALUE"""),202.94)</f>
        <v>202.94</v>
      </c>
      <c r="F463" s="141">
        <f ca="1">IFERROR(__xludf.DUMMYFUNCTION("""COMPUTED_VALUE"""),208.37)</f>
        <v>208.37</v>
      </c>
      <c r="G463" s="143">
        <f ca="1">IFERROR(__xludf.DUMMYFUNCTION("""COMPUTED_VALUE"""),47310989)</f>
        <v>47310989</v>
      </c>
      <c r="H463" s="26"/>
    </row>
    <row r="464" spans="1:8" ht="17.25" customHeight="1" x14ac:dyDescent="0.2">
      <c r="A464" s="26"/>
      <c r="B464" s="139">
        <f ca="1">IFERROR(__xludf.DUMMYFUNCTION("""COMPUTED_VALUE"""),45772.6666666666)</f>
        <v>45772.666666666599</v>
      </c>
      <c r="C464" s="141">
        <f ca="1">IFERROR(__xludf.DUMMYFUNCTION("""COMPUTED_VALUE"""),206.37)</f>
        <v>206.37</v>
      </c>
      <c r="D464" s="141">
        <f ca="1">IFERROR(__xludf.DUMMYFUNCTION("""COMPUTED_VALUE"""),209.75)</f>
        <v>209.75</v>
      </c>
      <c r="E464" s="141">
        <f ca="1">IFERROR(__xludf.DUMMYFUNCTION("""COMPUTED_VALUE"""),206.2)</f>
        <v>206.2</v>
      </c>
      <c r="F464" s="141">
        <f ca="1">IFERROR(__xludf.DUMMYFUNCTION("""COMPUTED_VALUE"""),209.28)</f>
        <v>209.28</v>
      </c>
      <c r="G464" s="143">
        <f ca="1">IFERROR(__xludf.DUMMYFUNCTION("""COMPUTED_VALUE"""),38222258)</f>
        <v>38222258</v>
      </c>
      <c r="H464" s="26"/>
    </row>
    <row r="465" spans="1:8" ht="17.25" customHeight="1" x14ac:dyDescent="0.2">
      <c r="A465" s="26"/>
      <c r="B465" s="139">
        <f ca="1">IFERROR(__xludf.DUMMYFUNCTION("""COMPUTED_VALUE"""),45775.6666666666)</f>
        <v>45775.666666666599</v>
      </c>
      <c r="C465" s="141">
        <f ca="1">IFERROR(__xludf.DUMMYFUNCTION("""COMPUTED_VALUE"""),210)</f>
        <v>210</v>
      </c>
      <c r="D465" s="141">
        <f ca="1">IFERROR(__xludf.DUMMYFUNCTION("""COMPUTED_VALUE"""),211.5)</f>
        <v>211.5</v>
      </c>
      <c r="E465" s="141">
        <f ca="1">IFERROR(__xludf.DUMMYFUNCTION("""COMPUTED_VALUE"""),207.46)</f>
        <v>207.46</v>
      </c>
      <c r="F465" s="141">
        <f ca="1">IFERROR(__xludf.DUMMYFUNCTION("""COMPUTED_VALUE"""),210.14)</f>
        <v>210.14</v>
      </c>
      <c r="G465" s="143">
        <f ca="1">IFERROR(__xludf.DUMMYFUNCTION("""COMPUTED_VALUE"""),38743074)</f>
        <v>38743074</v>
      </c>
      <c r="H465" s="26"/>
    </row>
    <row r="466" spans="1:8" ht="17.25" customHeight="1" x14ac:dyDescent="0.2">
      <c r="A466" s="26"/>
      <c r="B466" s="139">
        <f ca="1">IFERROR(__xludf.DUMMYFUNCTION("""COMPUTED_VALUE"""),45776.6666666666)</f>
        <v>45776.666666666599</v>
      </c>
      <c r="C466" s="141">
        <f ca="1">IFERROR(__xludf.DUMMYFUNCTION("""COMPUTED_VALUE"""),208.69)</f>
        <v>208.69</v>
      </c>
      <c r="D466" s="141">
        <f ca="1">IFERROR(__xludf.DUMMYFUNCTION("""COMPUTED_VALUE"""),212.24)</f>
        <v>212.24</v>
      </c>
      <c r="E466" s="141">
        <f ca="1">IFERROR(__xludf.DUMMYFUNCTION("""COMPUTED_VALUE"""),208.37)</f>
        <v>208.37</v>
      </c>
      <c r="F466" s="141">
        <f ca="1">IFERROR(__xludf.DUMMYFUNCTION("""COMPUTED_VALUE"""),211.21)</f>
        <v>211.21</v>
      </c>
      <c r="G466" s="143">
        <f ca="1">IFERROR(__xludf.DUMMYFUNCTION("""COMPUTED_VALUE"""),36827633)</f>
        <v>36827633</v>
      </c>
      <c r="H466" s="26"/>
    </row>
    <row r="467" spans="1:8" ht="17.25" customHeight="1" x14ac:dyDescent="0.2">
      <c r="A467" s="26"/>
      <c r="B467" s="139">
        <f ca="1">IFERROR(__xludf.DUMMYFUNCTION("""COMPUTED_VALUE"""),45777.6666666666)</f>
        <v>45777.666666666599</v>
      </c>
      <c r="C467" s="141">
        <f ca="1">IFERROR(__xludf.DUMMYFUNCTION("""COMPUTED_VALUE"""),209.3)</f>
        <v>209.3</v>
      </c>
      <c r="D467" s="141">
        <f ca="1">IFERROR(__xludf.DUMMYFUNCTION("""COMPUTED_VALUE"""),213.58)</f>
        <v>213.58</v>
      </c>
      <c r="E467" s="141">
        <f ca="1">IFERROR(__xludf.DUMMYFUNCTION("""COMPUTED_VALUE"""),206.67)</f>
        <v>206.67</v>
      </c>
      <c r="F467" s="141">
        <f ca="1">IFERROR(__xludf.DUMMYFUNCTION("""COMPUTED_VALUE"""),212.5)</f>
        <v>212.5</v>
      </c>
      <c r="G467" s="143">
        <f ca="1">IFERROR(__xludf.DUMMYFUNCTION("""COMPUTED_VALUE"""),52286454)</f>
        <v>52286454</v>
      </c>
      <c r="H467" s="26"/>
    </row>
    <row r="468" spans="1:8" ht="17.25" customHeight="1" x14ac:dyDescent="0.2">
      <c r="A468" s="26"/>
      <c r="B468" s="139">
        <f ca="1">IFERROR(__xludf.DUMMYFUNCTION("""COMPUTED_VALUE"""),45778.6666666666)</f>
        <v>45778.666666666599</v>
      </c>
      <c r="C468" s="141">
        <f ca="1">IFERROR(__xludf.DUMMYFUNCTION("""COMPUTED_VALUE"""),209.08)</f>
        <v>209.08</v>
      </c>
      <c r="D468" s="141">
        <f ca="1">IFERROR(__xludf.DUMMYFUNCTION("""COMPUTED_VALUE"""),214.56)</f>
        <v>214.56</v>
      </c>
      <c r="E468" s="141">
        <f ca="1">IFERROR(__xludf.DUMMYFUNCTION("""COMPUTED_VALUE"""),208.9)</f>
        <v>208.9</v>
      </c>
      <c r="F468" s="141">
        <f ca="1">IFERROR(__xludf.DUMMYFUNCTION("""COMPUTED_VALUE"""),213.32)</f>
        <v>213.32</v>
      </c>
      <c r="G468" s="143">
        <f ca="1">IFERROR(__xludf.DUMMYFUNCTION("""COMPUTED_VALUE"""),57365675)</f>
        <v>57365675</v>
      </c>
      <c r="H468" s="26"/>
    </row>
    <row r="469" spans="1:8" ht="17.25" customHeight="1" x14ac:dyDescent="0.2">
      <c r="A469" s="26"/>
      <c r="B469" s="139">
        <f ca="1">IFERROR(__xludf.DUMMYFUNCTION("""COMPUTED_VALUE"""),45779.6666666666)</f>
        <v>45779.666666666599</v>
      </c>
      <c r="C469" s="141">
        <f ca="1">IFERROR(__xludf.DUMMYFUNCTION("""COMPUTED_VALUE"""),206.09)</f>
        <v>206.09</v>
      </c>
      <c r="D469" s="141">
        <f ca="1">IFERROR(__xludf.DUMMYFUNCTION("""COMPUTED_VALUE"""),206.99)</f>
        <v>206.99</v>
      </c>
      <c r="E469" s="141">
        <f ca="1">IFERROR(__xludf.DUMMYFUNCTION("""COMPUTED_VALUE"""),202.16)</f>
        <v>202.16</v>
      </c>
      <c r="F469" s="141">
        <f ca="1">IFERROR(__xludf.DUMMYFUNCTION("""COMPUTED_VALUE"""),205.35)</f>
        <v>205.35</v>
      </c>
      <c r="G469" s="143">
        <f ca="1">IFERROR(__xludf.DUMMYFUNCTION("""COMPUTED_VALUE"""),101010621)</f>
        <v>101010621</v>
      </c>
      <c r="H469" s="26"/>
    </row>
    <row r="470" spans="1:8" ht="17.25" customHeight="1" x14ac:dyDescent="0.2">
      <c r="A470" s="26"/>
      <c r="B470" s="139">
        <f ca="1">IFERROR(__xludf.DUMMYFUNCTION("""COMPUTED_VALUE"""),45782.6666666666)</f>
        <v>45782.666666666599</v>
      </c>
      <c r="C470" s="141">
        <f ca="1">IFERROR(__xludf.DUMMYFUNCTION("""COMPUTED_VALUE"""),203.1)</f>
        <v>203.1</v>
      </c>
      <c r="D470" s="141">
        <f ca="1">IFERROR(__xludf.DUMMYFUNCTION("""COMPUTED_VALUE"""),204.1)</f>
        <v>204.1</v>
      </c>
      <c r="E470" s="141">
        <f ca="1">IFERROR(__xludf.DUMMYFUNCTION("""COMPUTED_VALUE"""),198.21)</f>
        <v>198.21</v>
      </c>
      <c r="F470" s="141">
        <f ca="1">IFERROR(__xludf.DUMMYFUNCTION("""COMPUTED_VALUE"""),198.89)</f>
        <v>198.89</v>
      </c>
      <c r="G470" s="143">
        <f ca="1">IFERROR(__xludf.DUMMYFUNCTION("""COMPUTED_VALUE"""),69018452)</f>
        <v>69018452</v>
      </c>
      <c r="H470" s="26"/>
    </row>
    <row r="471" spans="1:8" ht="17.25" customHeight="1" x14ac:dyDescent="0.2">
      <c r="A471" s="26"/>
      <c r="B471" s="139">
        <f ca="1">IFERROR(__xludf.DUMMYFUNCTION("""COMPUTED_VALUE"""),45783.6666666666)</f>
        <v>45783.666666666599</v>
      </c>
      <c r="C471" s="141">
        <f ca="1">IFERROR(__xludf.DUMMYFUNCTION("""COMPUTED_VALUE"""),198.21)</f>
        <v>198.21</v>
      </c>
      <c r="D471" s="141">
        <f ca="1">IFERROR(__xludf.DUMMYFUNCTION("""COMPUTED_VALUE"""),200.65)</f>
        <v>200.65</v>
      </c>
      <c r="E471" s="141">
        <f ca="1">IFERROR(__xludf.DUMMYFUNCTION("""COMPUTED_VALUE"""),197.02)</f>
        <v>197.02</v>
      </c>
      <c r="F471" s="141">
        <f ca="1">IFERROR(__xludf.DUMMYFUNCTION("""COMPUTED_VALUE"""),198.51)</f>
        <v>198.51</v>
      </c>
      <c r="G471" s="143">
        <f ca="1">IFERROR(__xludf.DUMMYFUNCTION("""COMPUTED_VALUE"""),51216482)</f>
        <v>51216482</v>
      </c>
      <c r="H471" s="26"/>
    </row>
    <row r="472" spans="1:8" ht="17.25" customHeight="1" x14ac:dyDescent="0.2">
      <c r="A472" s="26"/>
      <c r="B472" s="139">
        <f ca="1">IFERROR(__xludf.DUMMYFUNCTION("""COMPUTED_VALUE"""),45784.6666666666)</f>
        <v>45784.666666666599</v>
      </c>
      <c r="C472" s="141">
        <f ca="1">IFERROR(__xludf.DUMMYFUNCTION("""COMPUTED_VALUE"""),199.17)</f>
        <v>199.17</v>
      </c>
      <c r="D472" s="141">
        <f ca="1">IFERROR(__xludf.DUMMYFUNCTION("""COMPUTED_VALUE"""),199.44)</f>
        <v>199.44</v>
      </c>
      <c r="E472" s="141">
        <f ca="1">IFERROR(__xludf.DUMMYFUNCTION("""COMPUTED_VALUE"""),193.25)</f>
        <v>193.25</v>
      </c>
      <c r="F472" s="141">
        <f ca="1">IFERROR(__xludf.DUMMYFUNCTION("""COMPUTED_VALUE"""),196.25)</f>
        <v>196.25</v>
      </c>
      <c r="G472" s="143">
        <f ca="1">IFERROR(__xludf.DUMMYFUNCTION("""COMPUTED_VALUE"""),68616943)</f>
        <v>68616943</v>
      </c>
      <c r="H472" s="26"/>
    </row>
    <row r="473" spans="1:8" ht="17.25" customHeight="1" x14ac:dyDescent="0.2">
      <c r="A473" s="26"/>
      <c r="B473" s="139">
        <f ca="1">IFERROR(__xludf.DUMMYFUNCTION("""COMPUTED_VALUE"""),45785.6666666666)</f>
        <v>45785.666666666599</v>
      </c>
      <c r="C473" s="141">
        <f ca="1">IFERROR(__xludf.DUMMYFUNCTION("""COMPUTED_VALUE"""),197.72)</f>
        <v>197.72</v>
      </c>
      <c r="D473" s="141">
        <f ca="1">IFERROR(__xludf.DUMMYFUNCTION("""COMPUTED_VALUE"""),200.05)</f>
        <v>200.05</v>
      </c>
      <c r="E473" s="141">
        <f ca="1">IFERROR(__xludf.DUMMYFUNCTION("""COMPUTED_VALUE"""),194.68)</f>
        <v>194.68</v>
      </c>
      <c r="F473" s="141">
        <f ca="1">IFERROR(__xludf.DUMMYFUNCTION("""COMPUTED_VALUE"""),197.49)</f>
        <v>197.49</v>
      </c>
      <c r="G473" s="143">
        <f ca="1">IFERROR(__xludf.DUMMYFUNCTION("""COMPUTED_VALUE"""),50478872)</f>
        <v>50478872</v>
      </c>
      <c r="H473" s="26"/>
    </row>
    <row r="474" spans="1:8" ht="17.25" customHeight="1" x14ac:dyDescent="0.2">
      <c r="A474" s="26"/>
      <c r="B474" s="139">
        <f ca="1">IFERROR(__xludf.DUMMYFUNCTION("""COMPUTED_VALUE"""),45786.6666666666)</f>
        <v>45786.666666666599</v>
      </c>
      <c r="C474" s="141">
        <f ca="1">IFERROR(__xludf.DUMMYFUNCTION("""COMPUTED_VALUE"""),199)</f>
        <v>199</v>
      </c>
      <c r="D474" s="141">
        <f ca="1">IFERROR(__xludf.DUMMYFUNCTION("""COMPUTED_VALUE"""),200.54)</f>
        <v>200.54</v>
      </c>
      <c r="E474" s="141">
        <f ca="1">IFERROR(__xludf.DUMMYFUNCTION("""COMPUTED_VALUE"""),197.54)</f>
        <v>197.54</v>
      </c>
      <c r="F474" s="141">
        <f ca="1">IFERROR(__xludf.DUMMYFUNCTION("""COMPUTED_VALUE"""),198.53)</f>
        <v>198.53</v>
      </c>
      <c r="G474" s="143">
        <f ca="1">IFERROR(__xludf.DUMMYFUNCTION("""COMPUTED_VALUE"""),36453923)</f>
        <v>36453923</v>
      </c>
      <c r="H474" s="26"/>
    </row>
    <row r="475" spans="1:8" ht="17.25" customHeight="1" x14ac:dyDescent="0.2">
      <c r="A475" s="26"/>
      <c r="B475" s="139">
        <f ca="1">IFERROR(__xludf.DUMMYFUNCTION("""COMPUTED_VALUE"""),45789.6666666666)</f>
        <v>45789.666666666599</v>
      </c>
      <c r="C475" s="141">
        <f ca="1">IFERROR(__xludf.DUMMYFUNCTION("""COMPUTED_VALUE"""),210.97)</f>
        <v>210.97</v>
      </c>
      <c r="D475" s="141">
        <f ca="1">IFERROR(__xludf.DUMMYFUNCTION("""COMPUTED_VALUE"""),211.27)</f>
        <v>211.27</v>
      </c>
      <c r="E475" s="141">
        <f ca="1">IFERROR(__xludf.DUMMYFUNCTION("""COMPUTED_VALUE"""),206.75)</f>
        <v>206.75</v>
      </c>
      <c r="F475" s="141">
        <f ca="1">IFERROR(__xludf.DUMMYFUNCTION("""COMPUTED_VALUE"""),210.79)</f>
        <v>210.79</v>
      </c>
      <c r="G475" s="143">
        <f ca="1">IFERROR(__xludf.DUMMYFUNCTION("""COMPUTED_VALUE"""),63775814)</f>
        <v>63775814</v>
      </c>
      <c r="H475" s="26"/>
    </row>
    <row r="476" spans="1:8" ht="17.25" customHeight="1" x14ac:dyDescent="0.2">
      <c r="A476" s="26"/>
      <c r="B476" s="139">
        <f ca="1">IFERROR(__xludf.DUMMYFUNCTION("""COMPUTED_VALUE"""),45790.6666666666)</f>
        <v>45790.666666666599</v>
      </c>
      <c r="C476" s="141">
        <f ca="1">IFERROR(__xludf.DUMMYFUNCTION("""COMPUTED_VALUE"""),210.43)</f>
        <v>210.43</v>
      </c>
      <c r="D476" s="141">
        <f ca="1">IFERROR(__xludf.DUMMYFUNCTION("""COMPUTED_VALUE"""),213.4)</f>
        <v>213.4</v>
      </c>
      <c r="E476" s="141">
        <f ca="1">IFERROR(__xludf.DUMMYFUNCTION("""COMPUTED_VALUE"""),209)</f>
        <v>209</v>
      </c>
      <c r="F476" s="141">
        <f ca="1">IFERROR(__xludf.DUMMYFUNCTION("""COMPUTED_VALUE"""),212.93)</f>
        <v>212.93</v>
      </c>
      <c r="G476" s="143">
        <f ca="1">IFERROR(__xludf.DUMMYFUNCTION("""COMPUTED_VALUE"""),51909332)</f>
        <v>51909332</v>
      </c>
      <c r="H476" s="26"/>
    </row>
    <row r="477" spans="1:8" ht="17.25" customHeight="1" x14ac:dyDescent="0.2">
      <c r="A477" s="26"/>
      <c r="B477" s="139">
        <f ca="1">IFERROR(__xludf.DUMMYFUNCTION("""COMPUTED_VALUE"""),45791.6666666666)</f>
        <v>45791.666666666599</v>
      </c>
      <c r="C477" s="141">
        <f ca="1">IFERROR(__xludf.DUMMYFUNCTION("""COMPUTED_VALUE"""),212.43)</f>
        <v>212.43</v>
      </c>
      <c r="D477" s="141">
        <f ca="1">IFERROR(__xludf.DUMMYFUNCTION("""COMPUTED_VALUE"""),213.94)</f>
        <v>213.94</v>
      </c>
      <c r="E477" s="141">
        <f ca="1">IFERROR(__xludf.DUMMYFUNCTION("""COMPUTED_VALUE"""),210.58)</f>
        <v>210.58</v>
      </c>
      <c r="F477" s="141">
        <f ca="1">IFERROR(__xludf.DUMMYFUNCTION("""COMPUTED_VALUE"""),212.33)</f>
        <v>212.33</v>
      </c>
      <c r="G477" s="143">
        <f ca="1">IFERROR(__xludf.DUMMYFUNCTION("""COMPUTED_VALUE"""),49325825)</f>
        <v>49325825</v>
      </c>
      <c r="H477" s="26"/>
    </row>
    <row r="478" spans="1:8" ht="17.25" customHeight="1" x14ac:dyDescent="0.2">
      <c r="A478" s="26"/>
      <c r="B478" s="139">
        <f ca="1">IFERROR(__xludf.DUMMYFUNCTION("""COMPUTED_VALUE"""),45792.6666666666)</f>
        <v>45792.666666666599</v>
      </c>
      <c r="C478" s="141">
        <f ca="1">IFERROR(__xludf.DUMMYFUNCTION("""COMPUTED_VALUE"""),210.95)</f>
        <v>210.95</v>
      </c>
      <c r="D478" s="141">
        <f ca="1">IFERROR(__xludf.DUMMYFUNCTION("""COMPUTED_VALUE"""),212.96)</f>
        <v>212.96</v>
      </c>
      <c r="E478" s="141">
        <f ca="1">IFERROR(__xludf.DUMMYFUNCTION("""COMPUTED_VALUE"""),209.54)</f>
        <v>209.54</v>
      </c>
      <c r="F478" s="141">
        <f ca="1">IFERROR(__xludf.DUMMYFUNCTION("""COMPUTED_VALUE"""),211.45)</f>
        <v>211.45</v>
      </c>
      <c r="G478" s="143">
        <f ca="1">IFERROR(__xludf.DUMMYFUNCTION("""COMPUTED_VALUE"""),45029473)</f>
        <v>45029473</v>
      </c>
      <c r="H478" s="26"/>
    </row>
    <row r="479" spans="1:8" ht="17.25" customHeight="1" x14ac:dyDescent="0.2">
      <c r="A479" s="26"/>
      <c r="B479" s="139">
        <f ca="1">IFERROR(__xludf.DUMMYFUNCTION("""COMPUTED_VALUE"""),45793.6666666666)</f>
        <v>45793.666666666599</v>
      </c>
      <c r="C479" s="141">
        <f ca="1">IFERROR(__xludf.DUMMYFUNCTION("""COMPUTED_VALUE"""),212.36)</f>
        <v>212.36</v>
      </c>
      <c r="D479" s="141">
        <f ca="1">IFERROR(__xludf.DUMMYFUNCTION("""COMPUTED_VALUE"""),212.57)</f>
        <v>212.57</v>
      </c>
      <c r="E479" s="141">
        <f ca="1">IFERROR(__xludf.DUMMYFUNCTION("""COMPUTED_VALUE"""),209.77)</f>
        <v>209.77</v>
      </c>
      <c r="F479" s="141">
        <f ca="1">IFERROR(__xludf.DUMMYFUNCTION("""COMPUTED_VALUE"""),211.26)</f>
        <v>211.26</v>
      </c>
      <c r="G479" s="143">
        <f ca="1">IFERROR(__xludf.DUMMYFUNCTION("""COMPUTED_VALUE"""),54737850)</f>
        <v>54737850</v>
      </c>
      <c r="H479" s="26"/>
    </row>
    <row r="480" spans="1:8" ht="17.25" customHeight="1" x14ac:dyDescent="0.2">
      <c r="A480" s="26"/>
      <c r="B480" s="139">
        <f ca="1">IFERROR(__xludf.DUMMYFUNCTION("""COMPUTED_VALUE"""),45796.6666666666)</f>
        <v>45796.666666666599</v>
      </c>
      <c r="C480" s="141">
        <f ca="1">IFERROR(__xludf.DUMMYFUNCTION("""COMPUTED_VALUE"""),207.91)</f>
        <v>207.91</v>
      </c>
      <c r="D480" s="141">
        <f ca="1">IFERROR(__xludf.DUMMYFUNCTION("""COMPUTED_VALUE"""),209.48)</f>
        <v>209.48</v>
      </c>
      <c r="E480" s="141">
        <f ca="1">IFERROR(__xludf.DUMMYFUNCTION("""COMPUTED_VALUE"""),204.26)</f>
        <v>204.26</v>
      </c>
      <c r="F480" s="141">
        <f ca="1">IFERROR(__xludf.DUMMYFUNCTION("""COMPUTED_VALUE"""),208.78)</f>
        <v>208.78</v>
      </c>
      <c r="G480" s="143">
        <f ca="1">IFERROR(__xludf.DUMMYFUNCTION("""COMPUTED_VALUE"""),46140527)</f>
        <v>46140527</v>
      </c>
      <c r="H480" s="26"/>
    </row>
    <row r="481" spans="1:8" ht="17.25" customHeight="1" x14ac:dyDescent="0.2">
      <c r="A481" s="26"/>
      <c r="B481" s="139">
        <f ca="1">IFERROR(__xludf.DUMMYFUNCTION("""COMPUTED_VALUE"""),45797.6666666666)</f>
        <v>45797.666666666599</v>
      </c>
      <c r="C481" s="141">
        <f ca="1">IFERROR(__xludf.DUMMYFUNCTION("""COMPUTED_VALUE"""),207.67)</f>
        <v>207.67</v>
      </c>
      <c r="D481" s="141">
        <f ca="1">IFERROR(__xludf.DUMMYFUNCTION("""COMPUTED_VALUE"""),208.47)</f>
        <v>208.47</v>
      </c>
      <c r="E481" s="141">
        <f ca="1">IFERROR(__xludf.DUMMYFUNCTION("""COMPUTED_VALUE"""),205.03)</f>
        <v>205.03</v>
      </c>
      <c r="F481" s="141">
        <f ca="1">IFERROR(__xludf.DUMMYFUNCTION("""COMPUTED_VALUE"""),206.86)</f>
        <v>206.86</v>
      </c>
      <c r="G481" s="143">
        <f ca="1">IFERROR(__xludf.DUMMYFUNCTION("""COMPUTED_VALUE"""),42496635)</f>
        <v>42496635</v>
      </c>
      <c r="H481" s="26"/>
    </row>
    <row r="482" spans="1:8" ht="17.25" customHeight="1" x14ac:dyDescent="0.2">
      <c r="A482" s="26"/>
      <c r="B482" s="139">
        <f ca="1">IFERROR(__xludf.DUMMYFUNCTION("""COMPUTED_VALUE"""),45798.6666666666)</f>
        <v>45798.666666666599</v>
      </c>
      <c r="C482" s="141">
        <f ca="1">IFERROR(__xludf.DUMMYFUNCTION("""COMPUTED_VALUE"""),205.17)</f>
        <v>205.17</v>
      </c>
      <c r="D482" s="141">
        <f ca="1">IFERROR(__xludf.DUMMYFUNCTION("""COMPUTED_VALUE"""),207.04)</f>
        <v>207.04</v>
      </c>
      <c r="E482" s="141">
        <f ca="1">IFERROR(__xludf.DUMMYFUNCTION("""COMPUTED_VALUE"""),200.71)</f>
        <v>200.71</v>
      </c>
      <c r="F482" s="141">
        <f ca="1">IFERROR(__xludf.DUMMYFUNCTION("""COMPUTED_VALUE"""),202.09)</f>
        <v>202.09</v>
      </c>
      <c r="G482" s="143">
        <f ca="1">IFERROR(__xludf.DUMMYFUNCTION("""COMPUTED_VALUE"""),59211774)</f>
        <v>59211774</v>
      </c>
      <c r="H482" s="26"/>
    </row>
    <row r="483" spans="1:8" ht="17.25" customHeight="1" x14ac:dyDescent="0.2">
      <c r="A483" s="26"/>
      <c r="B483" s="139">
        <f ca="1">IFERROR(__xludf.DUMMYFUNCTION("""COMPUTED_VALUE"""),45799.6666666666)</f>
        <v>45799.666666666599</v>
      </c>
      <c r="C483" s="141">
        <f ca="1">IFERROR(__xludf.DUMMYFUNCTION("""COMPUTED_VALUE"""),205.17)</f>
        <v>205.17</v>
      </c>
      <c r="D483" s="141">
        <f ca="1">IFERROR(__xludf.DUMMYFUNCTION("""COMPUTED_VALUE"""),207.04)</f>
        <v>207.04</v>
      </c>
      <c r="E483" s="141">
        <f ca="1">IFERROR(__xludf.DUMMYFUNCTION("""COMPUTED_VALUE"""),200.71)</f>
        <v>200.71</v>
      </c>
      <c r="F483" s="141">
        <f ca="1">IFERROR(__xludf.DUMMYFUNCTION("""COMPUTED_VALUE"""),202.09)</f>
        <v>202.09</v>
      </c>
      <c r="G483" s="143">
        <f ca="1">IFERROR(__xludf.DUMMYFUNCTION("""COMPUTED_VALUE"""),1536434)</f>
        <v>1536434</v>
      </c>
      <c r="H483" s="26"/>
    </row>
    <row r="484" spans="1:8" ht="17.25" customHeight="1" x14ac:dyDescent="0.2">
      <c r="A484" s="26"/>
      <c r="B484" s="139">
        <f ca="1">IFERROR(__xludf.DUMMYFUNCTION("""COMPUTED_VALUE"""),45800.6666666666)</f>
        <v>45800.666666666599</v>
      </c>
      <c r="C484" s="141">
        <f ca="1">IFERROR(__xludf.DUMMYFUNCTION("""COMPUTED_VALUE"""),193.67)</f>
        <v>193.67</v>
      </c>
      <c r="D484" s="141">
        <f ca="1">IFERROR(__xludf.DUMMYFUNCTION("""COMPUTED_VALUE"""),197.7)</f>
        <v>197.7</v>
      </c>
      <c r="E484" s="141">
        <f ca="1">IFERROR(__xludf.DUMMYFUNCTION("""COMPUTED_VALUE"""),193.46)</f>
        <v>193.46</v>
      </c>
      <c r="F484" s="141">
        <f ca="1">IFERROR(__xludf.DUMMYFUNCTION("""COMPUTED_VALUE"""),195.27)</f>
        <v>195.27</v>
      </c>
      <c r="G484" s="143">
        <f ca="1">IFERROR(__xludf.DUMMYFUNCTION("""COMPUTED_VALUE"""),78432918)</f>
        <v>78432918</v>
      </c>
      <c r="H484" s="26"/>
    </row>
    <row r="485" spans="1:8" ht="17.25" customHeight="1" x14ac:dyDescent="0.2">
      <c r="A485" s="26"/>
      <c r="B485" s="139">
        <f ca="1">IFERROR(__xludf.DUMMYFUNCTION("""COMPUTED_VALUE"""),45804.6666666666)</f>
        <v>45804.666666666599</v>
      </c>
      <c r="C485" s="141">
        <f ca="1">IFERROR(__xludf.DUMMYFUNCTION("""COMPUTED_VALUE"""),198.3)</f>
        <v>198.3</v>
      </c>
      <c r="D485" s="141">
        <f ca="1">IFERROR(__xludf.DUMMYFUNCTION("""COMPUTED_VALUE"""),200.74)</f>
        <v>200.74</v>
      </c>
      <c r="E485" s="141">
        <f ca="1">IFERROR(__xludf.DUMMYFUNCTION("""COMPUTED_VALUE"""),197.43)</f>
        <v>197.43</v>
      </c>
      <c r="F485" s="141">
        <f ca="1">IFERROR(__xludf.DUMMYFUNCTION("""COMPUTED_VALUE"""),200.21)</f>
        <v>200.21</v>
      </c>
      <c r="G485" s="143">
        <f ca="1">IFERROR(__xludf.DUMMYFUNCTION("""COMPUTED_VALUE"""),56288475)</f>
        <v>56288475</v>
      </c>
      <c r="H485" s="26"/>
    </row>
    <row r="486" spans="1:8" ht="17.25" customHeight="1" x14ac:dyDescent="0.2">
      <c r="A486" s="26"/>
      <c r="B486" s="139">
        <f ca="1">IFERROR(__xludf.DUMMYFUNCTION("""COMPUTED_VALUE"""),45805.6666666666)</f>
        <v>45805.666666666599</v>
      </c>
      <c r="C486" s="141">
        <f ca="1">IFERROR(__xludf.DUMMYFUNCTION("""COMPUTED_VALUE"""),200.59)</f>
        <v>200.59</v>
      </c>
      <c r="D486" s="141">
        <f ca="1">IFERROR(__xludf.DUMMYFUNCTION("""COMPUTED_VALUE"""),202.73)</f>
        <v>202.73</v>
      </c>
      <c r="E486" s="141">
        <f ca="1">IFERROR(__xludf.DUMMYFUNCTION("""COMPUTED_VALUE"""),199.9)</f>
        <v>199.9</v>
      </c>
      <c r="F486" s="141">
        <f ca="1">IFERROR(__xludf.DUMMYFUNCTION("""COMPUTED_VALUE"""),200.42)</f>
        <v>200.42</v>
      </c>
      <c r="G486" s="143">
        <f ca="1">IFERROR(__xludf.DUMMYFUNCTION("""COMPUTED_VALUE"""),45339678)</f>
        <v>45339678</v>
      </c>
      <c r="H486" s="26"/>
    </row>
    <row r="487" spans="1:8" ht="17.25" customHeight="1" x14ac:dyDescent="0.2">
      <c r="A487" s="26"/>
      <c r="B487" s="139">
        <f ca="1">IFERROR(__xludf.DUMMYFUNCTION("""COMPUTED_VALUE"""),45806.6666666666)</f>
        <v>45806.666666666599</v>
      </c>
      <c r="C487" s="141">
        <f ca="1">IFERROR(__xludf.DUMMYFUNCTION("""COMPUTED_VALUE"""),203.58)</f>
        <v>203.58</v>
      </c>
      <c r="D487" s="141">
        <f ca="1">IFERROR(__xludf.DUMMYFUNCTION("""COMPUTED_VALUE"""),203.81)</f>
        <v>203.81</v>
      </c>
      <c r="E487" s="141">
        <f ca="1">IFERROR(__xludf.DUMMYFUNCTION("""COMPUTED_VALUE"""),198.51)</f>
        <v>198.51</v>
      </c>
      <c r="F487" s="141">
        <f ca="1">IFERROR(__xludf.DUMMYFUNCTION("""COMPUTED_VALUE"""),199.95)</f>
        <v>199.95</v>
      </c>
      <c r="G487" s="143">
        <f ca="1">IFERROR(__xludf.DUMMYFUNCTION("""COMPUTED_VALUE"""),51477938)</f>
        <v>51477938</v>
      </c>
      <c r="H487" s="26"/>
    </row>
    <row r="488" spans="1:8" ht="17.25" customHeight="1" x14ac:dyDescent="0.2">
      <c r="A488" s="26"/>
      <c r="B488" s="139">
        <f ca="1">IFERROR(__xludf.DUMMYFUNCTION("""COMPUTED_VALUE"""),45807.6666666666)</f>
        <v>45807.666666666599</v>
      </c>
      <c r="C488" s="141">
        <f ca="1">IFERROR(__xludf.DUMMYFUNCTION("""COMPUTED_VALUE"""),199.37)</f>
        <v>199.37</v>
      </c>
      <c r="D488" s="141">
        <f ca="1">IFERROR(__xludf.DUMMYFUNCTION("""COMPUTED_VALUE"""),201.96)</f>
        <v>201.96</v>
      </c>
      <c r="E488" s="141">
        <f ca="1">IFERROR(__xludf.DUMMYFUNCTION("""COMPUTED_VALUE"""),196.78)</f>
        <v>196.78</v>
      </c>
      <c r="F488" s="141">
        <f ca="1">IFERROR(__xludf.DUMMYFUNCTION("""COMPUTED_VALUE"""),200.85)</f>
        <v>200.85</v>
      </c>
      <c r="G488" s="143">
        <f ca="1">IFERROR(__xludf.DUMMYFUNCTION("""COMPUTED_VALUE"""),70819942)</f>
        <v>70819942</v>
      </c>
      <c r="H488" s="26"/>
    </row>
    <row r="489" spans="1:8" ht="17.25" customHeight="1" x14ac:dyDescent="0.2">
      <c r="A489" s="26"/>
      <c r="B489" s="139">
        <f ca="1">IFERROR(__xludf.DUMMYFUNCTION("""COMPUTED_VALUE"""),45810.6666666666)</f>
        <v>45810.666666666599</v>
      </c>
      <c r="C489" s="141">
        <f ca="1">IFERROR(__xludf.DUMMYFUNCTION("""COMPUTED_VALUE"""),200.28)</f>
        <v>200.28</v>
      </c>
      <c r="D489" s="141">
        <f ca="1">IFERROR(__xludf.DUMMYFUNCTION("""COMPUTED_VALUE"""),202.13)</f>
        <v>202.13</v>
      </c>
      <c r="E489" s="141">
        <f ca="1">IFERROR(__xludf.DUMMYFUNCTION("""COMPUTED_VALUE"""),200.12)</f>
        <v>200.12</v>
      </c>
      <c r="F489" s="141">
        <f ca="1">IFERROR(__xludf.DUMMYFUNCTION("""COMPUTED_VALUE"""),201.7)</f>
        <v>201.7</v>
      </c>
      <c r="G489" s="143">
        <f ca="1">IFERROR(__xludf.DUMMYFUNCTION("""COMPUTED_VALUE"""),35423294)</f>
        <v>35423294</v>
      </c>
      <c r="H489" s="26"/>
    </row>
    <row r="490" spans="1:8" ht="17.25" customHeight="1" x14ac:dyDescent="0.2">
      <c r="A490" s="26"/>
      <c r="B490" s="139">
        <f ca="1">IFERROR(__xludf.DUMMYFUNCTION("""COMPUTED_VALUE"""),45811.6666666666)</f>
        <v>45811.666666666599</v>
      </c>
      <c r="C490" s="141">
        <f ca="1">IFERROR(__xludf.DUMMYFUNCTION("""COMPUTED_VALUE"""),201.35)</f>
        <v>201.35</v>
      </c>
      <c r="D490" s="141">
        <f ca="1">IFERROR(__xludf.DUMMYFUNCTION("""COMPUTED_VALUE"""),203.77)</f>
        <v>203.77</v>
      </c>
      <c r="E490" s="141">
        <f ca="1">IFERROR(__xludf.DUMMYFUNCTION("""COMPUTED_VALUE"""),200.96)</f>
        <v>200.96</v>
      </c>
      <c r="F490" s="141">
        <f ca="1">IFERROR(__xludf.DUMMYFUNCTION("""COMPUTED_VALUE"""),203.27)</f>
        <v>203.27</v>
      </c>
      <c r="G490" s="143">
        <f ca="1">IFERROR(__xludf.DUMMYFUNCTION("""COMPUTED_VALUE"""),46381567)</f>
        <v>46381567</v>
      </c>
      <c r="H490" s="26"/>
    </row>
    <row r="491" spans="1:8" ht="17.25" customHeight="1" x14ac:dyDescent="0.2">
      <c r="A491" s="26"/>
      <c r="B491" s="139">
        <f ca="1">IFERROR(__xludf.DUMMYFUNCTION("""COMPUTED_VALUE"""),45812.6666666666)</f>
        <v>45812.666666666599</v>
      </c>
      <c r="C491" s="141">
        <f ca="1">IFERROR(__xludf.DUMMYFUNCTION("""COMPUTED_VALUE"""),202.91)</f>
        <v>202.91</v>
      </c>
      <c r="D491" s="141">
        <f ca="1">IFERROR(__xludf.DUMMYFUNCTION("""COMPUTED_VALUE"""),206.24)</f>
        <v>206.24</v>
      </c>
      <c r="E491" s="141">
        <f ca="1">IFERROR(__xludf.DUMMYFUNCTION("""COMPUTED_VALUE"""),202.1)</f>
        <v>202.1</v>
      </c>
      <c r="F491" s="141">
        <f ca="1">IFERROR(__xludf.DUMMYFUNCTION("""COMPUTED_VALUE"""),202.82)</f>
        <v>202.82</v>
      </c>
      <c r="G491" s="143">
        <f ca="1">IFERROR(__xludf.DUMMYFUNCTION("""COMPUTED_VALUE"""),43603985)</f>
        <v>43603985</v>
      </c>
      <c r="H491" s="26"/>
    </row>
    <row r="492" spans="1:8" ht="17.25" customHeight="1" x14ac:dyDescent="0.2">
      <c r="A492" s="26"/>
      <c r="B492" s="139">
        <f ca="1">IFERROR(__xludf.DUMMYFUNCTION("""COMPUTED_VALUE"""),45813.6666666666)</f>
        <v>45813.666666666599</v>
      </c>
      <c r="C492" s="141">
        <f ca="1">IFERROR(__xludf.DUMMYFUNCTION("""COMPUTED_VALUE"""),203.5)</f>
        <v>203.5</v>
      </c>
      <c r="D492" s="141">
        <f ca="1">IFERROR(__xludf.DUMMYFUNCTION("""COMPUTED_VALUE"""),204.75)</f>
        <v>204.75</v>
      </c>
      <c r="E492" s="141">
        <f ca="1">IFERROR(__xludf.DUMMYFUNCTION("""COMPUTED_VALUE"""),200.15)</f>
        <v>200.15</v>
      </c>
      <c r="F492" s="141">
        <f ca="1">IFERROR(__xludf.DUMMYFUNCTION("""COMPUTED_VALUE"""),200.63)</f>
        <v>200.63</v>
      </c>
      <c r="G492" s="143">
        <f ca="1">IFERROR(__xludf.DUMMYFUNCTION("""COMPUTED_VALUE"""),55221235)</f>
        <v>55221235</v>
      </c>
      <c r="H492" s="26"/>
    </row>
    <row r="493" spans="1:8" ht="17.25" customHeight="1" x14ac:dyDescent="0.2">
      <c r="A493" s="26"/>
      <c r="B493" s="139">
        <f ca="1">IFERROR(__xludf.DUMMYFUNCTION("""COMPUTED_VALUE"""),45814.6666666666)</f>
        <v>45814.666666666599</v>
      </c>
      <c r="C493" s="141">
        <f ca="1">IFERROR(__xludf.DUMMYFUNCTION("""COMPUTED_VALUE"""),203)</f>
        <v>203</v>
      </c>
      <c r="D493" s="141">
        <f ca="1">IFERROR(__xludf.DUMMYFUNCTION("""COMPUTED_VALUE"""),205.7)</f>
        <v>205.7</v>
      </c>
      <c r="E493" s="141">
        <f ca="1">IFERROR(__xludf.DUMMYFUNCTION("""COMPUTED_VALUE"""),202.05)</f>
        <v>202.05</v>
      </c>
      <c r="F493" s="141">
        <f ca="1">IFERROR(__xludf.DUMMYFUNCTION("""COMPUTED_VALUE"""),203.92)</f>
        <v>203.92</v>
      </c>
      <c r="G493" s="143">
        <f ca="1">IFERROR(__xludf.DUMMYFUNCTION("""COMPUTED_VALUE"""),46607693)</f>
        <v>46607693</v>
      </c>
      <c r="H493" s="26"/>
    </row>
    <row r="494" spans="1:8" ht="17.25" customHeight="1" x14ac:dyDescent="0.2">
      <c r="A494" s="26"/>
      <c r="B494" s="139">
        <f ca="1">IFERROR(__xludf.DUMMYFUNCTION("""COMPUTED_VALUE"""),45817.6666666666)</f>
        <v>45817.666666666599</v>
      </c>
      <c r="C494" s="141">
        <f ca="1">IFERROR(__xludf.DUMMYFUNCTION("""COMPUTED_VALUE"""),204.39)</f>
        <v>204.39</v>
      </c>
      <c r="D494" s="141">
        <f ca="1">IFERROR(__xludf.DUMMYFUNCTION("""COMPUTED_VALUE"""),206)</f>
        <v>206</v>
      </c>
      <c r="E494" s="141">
        <f ca="1">IFERROR(__xludf.DUMMYFUNCTION("""COMPUTED_VALUE"""),200.02)</f>
        <v>200.02</v>
      </c>
      <c r="F494" s="141">
        <f ca="1">IFERROR(__xludf.DUMMYFUNCTION("""COMPUTED_VALUE"""),201.45)</f>
        <v>201.45</v>
      </c>
      <c r="G494" s="143">
        <f ca="1">IFERROR(__xludf.DUMMYFUNCTION("""COMPUTED_VALUE"""),72862557)</f>
        <v>72862557</v>
      </c>
      <c r="H494" s="26"/>
    </row>
    <row r="495" spans="1:8" ht="17.25" customHeight="1" x14ac:dyDescent="0.2">
      <c r="A495" s="26"/>
      <c r="B495" s="139">
        <f ca="1">IFERROR(__xludf.DUMMYFUNCTION("""COMPUTED_VALUE"""),45818.6666666666)</f>
        <v>45818.666666666599</v>
      </c>
      <c r="C495" s="141">
        <f ca="1">IFERROR(__xludf.DUMMYFUNCTION("""COMPUTED_VALUE"""),200.6)</f>
        <v>200.6</v>
      </c>
      <c r="D495" s="141">
        <f ca="1">IFERROR(__xludf.DUMMYFUNCTION("""COMPUTED_VALUE"""),204.35)</f>
        <v>204.35</v>
      </c>
      <c r="E495" s="141">
        <f ca="1">IFERROR(__xludf.DUMMYFUNCTION("""COMPUTED_VALUE"""),200.57)</f>
        <v>200.57</v>
      </c>
      <c r="F495" s="141">
        <f ca="1">IFERROR(__xludf.DUMMYFUNCTION("""COMPUTED_VALUE"""),202.67)</f>
        <v>202.67</v>
      </c>
      <c r="G495" s="143">
        <f ca="1">IFERROR(__xludf.DUMMYFUNCTION("""COMPUTED_VALUE"""),54672608)</f>
        <v>54672608</v>
      </c>
      <c r="H495" s="26"/>
    </row>
    <row r="496" spans="1:8" ht="17.25" customHeight="1" x14ac:dyDescent="0.2">
      <c r="A496" s="26"/>
      <c r="B496" s="139">
        <f ca="1">IFERROR(__xludf.DUMMYFUNCTION("""COMPUTED_VALUE"""),45819.6666666666)</f>
        <v>45819.666666666599</v>
      </c>
      <c r="C496" s="141">
        <f ca="1">IFERROR(__xludf.DUMMYFUNCTION("""COMPUTED_VALUE"""),203.5)</f>
        <v>203.5</v>
      </c>
      <c r="D496" s="141">
        <f ca="1">IFERROR(__xludf.DUMMYFUNCTION("""COMPUTED_VALUE"""),204.5)</f>
        <v>204.5</v>
      </c>
      <c r="E496" s="141">
        <f ca="1">IFERROR(__xludf.DUMMYFUNCTION("""COMPUTED_VALUE"""),198.41)</f>
        <v>198.41</v>
      </c>
      <c r="F496" s="141">
        <f ca="1">IFERROR(__xludf.DUMMYFUNCTION("""COMPUTED_VALUE"""),198.78)</f>
        <v>198.78</v>
      </c>
      <c r="G496" s="143">
        <f ca="1">IFERROR(__xludf.DUMMYFUNCTION("""COMPUTED_VALUE"""),60989857)</f>
        <v>60989857</v>
      </c>
      <c r="H496" s="26"/>
    </row>
    <row r="497" spans="1:8" ht="17.25" customHeight="1" x14ac:dyDescent="0.2">
      <c r="A497" s="26"/>
      <c r="B497" s="139">
        <f ca="1">IFERROR(__xludf.DUMMYFUNCTION("""COMPUTED_VALUE"""),45820.6666666666)</f>
        <v>45820.666666666599</v>
      </c>
      <c r="C497" s="141">
        <f ca="1">IFERROR(__xludf.DUMMYFUNCTION("""COMPUTED_VALUE"""),199.08)</f>
        <v>199.08</v>
      </c>
      <c r="D497" s="141">
        <f ca="1">IFERROR(__xludf.DUMMYFUNCTION("""COMPUTED_VALUE"""),199.68)</f>
        <v>199.68</v>
      </c>
      <c r="E497" s="141">
        <f ca="1">IFERROR(__xludf.DUMMYFUNCTION("""COMPUTED_VALUE"""),197.36)</f>
        <v>197.36</v>
      </c>
      <c r="F497" s="141">
        <f ca="1">IFERROR(__xludf.DUMMYFUNCTION("""COMPUTED_VALUE"""),199.2)</f>
        <v>199.2</v>
      </c>
      <c r="G497" s="143">
        <f ca="1">IFERROR(__xludf.DUMMYFUNCTION("""COMPUTED_VALUE"""),43904635)</f>
        <v>43904635</v>
      </c>
      <c r="H497" s="26"/>
    </row>
    <row r="498" spans="1:8" ht="17.25" customHeight="1" x14ac:dyDescent="0.2">
      <c r="A498" s="26"/>
      <c r="B498" s="139">
        <f ca="1">IFERROR(__xludf.DUMMYFUNCTION("""COMPUTED_VALUE"""),45821.6666666666)</f>
        <v>45821.666666666599</v>
      </c>
      <c r="C498" s="141">
        <f ca="1">IFERROR(__xludf.DUMMYFUNCTION("""COMPUTED_VALUE"""),199.73)</f>
        <v>199.73</v>
      </c>
      <c r="D498" s="141">
        <f ca="1">IFERROR(__xludf.DUMMYFUNCTION("""COMPUTED_VALUE"""),200.37)</f>
        <v>200.37</v>
      </c>
      <c r="E498" s="141">
        <f ca="1">IFERROR(__xludf.DUMMYFUNCTION("""COMPUTED_VALUE"""),195.7)</f>
        <v>195.7</v>
      </c>
      <c r="F498" s="141">
        <f ca="1">IFERROR(__xludf.DUMMYFUNCTION("""COMPUTED_VALUE"""),196.45)</f>
        <v>196.45</v>
      </c>
      <c r="G498" s="143">
        <f ca="1">IFERROR(__xludf.DUMMYFUNCTION("""COMPUTED_VALUE"""),51447349)</f>
        <v>51447349</v>
      </c>
      <c r="H498" s="26"/>
    </row>
    <row r="499" spans="1:8" ht="17.25" customHeight="1" x14ac:dyDescent="0.2">
      <c r="A499" s="26"/>
      <c r="B499" s="139">
        <f ca="1">IFERROR(__xludf.DUMMYFUNCTION("""COMPUTED_VALUE"""),45824.6666666666)</f>
        <v>45824.666666666599</v>
      </c>
      <c r="C499" s="141">
        <f ca="1">IFERROR(__xludf.DUMMYFUNCTION("""COMPUTED_VALUE"""),197.3)</f>
        <v>197.3</v>
      </c>
      <c r="D499" s="141">
        <f ca="1">IFERROR(__xludf.DUMMYFUNCTION("""COMPUTED_VALUE"""),198.69)</f>
        <v>198.69</v>
      </c>
      <c r="E499" s="141">
        <f ca="1">IFERROR(__xludf.DUMMYFUNCTION("""COMPUTED_VALUE"""),196.56)</f>
        <v>196.56</v>
      </c>
      <c r="F499" s="141">
        <f ca="1">IFERROR(__xludf.DUMMYFUNCTION("""COMPUTED_VALUE"""),198.42)</f>
        <v>198.42</v>
      </c>
      <c r="G499" s="143">
        <f ca="1">IFERROR(__xludf.DUMMYFUNCTION("""COMPUTED_VALUE"""),43020691)</f>
        <v>43020691</v>
      </c>
      <c r="H499" s="26"/>
    </row>
    <row r="500" spans="1:8" ht="17.25" customHeight="1" x14ac:dyDescent="0.2">
      <c r="A500" s="26"/>
      <c r="B500" s="139">
        <f ca="1">IFERROR(__xludf.DUMMYFUNCTION("""COMPUTED_VALUE"""),45825.6666666666)</f>
        <v>45825.666666666599</v>
      </c>
      <c r="C500" s="141">
        <f ca="1">IFERROR(__xludf.DUMMYFUNCTION("""COMPUTED_VALUE"""),197.2)</f>
        <v>197.2</v>
      </c>
      <c r="D500" s="141">
        <f ca="1">IFERROR(__xludf.DUMMYFUNCTION("""COMPUTED_VALUE"""),198.39)</f>
        <v>198.39</v>
      </c>
      <c r="E500" s="141">
        <f ca="1">IFERROR(__xludf.DUMMYFUNCTION("""COMPUTED_VALUE"""),195.21)</f>
        <v>195.21</v>
      </c>
      <c r="F500" s="141">
        <f ca="1">IFERROR(__xludf.DUMMYFUNCTION("""COMPUTED_VALUE"""),195.64)</f>
        <v>195.64</v>
      </c>
      <c r="G500" s="143">
        <f ca="1">IFERROR(__xludf.DUMMYFUNCTION("""COMPUTED_VALUE"""),38856152)</f>
        <v>38856152</v>
      </c>
      <c r="H500" s="26"/>
    </row>
    <row r="501" spans="1:8" ht="17.25" customHeight="1" x14ac:dyDescent="0.2">
      <c r="A501" s="26"/>
      <c r="B501" s="139">
        <f ca="1">IFERROR(__xludf.DUMMYFUNCTION("""COMPUTED_VALUE"""),45826.6666666666)</f>
        <v>45826.666666666599</v>
      </c>
      <c r="C501" s="141">
        <f ca="1">IFERROR(__xludf.DUMMYFUNCTION("""COMPUTED_VALUE"""),195.94)</f>
        <v>195.94</v>
      </c>
      <c r="D501" s="141">
        <f ca="1">IFERROR(__xludf.DUMMYFUNCTION("""COMPUTED_VALUE"""),197.57)</f>
        <v>197.57</v>
      </c>
      <c r="E501" s="141">
        <f ca="1">IFERROR(__xludf.DUMMYFUNCTION("""COMPUTED_VALUE"""),195.07)</f>
        <v>195.07</v>
      </c>
      <c r="F501" s="141">
        <f ca="1">IFERROR(__xludf.DUMMYFUNCTION("""COMPUTED_VALUE"""),196.58)</f>
        <v>196.58</v>
      </c>
      <c r="G501" s="143">
        <f ca="1">IFERROR(__xludf.DUMMYFUNCTION("""COMPUTED_VALUE"""),45394689)</f>
        <v>45394689</v>
      </c>
      <c r="H501" s="26"/>
    </row>
    <row r="502" spans="1:8" ht="17.25" customHeight="1" x14ac:dyDescent="0.2">
      <c r="A502" s="26"/>
      <c r="B502" s="139">
        <f ca="1">IFERROR(__xludf.DUMMYFUNCTION("""COMPUTED_VALUE"""),45828.6666666666)</f>
        <v>45828.666666666599</v>
      </c>
      <c r="C502" s="141">
        <f ca="1">IFERROR(__xludf.DUMMYFUNCTION("""COMPUTED_VALUE"""),198.24)</f>
        <v>198.24</v>
      </c>
      <c r="D502" s="141">
        <f ca="1">IFERROR(__xludf.DUMMYFUNCTION("""COMPUTED_VALUE"""),201.7)</f>
        <v>201.7</v>
      </c>
      <c r="E502" s="141">
        <f ca="1">IFERROR(__xludf.DUMMYFUNCTION("""COMPUTED_VALUE"""),196.86)</f>
        <v>196.86</v>
      </c>
      <c r="F502" s="141">
        <f ca="1">IFERROR(__xludf.DUMMYFUNCTION("""COMPUTED_VALUE"""),201)</f>
        <v>201</v>
      </c>
      <c r="G502" s="143">
        <f ca="1">IFERROR(__xludf.DUMMYFUNCTION("""COMPUTED_VALUE"""),96813542)</f>
        <v>96813542</v>
      </c>
      <c r="H502" s="26"/>
    </row>
    <row r="503" spans="1:8" ht="17.25" customHeight="1" x14ac:dyDescent="0.2">
      <c r="A503" s="26"/>
      <c r="B503" s="139">
        <f ca="1">IFERROR(__xludf.DUMMYFUNCTION("""COMPUTED_VALUE"""),45831.6666666666)</f>
        <v>45831.666666666599</v>
      </c>
      <c r="C503" s="141">
        <f ca="1">IFERROR(__xludf.DUMMYFUNCTION("""COMPUTED_VALUE"""),201.63)</f>
        <v>201.63</v>
      </c>
      <c r="D503" s="141">
        <f ca="1">IFERROR(__xludf.DUMMYFUNCTION("""COMPUTED_VALUE"""),202.3)</f>
        <v>202.3</v>
      </c>
      <c r="E503" s="141">
        <f ca="1">IFERROR(__xludf.DUMMYFUNCTION("""COMPUTED_VALUE"""),198.96)</f>
        <v>198.96</v>
      </c>
      <c r="F503" s="141">
        <f ca="1">IFERROR(__xludf.DUMMYFUNCTION("""COMPUTED_VALUE"""),201.5)</f>
        <v>201.5</v>
      </c>
      <c r="G503" s="143">
        <f ca="1">IFERROR(__xludf.DUMMYFUNCTION("""COMPUTED_VALUE"""),55814272)</f>
        <v>55814272</v>
      </c>
      <c r="H503" s="26"/>
    </row>
    <row r="504" spans="1:8" ht="17.25" customHeight="1" x14ac:dyDescent="0.2">
      <c r="A504" s="26"/>
      <c r="B504" s="139">
        <f ca="1">IFERROR(__xludf.DUMMYFUNCTION("""COMPUTED_VALUE"""),45832.6666666666)</f>
        <v>45832.666666666599</v>
      </c>
      <c r="C504" s="141">
        <f ca="1">IFERROR(__xludf.DUMMYFUNCTION("""COMPUTED_VALUE"""),202.59)</f>
        <v>202.59</v>
      </c>
      <c r="D504" s="141">
        <f ca="1">IFERROR(__xludf.DUMMYFUNCTION("""COMPUTED_VALUE"""),203.44)</f>
        <v>203.44</v>
      </c>
      <c r="E504" s="141">
        <f ca="1">IFERROR(__xludf.DUMMYFUNCTION("""COMPUTED_VALUE"""),200.2)</f>
        <v>200.2</v>
      </c>
      <c r="F504" s="141">
        <f ca="1">IFERROR(__xludf.DUMMYFUNCTION("""COMPUTED_VALUE"""),200.3)</f>
        <v>200.3</v>
      </c>
      <c r="G504" s="143">
        <f ca="1">IFERROR(__xludf.DUMMYFUNCTION("""COMPUTED_VALUE"""),54064033)</f>
        <v>54064033</v>
      </c>
      <c r="H504" s="26"/>
    </row>
    <row r="505" spans="1:8" ht="17.25" customHeight="1" x14ac:dyDescent="0.2">
      <c r="A505" s="26"/>
      <c r="B505" s="139">
        <f ca="1">IFERROR(__xludf.DUMMYFUNCTION("""COMPUTED_VALUE"""),45833.6666666666)</f>
        <v>45833.666666666599</v>
      </c>
      <c r="C505" s="141">
        <f ca="1">IFERROR(__xludf.DUMMYFUNCTION("""COMPUTED_VALUE"""),201.45)</f>
        <v>201.45</v>
      </c>
      <c r="D505" s="141">
        <f ca="1">IFERROR(__xludf.DUMMYFUNCTION("""COMPUTED_VALUE"""),203.67)</f>
        <v>203.67</v>
      </c>
      <c r="E505" s="141">
        <f ca="1">IFERROR(__xludf.DUMMYFUNCTION("""COMPUTED_VALUE"""),200.62)</f>
        <v>200.62</v>
      </c>
      <c r="F505" s="141">
        <f ca="1">IFERROR(__xludf.DUMMYFUNCTION("""COMPUTED_VALUE"""),201.56)</f>
        <v>201.56</v>
      </c>
      <c r="G505" s="143">
        <f ca="1">IFERROR(__xludf.DUMMYFUNCTION("""COMPUTED_VALUE"""),39525730)</f>
        <v>39525730</v>
      </c>
      <c r="H505" s="26"/>
    </row>
    <row r="506" spans="1:8" ht="17.25" customHeight="1" x14ac:dyDescent="0.2">
      <c r="A506" s="26"/>
      <c r="B506" s="139">
        <f ca="1">IFERROR(__xludf.DUMMYFUNCTION("""COMPUTED_VALUE"""),45834.6666666666)</f>
        <v>45834.666666666599</v>
      </c>
      <c r="C506" s="141">
        <f ca="1">IFERROR(__xludf.DUMMYFUNCTION("""COMPUTED_VALUE"""),201.43)</f>
        <v>201.43</v>
      </c>
      <c r="D506" s="141">
        <f ca="1">IFERROR(__xludf.DUMMYFUNCTION("""COMPUTED_VALUE"""),202.64)</f>
        <v>202.64</v>
      </c>
      <c r="E506" s="141">
        <f ca="1">IFERROR(__xludf.DUMMYFUNCTION("""COMPUTED_VALUE"""),199.46)</f>
        <v>199.46</v>
      </c>
      <c r="F506" s="141">
        <f ca="1">IFERROR(__xludf.DUMMYFUNCTION("""COMPUTED_VALUE"""),201)</f>
        <v>201</v>
      </c>
      <c r="G506" s="143">
        <f ca="1">IFERROR(__xludf.DUMMYFUNCTION("""COMPUTED_VALUE"""),50799121)</f>
        <v>50799121</v>
      </c>
      <c r="H506" s="26"/>
    </row>
    <row r="507" spans="1:8" ht="17.25" customHeight="1" x14ac:dyDescent="0.2">
      <c r="A507" s="26"/>
      <c r="B507" s="139">
        <f ca="1">IFERROR(__xludf.DUMMYFUNCTION("""COMPUTED_VALUE"""),45835.6666666666)</f>
        <v>45835.666666666599</v>
      </c>
      <c r="C507" s="141">
        <f ca="1">IFERROR(__xludf.DUMMYFUNCTION("""COMPUTED_VALUE"""),201.89)</f>
        <v>201.89</v>
      </c>
      <c r="D507" s="141">
        <f ca="1">IFERROR(__xludf.DUMMYFUNCTION("""COMPUTED_VALUE"""),203.22)</f>
        <v>203.22</v>
      </c>
      <c r="E507" s="141">
        <f ca="1">IFERROR(__xludf.DUMMYFUNCTION("""COMPUTED_VALUE"""),200)</f>
        <v>200</v>
      </c>
      <c r="F507" s="141">
        <f ca="1">IFERROR(__xludf.DUMMYFUNCTION("""COMPUTED_VALUE"""),201.08)</f>
        <v>201.08</v>
      </c>
      <c r="G507" s="143">
        <f ca="1">IFERROR(__xludf.DUMMYFUNCTION("""COMPUTED_VALUE"""),73188571)</f>
        <v>73188571</v>
      </c>
      <c r="H507" s="26"/>
    </row>
    <row r="508" spans="1:8" ht="17.25" customHeight="1" x14ac:dyDescent="0.2">
      <c r="A508" s="26"/>
      <c r="B508" s="139">
        <f ca="1">IFERROR(__xludf.DUMMYFUNCTION("""COMPUTED_VALUE"""),45838.6666666666)</f>
        <v>45838.666666666599</v>
      </c>
      <c r="C508" s="141">
        <f ca="1">IFERROR(__xludf.DUMMYFUNCTION("""COMPUTED_VALUE"""),202.01)</f>
        <v>202.01</v>
      </c>
      <c r="D508" s="141">
        <f ca="1">IFERROR(__xludf.DUMMYFUNCTION("""COMPUTED_VALUE"""),207.39)</f>
        <v>207.39</v>
      </c>
      <c r="E508" s="141">
        <f ca="1">IFERROR(__xludf.DUMMYFUNCTION("""COMPUTED_VALUE"""),199.26)</f>
        <v>199.26</v>
      </c>
      <c r="F508" s="141">
        <f ca="1">IFERROR(__xludf.DUMMYFUNCTION("""COMPUTED_VALUE"""),205.17)</f>
        <v>205.17</v>
      </c>
      <c r="G508" s="143">
        <f ca="1">IFERROR(__xludf.DUMMYFUNCTION("""COMPUTED_VALUE"""),91912816)</f>
        <v>91912816</v>
      </c>
      <c r="H508" s="26"/>
    </row>
    <row r="509" spans="1:8" ht="17.25" customHeight="1" x14ac:dyDescent="0.2">
      <c r="A509" s="26"/>
      <c r="B509" s="139">
        <f ca="1">IFERROR(__xludf.DUMMYFUNCTION("""COMPUTED_VALUE"""),45839.6666666666)</f>
        <v>45839.666666666599</v>
      </c>
      <c r="C509" s="141">
        <f ca="1">IFERROR(__xludf.DUMMYFUNCTION("""COMPUTED_VALUE"""),206.67)</f>
        <v>206.67</v>
      </c>
      <c r="D509" s="141">
        <f ca="1">IFERROR(__xludf.DUMMYFUNCTION("""COMPUTED_VALUE"""),210.19)</f>
        <v>210.19</v>
      </c>
      <c r="E509" s="141">
        <f ca="1">IFERROR(__xludf.DUMMYFUNCTION("""COMPUTED_VALUE"""),206.14)</f>
        <v>206.14</v>
      </c>
      <c r="F509" s="141">
        <f ca="1">IFERROR(__xludf.DUMMYFUNCTION("""COMPUTED_VALUE"""),207.82)</f>
        <v>207.82</v>
      </c>
      <c r="G509" s="143">
        <f ca="1">IFERROR(__xludf.DUMMYFUNCTION("""COMPUTED_VALUE"""),78788867)</f>
        <v>78788867</v>
      </c>
      <c r="H509" s="26"/>
    </row>
    <row r="510" spans="1:8" ht="17.25" customHeight="1" x14ac:dyDescent="0.2">
      <c r="A510" s="26"/>
      <c r="B510" s="139">
        <f ca="1">IFERROR(__xludf.DUMMYFUNCTION("""COMPUTED_VALUE"""),45840.6666666666)</f>
        <v>45840.666666666599</v>
      </c>
      <c r="C510" s="141">
        <f ca="1">IFERROR(__xludf.DUMMYFUNCTION("""COMPUTED_VALUE"""),208.91)</f>
        <v>208.91</v>
      </c>
      <c r="D510" s="141">
        <f ca="1">IFERROR(__xludf.DUMMYFUNCTION("""COMPUTED_VALUE"""),213.34)</f>
        <v>213.34</v>
      </c>
      <c r="E510" s="141">
        <f ca="1">IFERROR(__xludf.DUMMYFUNCTION("""COMPUTED_VALUE"""),208.14)</f>
        <v>208.14</v>
      </c>
      <c r="F510" s="141">
        <f ca="1">IFERROR(__xludf.DUMMYFUNCTION("""COMPUTED_VALUE"""),212.44)</f>
        <v>212.44</v>
      </c>
      <c r="G510" s="143">
        <f ca="1">IFERROR(__xludf.DUMMYFUNCTION("""COMPUTED_VALUE"""),67941811)</f>
        <v>67941811</v>
      </c>
      <c r="H510" s="26"/>
    </row>
    <row r="511" spans="1:8" ht="17.25" customHeight="1" x14ac:dyDescent="0.2">
      <c r="A511" s="26"/>
      <c r="B511" s="139">
        <f ca="1">IFERROR(__xludf.DUMMYFUNCTION("""COMPUTED_VALUE"""),45841.5451388888)</f>
        <v>45841.545138888803</v>
      </c>
      <c r="C511" s="141">
        <f ca="1">IFERROR(__xludf.DUMMYFUNCTION("""COMPUTED_VALUE"""),212.15)</f>
        <v>212.15</v>
      </c>
      <c r="D511" s="141">
        <f ca="1">IFERROR(__xludf.DUMMYFUNCTION("""COMPUTED_VALUE"""),214.65)</f>
        <v>214.65</v>
      </c>
      <c r="E511" s="141">
        <f ca="1">IFERROR(__xludf.DUMMYFUNCTION("""COMPUTED_VALUE"""),211.81)</f>
        <v>211.81</v>
      </c>
      <c r="F511" s="141">
        <f ca="1">IFERROR(__xludf.DUMMYFUNCTION("""COMPUTED_VALUE"""),213.55)</f>
        <v>213.55</v>
      </c>
      <c r="G511" s="143">
        <f ca="1">IFERROR(__xludf.DUMMYFUNCTION("""COMPUTED_VALUE"""),34955836)</f>
        <v>34955836</v>
      </c>
      <c r="H511" s="26"/>
    </row>
    <row r="512" spans="1:8" ht="17.25" customHeight="1" x14ac:dyDescent="0.2">
      <c r="A512" s="26"/>
      <c r="B512" s="139">
        <f ca="1">IFERROR(__xludf.DUMMYFUNCTION("""COMPUTED_VALUE"""),45845.6666666666)</f>
        <v>45845.666666666599</v>
      </c>
      <c r="C512" s="141">
        <f ca="1">IFERROR(__xludf.DUMMYFUNCTION("""COMPUTED_VALUE"""),212.68)</f>
        <v>212.68</v>
      </c>
      <c r="D512" s="141">
        <f ca="1">IFERROR(__xludf.DUMMYFUNCTION("""COMPUTED_VALUE"""),216.23)</f>
        <v>216.23</v>
      </c>
      <c r="E512" s="141">
        <f ca="1">IFERROR(__xludf.DUMMYFUNCTION("""COMPUTED_VALUE"""),208.8)</f>
        <v>208.8</v>
      </c>
      <c r="F512" s="141">
        <f ca="1">IFERROR(__xludf.DUMMYFUNCTION("""COMPUTED_VALUE"""),209.95)</f>
        <v>209.95</v>
      </c>
      <c r="G512" s="143">
        <f ca="1">IFERROR(__xludf.DUMMYFUNCTION("""COMPUTED_VALUE"""),50228984)</f>
        <v>50228984</v>
      </c>
      <c r="H512" s="26"/>
    </row>
    <row r="513" spans="1:8" ht="17.25" customHeight="1" x14ac:dyDescent="0.2">
      <c r="A513" s="26"/>
      <c r="B513" s="139">
        <f ca="1">IFERROR(__xludf.DUMMYFUNCTION("""COMPUTED_VALUE"""),45846.6666666666)</f>
        <v>45846.666666666599</v>
      </c>
      <c r="C513" s="141">
        <f ca="1">IFERROR(__xludf.DUMMYFUNCTION("""COMPUTED_VALUE"""),210.1)</f>
        <v>210.1</v>
      </c>
      <c r="D513" s="141">
        <f ca="1">IFERROR(__xludf.DUMMYFUNCTION("""COMPUTED_VALUE"""),211.43)</f>
        <v>211.43</v>
      </c>
      <c r="E513" s="141">
        <f ca="1">IFERROR(__xludf.DUMMYFUNCTION("""COMPUTED_VALUE"""),208.45)</f>
        <v>208.45</v>
      </c>
      <c r="F513" s="141">
        <f ca="1">IFERROR(__xludf.DUMMYFUNCTION("""COMPUTED_VALUE"""),210.01)</f>
        <v>210.01</v>
      </c>
      <c r="G513" s="143">
        <f ca="1">IFERROR(__xludf.DUMMYFUNCTION("""COMPUTED_VALUE"""),42848928)</f>
        <v>42848928</v>
      </c>
      <c r="H513" s="26"/>
    </row>
    <row r="514" spans="1:8" ht="17.25" customHeight="1" x14ac:dyDescent="0.2">
      <c r="A514" s="26"/>
      <c r="B514" s="139">
        <f ca="1">IFERROR(__xludf.DUMMYFUNCTION("""COMPUTED_VALUE"""),45847.6666666666)</f>
        <v>45847.666666666599</v>
      </c>
      <c r="C514" s="141">
        <f ca="1">IFERROR(__xludf.DUMMYFUNCTION("""COMPUTED_VALUE"""),209.53)</f>
        <v>209.53</v>
      </c>
      <c r="D514" s="141">
        <f ca="1">IFERROR(__xludf.DUMMYFUNCTION("""COMPUTED_VALUE"""),211.33)</f>
        <v>211.33</v>
      </c>
      <c r="E514" s="141">
        <f ca="1">IFERROR(__xludf.DUMMYFUNCTION("""COMPUTED_VALUE"""),207.22)</f>
        <v>207.22</v>
      </c>
      <c r="F514" s="141">
        <f ca="1">IFERROR(__xludf.DUMMYFUNCTION("""COMPUTED_VALUE"""),211.14)</f>
        <v>211.14</v>
      </c>
      <c r="G514" s="143">
        <f ca="1">IFERROR(__xludf.DUMMYFUNCTION("""COMPUTED_VALUE"""),48749367)</f>
        <v>48749367</v>
      </c>
      <c r="H514" s="26"/>
    </row>
    <row r="515" spans="1:8" ht="17.25" customHeight="1" x14ac:dyDescent="0.2">
      <c r="A515" s="26"/>
      <c r="B515" s="139">
        <f ca="1">IFERROR(__xludf.DUMMYFUNCTION("""COMPUTED_VALUE"""),45848.6666666666)</f>
        <v>45848.666666666599</v>
      </c>
      <c r="C515" s="141">
        <f ca="1">IFERROR(__xludf.DUMMYFUNCTION("""COMPUTED_VALUE"""),210.51)</f>
        <v>210.51</v>
      </c>
      <c r="D515" s="141">
        <f ca="1">IFERROR(__xludf.DUMMYFUNCTION("""COMPUTED_VALUE"""),213.48)</f>
        <v>213.48</v>
      </c>
      <c r="E515" s="141">
        <f ca="1">IFERROR(__xludf.DUMMYFUNCTION("""COMPUTED_VALUE"""),210.03)</f>
        <v>210.03</v>
      </c>
      <c r="F515" s="141">
        <f ca="1">IFERROR(__xludf.DUMMYFUNCTION("""COMPUTED_VALUE"""),212.41)</f>
        <v>212.41</v>
      </c>
      <c r="G515" s="143">
        <f ca="1">IFERROR(__xludf.DUMMYFUNCTION("""COMPUTED_VALUE"""),44443635)</f>
        <v>44443635</v>
      </c>
      <c r="H515" s="26"/>
    </row>
    <row r="516" spans="1:8" ht="17.25" customHeight="1" x14ac:dyDescent="0.2">
      <c r="A516" s="26"/>
      <c r="B516" s="139">
        <f ca="1">IFERROR(__xludf.DUMMYFUNCTION("""COMPUTED_VALUE"""),45849.6666666666)</f>
        <v>45849.666666666599</v>
      </c>
      <c r="C516" s="141">
        <f ca="1">IFERROR(__xludf.DUMMYFUNCTION("""COMPUTED_VALUE"""),210.57)</f>
        <v>210.57</v>
      </c>
      <c r="D516" s="141">
        <f ca="1">IFERROR(__xludf.DUMMYFUNCTION("""COMPUTED_VALUE"""),212.13)</f>
        <v>212.13</v>
      </c>
      <c r="E516" s="141">
        <f ca="1">IFERROR(__xludf.DUMMYFUNCTION("""COMPUTED_VALUE"""),209.86)</f>
        <v>209.86</v>
      </c>
      <c r="F516" s="141">
        <f ca="1">IFERROR(__xludf.DUMMYFUNCTION("""COMPUTED_VALUE"""),211.16)</f>
        <v>211.16</v>
      </c>
      <c r="G516" s="143">
        <f ca="1">IFERROR(__xludf.DUMMYFUNCTION("""COMPUTED_VALUE"""),39765812)</f>
        <v>39765812</v>
      </c>
      <c r="H516" s="26"/>
    </row>
    <row r="517" spans="1:8" ht="17.25" customHeight="1" x14ac:dyDescent="0.2">
      <c r="A517" s="26"/>
      <c r="B517" s="139">
        <f ca="1">IFERROR(__xludf.DUMMYFUNCTION("""COMPUTED_VALUE"""),45852.6666666666)</f>
        <v>45852.666666666599</v>
      </c>
      <c r="C517" s="141">
        <f ca="1">IFERROR(__xludf.DUMMYFUNCTION("""COMPUTED_VALUE"""),209.93)</f>
        <v>209.93</v>
      </c>
      <c r="D517" s="141">
        <f ca="1">IFERROR(__xludf.DUMMYFUNCTION("""COMPUTED_VALUE"""),210.91)</f>
        <v>210.91</v>
      </c>
      <c r="E517" s="141">
        <f ca="1">IFERROR(__xludf.DUMMYFUNCTION("""COMPUTED_VALUE"""),207.54)</f>
        <v>207.54</v>
      </c>
      <c r="F517" s="141">
        <f ca="1">IFERROR(__xludf.DUMMYFUNCTION("""COMPUTED_VALUE"""),208.62)</f>
        <v>208.62</v>
      </c>
      <c r="G517" s="143">
        <f ca="1">IFERROR(__xludf.DUMMYFUNCTION("""COMPUTED_VALUE"""),38840111)</f>
        <v>38840111</v>
      </c>
      <c r="H517" s="26"/>
    </row>
    <row r="518" spans="1:8" ht="17.25" customHeight="1" x14ac:dyDescent="0.2">
      <c r="A518" s="26"/>
      <c r="B518" s="139">
        <f ca="1">IFERROR(__xludf.DUMMYFUNCTION("""COMPUTED_VALUE"""),45853.6666666666)</f>
        <v>45853.666666666599</v>
      </c>
      <c r="C518" s="141">
        <f ca="1">IFERROR(__xludf.DUMMYFUNCTION("""COMPUTED_VALUE"""),209.22)</f>
        <v>209.22</v>
      </c>
      <c r="D518" s="141">
        <f ca="1">IFERROR(__xludf.DUMMYFUNCTION("""COMPUTED_VALUE"""),211.89)</f>
        <v>211.89</v>
      </c>
      <c r="E518" s="141">
        <f ca="1">IFERROR(__xludf.DUMMYFUNCTION("""COMPUTED_VALUE"""),208.92)</f>
        <v>208.92</v>
      </c>
      <c r="F518" s="141">
        <f ca="1">IFERROR(__xludf.DUMMYFUNCTION("""COMPUTED_VALUE"""),209.11)</f>
        <v>209.11</v>
      </c>
      <c r="G518" s="143">
        <f ca="1">IFERROR(__xludf.DUMMYFUNCTION("""COMPUTED_VALUE"""),42296339)</f>
        <v>42296339</v>
      </c>
      <c r="H518" s="26"/>
    </row>
    <row r="519" spans="1:8" ht="17.25" customHeight="1" x14ac:dyDescent="0.2">
      <c r="A519" s="26"/>
      <c r="B519" s="139">
        <f ca="1">IFERROR(__xludf.DUMMYFUNCTION("""COMPUTED_VALUE"""),45854.6666666666)</f>
        <v>45854.666666666599</v>
      </c>
      <c r="C519" s="141">
        <f ca="1">IFERROR(__xludf.DUMMYFUNCTION("""COMPUTED_VALUE"""),210.3)</f>
        <v>210.3</v>
      </c>
      <c r="D519" s="141">
        <f ca="1">IFERROR(__xludf.DUMMYFUNCTION("""COMPUTED_VALUE"""),212.4)</f>
        <v>212.4</v>
      </c>
      <c r="E519" s="141">
        <f ca="1">IFERROR(__xludf.DUMMYFUNCTION("""COMPUTED_VALUE"""),208.64)</f>
        <v>208.64</v>
      </c>
      <c r="F519" s="141">
        <f ca="1">IFERROR(__xludf.DUMMYFUNCTION("""COMPUTED_VALUE"""),210.16)</f>
        <v>210.16</v>
      </c>
      <c r="G519" s="143">
        <f ca="1">IFERROR(__xludf.DUMMYFUNCTION("""COMPUTED_VALUE"""),47490532)</f>
        <v>47490532</v>
      </c>
      <c r="H519" s="26"/>
    </row>
    <row r="520" spans="1:8" ht="17.25" customHeight="1" x14ac:dyDescent="0.2">
      <c r="A520" s="26"/>
      <c r="B520" s="139">
        <f ca="1">IFERROR(__xludf.DUMMYFUNCTION("""COMPUTED_VALUE"""),45855.6666666666)</f>
        <v>45855.666666666599</v>
      </c>
      <c r="C520" s="141">
        <f ca="1">IFERROR(__xludf.DUMMYFUNCTION("""COMPUTED_VALUE"""),210.57)</f>
        <v>210.57</v>
      </c>
      <c r="D520" s="141">
        <f ca="1">IFERROR(__xludf.DUMMYFUNCTION("""COMPUTED_VALUE"""),211.8)</f>
        <v>211.8</v>
      </c>
      <c r="E520" s="141">
        <f ca="1">IFERROR(__xludf.DUMMYFUNCTION("""COMPUTED_VALUE"""),209.59)</f>
        <v>209.59</v>
      </c>
      <c r="F520" s="141">
        <f ca="1">IFERROR(__xludf.DUMMYFUNCTION("""COMPUTED_VALUE"""),210.02)</f>
        <v>210.02</v>
      </c>
      <c r="G520" s="143">
        <f ca="1">IFERROR(__xludf.DUMMYFUNCTION("""COMPUTED_VALUE"""),48068141)</f>
        <v>48068141</v>
      </c>
      <c r="H520" s="26"/>
    </row>
    <row r="521" spans="1:8" ht="17.25" customHeight="1" x14ac:dyDescent="0.2">
      <c r="A521" s="26"/>
      <c r="B521" s="139">
        <f ca="1">IFERROR(__xludf.DUMMYFUNCTION("""COMPUTED_VALUE"""),45856.6666666666)</f>
        <v>45856.666666666599</v>
      </c>
      <c r="C521" s="141">
        <f ca="1">IFERROR(__xludf.DUMMYFUNCTION("""COMPUTED_VALUE"""),210.87)</f>
        <v>210.87</v>
      </c>
      <c r="D521" s="141">
        <f ca="1">IFERROR(__xludf.DUMMYFUNCTION("""COMPUTED_VALUE"""),211.79)</f>
        <v>211.79</v>
      </c>
      <c r="E521" s="141">
        <f ca="1">IFERROR(__xludf.DUMMYFUNCTION("""COMPUTED_VALUE"""),209.7)</f>
        <v>209.7</v>
      </c>
      <c r="F521" s="141">
        <f ca="1">IFERROR(__xludf.DUMMYFUNCTION("""COMPUTED_VALUE"""),211.18)</f>
        <v>211.18</v>
      </c>
      <c r="G521" s="143">
        <f ca="1">IFERROR(__xludf.DUMMYFUNCTION("""COMPUTED_VALUE"""),48974591)</f>
        <v>48974591</v>
      </c>
      <c r="H521" s="26"/>
    </row>
    <row r="522" spans="1:8" ht="17.25" customHeight="1" x14ac:dyDescent="0.2">
      <c r="A522" s="26"/>
      <c r="B522" s="139">
        <f ca="1">IFERROR(__xludf.DUMMYFUNCTION("""COMPUTED_VALUE"""),45859.6666666666)</f>
        <v>45859.666666666599</v>
      </c>
      <c r="C522" s="141">
        <f ca="1">IFERROR(__xludf.DUMMYFUNCTION("""COMPUTED_VALUE"""),212.1)</f>
        <v>212.1</v>
      </c>
      <c r="D522" s="141">
        <f ca="1">IFERROR(__xludf.DUMMYFUNCTION("""COMPUTED_VALUE"""),215.78)</f>
        <v>215.78</v>
      </c>
      <c r="E522" s="141">
        <f ca="1">IFERROR(__xludf.DUMMYFUNCTION("""COMPUTED_VALUE"""),211.63)</f>
        <v>211.63</v>
      </c>
      <c r="F522" s="141">
        <f ca="1">IFERROR(__xludf.DUMMYFUNCTION("""COMPUTED_VALUE"""),212.48)</f>
        <v>212.48</v>
      </c>
      <c r="G522" s="143">
        <f ca="1">IFERROR(__xludf.DUMMYFUNCTION("""COMPUTED_VALUE"""),51377434)</f>
        <v>51377434</v>
      </c>
      <c r="H522" s="26"/>
    </row>
    <row r="523" spans="1:8" ht="17.25" customHeight="1" x14ac:dyDescent="0.2">
      <c r="A523" s="26"/>
      <c r="B523" s="139">
        <f ca="1">IFERROR(__xludf.DUMMYFUNCTION("""COMPUTED_VALUE"""),45860.6666666666)</f>
        <v>45860.666666666599</v>
      </c>
      <c r="C523" s="141">
        <f ca="1">IFERROR(__xludf.DUMMYFUNCTION("""COMPUTED_VALUE"""),213.14)</f>
        <v>213.14</v>
      </c>
      <c r="D523" s="141">
        <f ca="1">IFERROR(__xludf.DUMMYFUNCTION("""COMPUTED_VALUE"""),214.95)</f>
        <v>214.95</v>
      </c>
      <c r="E523" s="141">
        <f ca="1">IFERROR(__xludf.DUMMYFUNCTION("""COMPUTED_VALUE"""),212.23)</f>
        <v>212.23</v>
      </c>
      <c r="F523" s="141">
        <f ca="1">IFERROR(__xludf.DUMMYFUNCTION("""COMPUTED_VALUE"""),214.4)</f>
        <v>214.4</v>
      </c>
      <c r="G523" s="143">
        <f ca="1">IFERROR(__xludf.DUMMYFUNCTION("""COMPUTED_VALUE"""),46404072)</f>
        <v>46404072</v>
      </c>
      <c r="H523" s="26"/>
    </row>
    <row r="524" spans="1:8" ht="17.25" customHeight="1" x14ac:dyDescent="0.2">
      <c r="A524" s="26"/>
      <c r="B524" s="139">
        <f ca="1">IFERROR(__xludf.DUMMYFUNCTION("""COMPUTED_VALUE"""),45861.6666666666)</f>
        <v>45861.666666666599</v>
      </c>
      <c r="C524" s="141">
        <f ca="1">IFERROR(__xludf.DUMMYFUNCTION("""COMPUTED_VALUE"""),215)</f>
        <v>215</v>
      </c>
      <c r="D524" s="141">
        <f ca="1">IFERROR(__xludf.DUMMYFUNCTION("""COMPUTED_VALUE"""),215.15)</f>
        <v>215.15</v>
      </c>
      <c r="E524" s="141">
        <f ca="1">IFERROR(__xludf.DUMMYFUNCTION("""COMPUTED_VALUE"""),212.41)</f>
        <v>212.41</v>
      </c>
      <c r="F524" s="141">
        <f ca="1">IFERROR(__xludf.DUMMYFUNCTION("""COMPUTED_VALUE"""),214.15)</f>
        <v>214.15</v>
      </c>
      <c r="G524" s="143">
        <f ca="1">IFERROR(__xludf.DUMMYFUNCTION("""COMPUTED_VALUE"""),46989301)</f>
        <v>46989301</v>
      </c>
      <c r="H524" s="26"/>
    </row>
    <row r="525" spans="1:8" ht="17.25" customHeight="1" x14ac:dyDescent="0.2">
      <c r="A525" s="26"/>
      <c r="B525" s="139">
        <f ca="1">IFERROR(__xludf.DUMMYFUNCTION("""COMPUTED_VALUE"""),45862.6666666666)</f>
        <v>45862.666666666599</v>
      </c>
      <c r="C525" s="141">
        <f ca="1">IFERROR(__xludf.DUMMYFUNCTION("""COMPUTED_VALUE"""),213.9)</f>
        <v>213.9</v>
      </c>
      <c r="D525" s="141">
        <f ca="1">IFERROR(__xludf.DUMMYFUNCTION("""COMPUTED_VALUE"""),215.69)</f>
        <v>215.69</v>
      </c>
      <c r="E525" s="141">
        <f ca="1">IFERROR(__xludf.DUMMYFUNCTION("""COMPUTED_VALUE"""),213.53)</f>
        <v>213.53</v>
      </c>
      <c r="F525" s="141">
        <f ca="1">IFERROR(__xludf.DUMMYFUNCTION("""COMPUTED_VALUE"""),213.76)</f>
        <v>213.76</v>
      </c>
      <c r="G525" s="143">
        <f ca="1">IFERROR(__xludf.DUMMYFUNCTION("""COMPUTED_VALUE"""),46022620)</f>
        <v>46022620</v>
      </c>
      <c r="H525" s="26"/>
    </row>
    <row r="526" spans="1:8" ht="17.25" customHeight="1" x14ac:dyDescent="0.2">
      <c r="A526" s="26"/>
      <c r="B526" s="139">
        <f ca="1">IFERROR(__xludf.DUMMYFUNCTION("""COMPUTED_VALUE"""),45863.6666666666)</f>
        <v>45863.666666666599</v>
      </c>
      <c r="C526" s="141">
        <f ca="1">IFERROR(__xludf.DUMMYFUNCTION("""COMPUTED_VALUE"""),214.7)</f>
        <v>214.7</v>
      </c>
      <c r="D526" s="141">
        <f ca="1">IFERROR(__xludf.DUMMYFUNCTION("""COMPUTED_VALUE"""),215.24)</f>
        <v>215.24</v>
      </c>
      <c r="E526" s="141">
        <f ca="1">IFERROR(__xludf.DUMMYFUNCTION("""COMPUTED_VALUE"""),213.4)</f>
        <v>213.4</v>
      </c>
      <c r="F526" s="141">
        <f ca="1">IFERROR(__xludf.DUMMYFUNCTION("""COMPUTED_VALUE"""),213.88)</f>
        <v>213.88</v>
      </c>
      <c r="G526" s="143">
        <f ca="1">IFERROR(__xludf.DUMMYFUNCTION("""COMPUTED_VALUE"""),40268781)</f>
        <v>40268781</v>
      </c>
      <c r="H526" s="26"/>
    </row>
    <row r="527" spans="1:8" ht="17.25" customHeight="1" x14ac:dyDescent="0.2">
      <c r="A527" s="26"/>
      <c r="B527" s="139">
        <f ca="1">IFERROR(__xludf.DUMMYFUNCTION("""COMPUTED_VALUE"""),45866.6666666666)</f>
        <v>45866.666666666599</v>
      </c>
      <c r="C527" s="141">
        <f ca="1">IFERROR(__xludf.DUMMYFUNCTION("""COMPUTED_VALUE"""),214.03)</f>
        <v>214.03</v>
      </c>
      <c r="D527" s="141">
        <f ca="1">IFERROR(__xludf.DUMMYFUNCTION("""COMPUTED_VALUE"""),214.85)</f>
        <v>214.85</v>
      </c>
      <c r="E527" s="141">
        <f ca="1">IFERROR(__xludf.DUMMYFUNCTION("""COMPUTED_VALUE"""),213.06)</f>
        <v>213.06</v>
      </c>
      <c r="F527" s="141">
        <f ca="1">IFERROR(__xludf.DUMMYFUNCTION("""COMPUTED_VALUE"""),214.05)</f>
        <v>214.05</v>
      </c>
      <c r="G527" s="143">
        <f ca="1">IFERROR(__xludf.DUMMYFUNCTION("""COMPUTED_VALUE"""),37858017)</f>
        <v>37858017</v>
      </c>
      <c r="H527" s="26"/>
    </row>
    <row r="528" spans="1:8" ht="17.25" customHeight="1" x14ac:dyDescent="0.2">
      <c r="A528" s="26"/>
      <c r="B528" s="139">
        <f ca="1">IFERROR(__xludf.DUMMYFUNCTION("""COMPUTED_VALUE"""),45867.6666666666)</f>
        <v>45867.666666666599</v>
      </c>
      <c r="C528" s="141">
        <f ca="1">IFERROR(__xludf.DUMMYFUNCTION("""COMPUTED_VALUE"""),214.18)</f>
        <v>214.18</v>
      </c>
      <c r="D528" s="141">
        <f ca="1">IFERROR(__xludf.DUMMYFUNCTION("""COMPUTED_VALUE"""),214.81)</f>
        <v>214.81</v>
      </c>
      <c r="E528" s="141">
        <f ca="1">IFERROR(__xludf.DUMMYFUNCTION("""COMPUTED_VALUE"""),210.82)</f>
        <v>210.82</v>
      </c>
      <c r="F528" s="141">
        <f ca="1">IFERROR(__xludf.DUMMYFUNCTION("""COMPUTED_VALUE"""),211.27)</f>
        <v>211.27</v>
      </c>
      <c r="G528" s="143">
        <f ca="1">IFERROR(__xludf.DUMMYFUNCTION("""COMPUTED_VALUE"""),51411723)</f>
        <v>51411723</v>
      </c>
      <c r="H528" s="26"/>
    </row>
    <row r="529" spans="1:8" ht="17.25" customHeight="1" x14ac:dyDescent="0.2">
      <c r="A529" s="26"/>
      <c r="B529" s="139">
        <f ca="1">IFERROR(__xludf.DUMMYFUNCTION("""COMPUTED_VALUE"""),45868.6666666666)</f>
        <v>45868.666666666599</v>
      </c>
      <c r="C529" s="141">
        <f ca="1">IFERROR(__xludf.DUMMYFUNCTION("""COMPUTED_VALUE"""),211.9)</f>
        <v>211.9</v>
      </c>
      <c r="D529" s="141">
        <f ca="1">IFERROR(__xludf.DUMMYFUNCTION("""COMPUTED_VALUE"""),212.39)</f>
        <v>212.39</v>
      </c>
      <c r="E529" s="141">
        <f ca="1">IFERROR(__xludf.DUMMYFUNCTION("""COMPUTED_VALUE"""),207.72)</f>
        <v>207.72</v>
      </c>
      <c r="F529" s="141">
        <f ca="1">IFERROR(__xludf.DUMMYFUNCTION("""COMPUTED_VALUE"""),209.05)</f>
        <v>209.05</v>
      </c>
      <c r="G529" s="143">
        <f ca="1">IFERROR(__xludf.DUMMYFUNCTION("""COMPUTED_VALUE"""),45512514)</f>
        <v>45512514</v>
      </c>
      <c r="H529" s="26"/>
    </row>
    <row r="530" spans="1:8" ht="17.25" customHeight="1" x14ac:dyDescent="0.2">
      <c r="A530" s="26"/>
      <c r="B530" s="139">
        <f ca="1">IFERROR(__xludf.DUMMYFUNCTION("""COMPUTED_VALUE"""),45869.6666666666)</f>
        <v>45869.666666666599</v>
      </c>
      <c r="C530" s="141">
        <f ca="1">IFERROR(__xludf.DUMMYFUNCTION("""COMPUTED_VALUE"""),208.49)</f>
        <v>208.49</v>
      </c>
      <c r="D530" s="141">
        <f ca="1">IFERROR(__xludf.DUMMYFUNCTION("""COMPUTED_VALUE"""),209.84)</f>
        <v>209.84</v>
      </c>
      <c r="E530" s="141">
        <f ca="1">IFERROR(__xludf.DUMMYFUNCTION("""COMPUTED_VALUE"""),207.16)</f>
        <v>207.16</v>
      </c>
      <c r="F530" s="141">
        <f ca="1">IFERROR(__xludf.DUMMYFUNCTION("""COMPUTED_VALUE"""),207.57)</f>
        <v>207.57</v>
      </c>
      <c r="G530" s="143">
        <f ca="1">IFERROR(__xludf.DUMMYFUNCTION("""COMPUTED_VALUE"""),80698431)</f>
        <v>80698431</v>
      </c>
      <c r="H530" s="26"/>
    </row>
    <row r="531" spans="1:8" ht="17.25" customHeight="1" x14ac:dyDescent="0.2">
      <c r="A531" s="26"/>
      <c r="B531" s="139">
        <f ca="1">IFERROR(__xludf.DUMMYFUNCTION("""COMPUTED_VALUE"""),45870.6666666666)</f>
        <v>45870.666666666599</v>
      </c>
      <c r="C531" s="141">
        <f ca="1">IFERROR(__xludf.DUMMYFUNCTION("""COMPUTED_VALUE"""),210.87)</f>
        <v>210.87</v>
      </c>
      <c r="D531" s="141">
        <f ca="1">IFERROR(__xludf.DUMMYFUNCTION("""COMPUTED_VALUE"""),213.58)</f>
        <v>213.58</v>
      </c>
      <c r="E531" s="141">
        <f ca="1">IFERROR(__xludf.DUMMYFUNCTION("""COMPUTED_VALUE"""),201.5)</f>
        <v>201.5</v>
      </c>
      <c r="F531" s="141">
        <f ca="1">IFERROR(__xludf.DUMMYFUNCTION("""COMPUTED_VALUE"""),202.38)</f>
        <v>202.38</v>
      </c>
      <c r="G531" s="143">
        <f ca="1">IFERROR(__xludf.DUMMYFUNCTION("""COMPUTED_VALUE"""),104434473)</f>
        <v>104434473</v>
      </c>
      <c r="H531" s="26"/>
    </row>
    <row r="532" spans="1:8" ht="17.25" customHeight="1" x14ac:dyDescent="0.2">
      <c r="A532" s="26"/>
      <c r="B532" s="139">
        <f ca="1">IFERROR(__xludf.DUMMYFUNCTION("""COMPUTED_VALUE"""),45873.6666666666)</f>
        <v>45873.666666666599</v>
      </c>
      <c r="C532" s="141">
        <f ca="1">IFERROR(__xludf.DUMMYFUNCTION("""COMPUTED_VALUE"""),204.51)</f>
        <v>204.51</v>
      </c>
      <c r="D532" s="141">
        <f ca="1">IFERROR(__xludf.DUMMYFUNCTION("""COMPUTED_VALUE"""),207.88)</f>
        <v>207.88</v>
      </c>
      <c r="E532" s="141">
        <f ca="1">IFERROR(__xludf.DUMMYFUNCTION("""COMPUTED_VALUE"""),201.68)</f>
        <v>201.68</v>
      </c>
      <c r="F532" s="141">
        <f ca="1">IFERROR(__xludf.DUMMYFUNCTION("""COMPUTED_VALUE"""),203.35)</f>
        <v>203.35</v>
      </c>
      <c r="G532" s="143">
        <f ca="1">IFERROR(__xludf.DUMMYFUNCTION("""COMPUTED_VALUE"""),75109298)</f>
        <v>75109298</v>
      </c>
      <c r="H532" s="26"/>
    </row>
    <row r="533" spans="1:8" ht="17.25" customHeight="1" x14ac:dyDescent="0.2">
      <c r="A533" s="26"/>
      <c r="B533" s="139">
        <f ca="1">IFERROR(__xludf.DUMMYFUNCTION("""COMPUTED_VALUE"""),45874.6666666666)</f>
        <v>45874.666666666599</v>
      </c>
      <c r="C533" s="141">
        <f ca="1">IFERROR(__xludf.DUMMYFUNCTION("""COMPUTED_VALUE"""),203.4)</f>
        <v>203.4</v>
      </c>
      <c r="D533" s="141">
        <f ca="1">IFERROR(__xludf.DUMMYFUNCTION("""COMPUTED_VALUE"""),205.34)</f>
        <v>205.34</v>
      </c>
      <c r="E533" s="141">
        <f ca="1">IFERROR(__xludf.DUMMYFUNCTION("""COMPUTED_VALUE"""),202.16)</f>
        <v>202.16</v>
      </c>
      <c r="F533" s="141">
        <f ca="1">IFERROR(__xludf.DUMMYFUNCTION("""COMPUTED_VALUE"""),202.92)</f>
        <v>202.92</v>
      </c>
      <c r="G533" s="143">
        <f ca="1">IFERROR(__xludf.DUMMYFUNCTION("""COMPUTED_VALUE"""),44155079)</f>
        <v>44155079</v>
      </c>
      <c r="H533" s="26"/>
    </row>
    <row r="534" spans="1:8" ht="17.25" customHeight="1" x14ac:dyDescent="0.2">
      <c r="A534" s="26"/>
      <c r="B534" s="139">
        <f ca="1">IFERROR(__xludf.DUMMYFUNCTION("""COMPUTED_VALUE"""),45875.6666666666)</f>
        <v>45875.666666666599</v>
      </c>
      <c r="C534" s="141">
        <f ca="1">IFERROR(__xludf.DUMMYFUNCTION("""COMPUTED_VALUE"""),205.63)</f>
        <v>205.63</v>
      </c>
      <c r="D534" s="141">
        <f ca="1">IFERROR(__xludf.DUMMYFUNCTION("""COMPUTED_VALUE"""),215.38)</f>
        <v>215.38</v>
      </c>
      <c r="E534" s="141">
        <f ca="1">IFERROR(__xludf.DUMMYFUNCTION("""COMPUTED_VALUE"""),205.59)</f>
        <v>205.59</v>
      </c>
      <c r="F534" s="141">
        <f ca="1">IFERROR(__xludf.DUMMYFUNCTION("""COMPUTED_VALUE"""),213.25)</f>
        <v>213.25</v>
      </c>
      <c r="G534" s="143">
        <f ca="1">IFERROR(__xludf.DUMMYFUNCTION("""COMPUTED_VALUE"""),108483103)</f>
        <v>108483103</v>
      </c>
      <c r="H534" s="26"/>
    </row>
    <row r="535" spans="1:8" ht="17.25" customHeight="1" x14ac:dyDescent="0.2">
      <c r="A535" s="26"/>
      <c r="B535" s="139">
        <f ca="1">IFERROR(__xludf.DUMMYFUNCTION("""COMPUTED_VALUE"""),45876.6666666666)</f>
        <v>45876.666666666599</v>
      </c>
      <c r="C535" s="141">
        <f ca="1">IFERROR(__xludf.DUMMYFUNCTION("""COMPUTED_VALUE"""),218.88)</f>
        <v>218.88</v>
      </c>
      <c r="D535" s="141">
        <f ca="1">IFERROR(__xludf.DUMMYFUNCTION("""COMPUTED_VALUE"""),220.85)</f>
        <v>220.85</v>
      </c>
      <c r="E535" s="141">
        <f ca="1">IFERROR(__xludf.DUMMYFUNCTION("""COMPUTED_VALUE"""),216.58)</f>
        <v>216.58</v>
      </c>
      <c r="F535" s="141">
        <f ca="1">IFERROR(__xludf.DUMMYFUNCTION("""COMPUTED_VALUE"""),220.03)</f>
        <v>220.03</v>
      </c>
      <c r="G535" s="143">
        <f ca="1">IFERROR(__xludf.DUMMYFUNCTION("""COMPUTED_VALUE"""),90224834)</f>
        <v>90224834</v>
      </c>
      <c r="H535" s="26"/>
    </row>
    <row r="536" spans="1:8" ht="17.25" customHeight="1" x14ac:dyDescent="0.2">
      <c r="A536" s="26"/>
      <c r="B536" s="139">
        <f ca="1">IFERROR(__xludf.DUMMYFUNCTION("""COMPUTED_VALUE"""),45877.6666666666)</f>
        <v>45877.666666666599</v>
      </c>
      <c r="C536" s="141">
        <f ca="1">IFERROR(__xludf.DUMMYFUNCTION("""COMPUTED_VALUE"""),220.83)</f>
        <v>220.83</v>
      </c>
      <c r="D536" s="141">
        <f ca="1">IFERROR(__xludf.DUMMYFUNCTION("""COMPUTED_VALUE"""),231)</f>
        <v>231</v>
      </c>
      <c r="E536" s="141">
        <f ca="1">IFERROR(__xludf.DUMMYFUNCTION("""COMPUTED_VALUE"""),219.25)</f>
        <v>219.25</v>
      </c>
      <c r="F536" s="141">
        <f ca="1">IFERROR(__xludf.DUMMYFUNCTION("""COMPUTED_VALUE"""),229.35)</f>
        <v>229.35</v>
      </c>
      <c r="G536" s="143">
        <f ca="1">IFERROR(__xludf.DUMMYFUNCTION("""COMPUTED_VALUE"""),113853967)</f>
        <v>113853967</v>
      </c>
      <c r="H536" s="26"/>
    </row>
    <row r="537" spans="1:8" ht="17.25" customHeight="1" x14ac:dyDescent="0.2">
      <c r="A537" s="26"/>
      <c r="B537" s="139">
        <f ca="1">IFERROR(__xludf.DUMMYFUNCTION("""COMPUTED_VALUE"""),45880.6666666666)</f>
        <v>45880.666666666599</v>
      </c>
      <c r="C537" s="141">
        <f ca="1">IFERROR(__xludf.DUMMYFUNCTION("""COMPUTED_VALUE"""),227.92)</f>
        <v>227.92</v>
      </c>
      <c r="D537" s="141">
        <f ca="1">IFERROR(__xludf.DUMMYFUNCTION("""COMPUTED_VALUE"""),229.56)</f>
        <v>229.56</v>
      </c>
      <c r="E537" s="141">
        <f ca="1">IFERROR(__xludf.DUMMYFUNCTION("""COMPUTED_VALUE"""),224.76)</f>
        <v>224.76</v>
      </c>
      <c r="F537" s="141">
        <f ca="1">IFERROR(__xludf.DUMMYFUNCTION("""COMPUTED_VALUE"""),227.18)</f>
        <v>227.18</v>
      </c>
      <c r="G537" s="143">
        <f ca="1">IFERROR(__xludf.DUMMYFUNCTION("""COMPUTED_VALUE"""),61806132)</f>
        <v>61806132</v>
      </c>
      <c r="H537" s="26"/>
    </row>
    <row r="538" spans="1:8" ht="17.25" customHeight="1" x14ac:dyDescent="0.2">
      <c r="A538" s="26"/>
      <c r="B538" s="139">
        <f ca="1">IFERROR(__xludf.DUMMYFUNCTION("""COMPUTED_VALUE"""),45881.6666666666)</f>
        <v>45881.666666666599</v>
      </c>
      <c r="C538" s="141">
        <f ca="1">IFERROR(__xludf.DUMMYFUNCTION("""COMPUTED_VALUE"""),228.01)</f>
        <v>228.01</v>
      </c>
      <c r="D538" s="141">
        <f ca="1">IFERROR(__xludf.DUMMYFUNCTION("""COMPUTED_VALUE"""),230.8)</f>
        <v>230.8</v>
      </c>
      <c r="E538" s="141">
        <f ca="1">IFERROR(__xludf.DUMMYFUNCTION("""COMPUTED_VALUE"""),227.07)</f>
        <v>227.07</v>
      </c>
      <c r="F538" s="141">
        <f ca="1">IFERROR(__xludf.DUMMYFUNCTION("""COMPUTED_VALUE"""),229.65)</f>
        <v>229.65</v>
      </c>
      <c r="G538" s="143">
        <f ca="1">IFERROR(__xludf.DUMMYFUNCTION("""COMPUTED_VALUE"""),55672301)</f>
        <v>55672301</v>
      </c>
      <c r="H538" s="26"/>
    </row>
    <row r="539" spans="1:8" ht="17.25" customHeight="1" x14ac:dyDescent="0.2">
      <c r="A539" s="26"/>
      <c r="B539" s="139">
        <f ca="1">IFERROR(__xludf.DUMMYFUNCTION("""COMPUTED_VALUE"""),45882.6666666666)</f>
        <v>45882.666666666599</v>
      </c>
      <c r="C539" s="141">
        <f ca="1">IFERROR(__xludf.DUMMYFUNCTION("""COMPUTED_VALUE"""),231.07)</f>
        <v>231.07</v>
      </c>
      <c r="D539" s="141">
        <f ca="1">IFERROR(__xludf.DUMMYFUNCTION("""COMPUTED_VALUE"""),235)</f>
        <v>235</v>
      </c>
      <c r="E539" s="141">
        <f ca="1">IFERROR(__xludf.DUMMYFUNCTION("""COMPUTED_VALUE"""),230.43)</f>
        <v>230.43</v>
      </c>
      <c r="F539" s="141">
        <f ca="1">IFERROR(__xludf.DUMMYFUNCTION("""COMPUTED_VALUE"""),233.33)</f>
        <v>233.33</v>
      </c>
      <c r="G539" s="143">
        <f ca="1">IFERROR(__xludf.DUMMYFUNCTION("""COMPUTED_VALUE"""),69878546)</f>
        <v>69878546</v>
      </c>
      <c r="H539" s="26"/>
    </row>
    <row r="540" spans="1:8" ht="17.25" customHeight="1" x14ac:dyDescent="0.2">
      <c r="A540" s="26"/>
      <c r="B540" s="139">
        <f ca="1">IFERROR(__xludf.DUMMYFUNCTION("""COMPUTED_VALUE"""),45883.6666666666)</f>
        <v>45883.666666666599</v>
      </c>
      <c r="C540" s="141">
        <f ca="1">IFERROR(__xludf.DUMMYFUNCTION("""COMPUTED_VALUE"""),234.06)</f>
        <v>234.06</v>
      </c>
      <c r="D540" s="141">
        <f ca="1">IFERROR(__xludf.DUMMYFUNCTION("""COMPUTED_VALUE"""),235.12)</f>
        <v>235.12</v>
      </c>
      <c r="E540" s="141">
        <f ca="1">IFERROR(__xludf.DUMMYFUNCTION("""COMPUTED_VALUE"""),230.85)</f>
        <v>230.85</v>
      </c>
      <c r="F540" s="141">
        <f ca="1">IFERROR(__xludf.DUMMYFUNCTION("""COMPUTED_VALUE"""),232.78)</f>
        <v>232.78</v>
      </c>
      <c r="G540" s="143">
        <f ca="1">IFERROR(__xludf.DUMMYFUNCTION("""COMPUTED_VALUE"""),51916275)</f>
        <v>51916275</v>
      </c>
      <c r="H540" s="26"/>
    </row>
    <row r="541" spans="1:8" ht="17.25" customHeight="1" x14ac:dyDescent="0.2">
      <c r="A541" s="26"/>
      <c r="B541" s="139">
        <f ca="1">IFERROR(__xludf.DUMMYFUNCTION("""COMPUTED_VALUE"""),45884.6666666666)</f>
        <v>45884.666666666599</v>
      </c>
      <c r="C541" s="141">
        <f ca="1">IFERROR(__xludf.DUMMYFUNCTION("""COMPUTED_VALUE"""),234)</f>
        <v>234</v>
      </c>
      <c r="D541" s="141">
        <f ca="1">IFERROR(__xludf.DUMMYFUNCTION("""COMPUTED_VALUE"""),234.28)</f>
        <v>234.28</v>
      </c>
      <c r="E541" s="141">
        <f ca="1">IFERROR(__xludf.DUMMYFUNCTION("""COMPUTED_VALUE"""),229.34)</f>
        <v>229.34</v>
      </c>
      <c r="F541" s="141">
        <f ca="1">IFERROR(__xludf.DUMMYFUNCTION("""COMPUTED_VALUE"""),231.59)</f>
        <v>231.59</v>
      </c>
      <c r="G541" s="143">
        <f ca="1">IFERROR(__xludf.DUMMYFUNCTION("""COMPUTED_VALUE"""),56038657)</f>
        <v>56038657</v>
      </c>
      <c r="H541" s="26"/>
    </row>
    <row r="542" spans="1:8" ht="17.25" customHeight="1" x14ac:dyDescent="0.2">
      <c r="A542" s="26"/>
      <c r="B542" s="139">
        <f ca="1">IFERROR(__xludf.DUMMYFUNCTION("""COMPUTED_VALUE"""),45887.6666666666)</f>
        <v>45887.666666666599</v>
      </c>
      <c r="C542" s="141">
        <f ca="1">IFERROR(__xludf.DUMMYFUNCTION("""COMPUTED_VALUE"""),231.7)</f>
        <v>231.7</v>
      </c>
      <c r="D542" s="141">
        <f ca="1">IFERROR(__xludf.DUMMYFUNCTION("""COMPUTED_VALUE"""),233.12)</f>
        <v>233.12</v>
      </c>
      <c r="E542" s="141">
        <f ca="1">IFERROR(__xludf.DUMMYFUNCTION("""COMPUTED_VALUE"""),230.11)</f>
        <v>230.11</v>
      </c>
      <c r="F542" s="141">
        <f ca="1">IFERROR(__xludf.DUMMYFUNCTION("""COMPUTED_VALUE"""),230.89)</f>
        <v>230.89</v>
      </c>
      <c r="G542" s="143">
        <f ca="1">IFERROR(__xludf.DUMMYFUNCTION("""COMPUTED_VALUE"""),37476188)</f>
        <v>37476188</v>
      </c>
      <c r="H542" s="26"/>
    </row>
    <row r="543" spans="1:8" ht="17.25" customHeight="1" x14ac:dyDescent="0.2">
      <c r="A543" s="26"/>
      <c r="B543" s="139">
        <f ca="1">IFERROR(__xludf.DUMMYFUNCTION("""COMPUTED_VALUE"""),45888.6666666666)</f>
        <v>45888.666666666599</v>
      </c>
      <c r="C543" s="141">
        <f ca="1">IFERROR(__xludf.DUMMYFUNCTION("""COMPUTED_VALUE"""),231.28)</f>
        <v>231.28</v>
      </c>
      <c r="D543" s="141">
        <f ca="1">IFERROR(__xludf.DUMMYFUNCTION("""COMPUTED_VALUE"""),232.87)</f>
        <v>232.87</v>
      </c>
      <c r="E543" s="141">
        <f ca="1">IFERROR(__xludf.DUMMYFUNCTION("""COMPUTED_VALUE"""),229.35)</f>
        <v>229.35</v>
      </c>
      <c r="F543" s="141">
        <f ca="1">IFERROR(__xludf.DUMMYFUNCTION("""COMPUTED_VALUE"""),230.56)</f>
        <v>230.56</v>
      </c>
      <c r="G543" s="143">
        <f ca="1">IFERROR(__xludf.DUMMYFUNCTION("""COMPUTED_VALUE"""),39402564)</f>
        <v>39402564</v>
      </c>
      <c r="H543" s="26"/>
    </row>
    <row r="544" spans="1:8" ht="17.25" customHeight="1" x14ac:dyDescent="0.2">
      <c r="A544" s="26"/>
      <c r="B544" s="139">
        <f ca="1">IFERROR(__xludf.DUMMYFUNCTION("""COMPUTED_VALUE"""),45889.6666666666)</f>
        <v>45889.666666666599</v>
      </c>
      <c r="C544" s="141">
        <f ca="1">IFERROR(__xludf.DUMMYFUNCTION("""COMPUTED_VALUE"""),229.98)</f>
        <v>229.98</v>
      </c>
      <c r="D544" s="141">
        <f ca="1">IFERROR(__xludf.DUMMYFUNCTION("""COMPUTED_VALUE"""),230.47)</f>
        <v>230.47</v>
      </c>
      <c r="E544" s="141">
        <f ca="1">IFERROR(__xludf.DUMMYFUNCTION("""COMPUTED_VALUE"""),225.77)</f>
        <v>225.77</v>
      </c>
      <c r="F544" s="141">
        <f ca="1">IFERROR(__xludf.DUMMYFUNCTION("""COMPUTED_VALUE"""),226.01)</f>
        <v>226.01</v>
      </c>
      <c r="G544" s="143">
        <f ca="1">IFERROR(__xludf.DUMMYFUNCTION("""COMPUTED_VALUE"""),42263865)</f>
        <v>42263865</v>
      </c>
      <c r="H544" s="26"/>
    </row>
    <row r="545" spans="1:8" ht="17.25" customHeight="1" x14ac:dyDescent="0.2">
      <c r="A545" s="26"/>
      <c r="B545" s="139">
        <f ca="1">IFERROR(__xludf.DUMMYFUNCTION("""COMPUTED_VALUE"""),45890.6666666666)</f>
        <v>45890.666666666599</v>
      </c>
      <c r="C545" s="141">
        <f ca="1">IFERROR(__xludf.DUMMYFUNCTION("""COMPUTED_VALUE"""),226.27)</f>
        <v>226.27</v>
      </c>
      <c r="D545" s="141">
        <f ca="1">IFERROR(__xludf.DUMMYFUNCTION("""COMPUTED_VALUE"""),226.52)</f>
        <v>226.52</v>
      </c>
      <c r="E545" s="141">
        <f ca="1">IFERROR(__xludf.DUMMYFUNCTION("""COMPUTED_VALUE"""),223.78)</f>
        <v>223.78</v>
      </c>
      <c r="F545" s="141">
        <f ca="1">IFERROR(__xludf.DUMMYFUNCTION("""COMPUTED_VALUE"""),224.9)</f>
        <v>224.9</v>
      </c>
      <c r="G545" s="143">
        <f ca="1">IFERROR(__xludf.DUMMYFUNCTION("""COMPUTED_VALUE"""),30621249)</f>
        <v>30621249</v>
      </c>
      <c r="H545" s="26"/>
    </row>
    <row r="546" spans="1:8" ht="17.25" customHeight="1" x14ac:dyDescent="0.2">
      <c r="A546" s="26"/>
      <c r="B546" s="139">
        <f ca="1">IFERROR(__xludf.DUMMYFUNCTION("""COMPUTED_VALUE"""),45891.6666666666)</f>
        <v>45891.666666666599</v>
      </c>
      <c r="C546" s="141">
        <f ca="1">IFERROR(__xludf.DUMMYFUNCTION("""COMPUTED_VALUE"""),226.17)</f>
        <v>226.17</v>
      </c>
      <c r="D546" s="141">
        <f ca="1">IFERROR(__xludf.DUMMYFUNCTION("""COMPUTED_VALUE"""),229.09)</f>
        <v>229.09</v>
      </c>
      <c r="E546" s="141">
        <f ca="1">IFERROR(__xludf.DUMMYFUNCTION("""COMPUTED_VALUE"""),225.41)</f>
        <v>225.41</v>
      </c>
      <c r="F546" s="141">
        <f ca="1">IFERROR(__xludf.DUMMYFUNCTION("""COMPUTED_VALUE"""),227.76)</f>
        <v>227.76</v>
      </c>
      <c r="G546" s="143">
        <f ca="1">IFERROR(__xludf.DUMMYFUNCTION("""COMPUTED_VALUE"""),42477811)</f>
        <v>42477811</v>
      </c>
      <c r="H546" s="26"/>
    </row>
    <row r="547" spans="1:8" ht="17.25" customHeight="1" x14ac:dyDescent="0.2">
      <c r="A547" s="26"/>
      <c r="B547" s="139">
        <f ca="1">IFERROR(__xludf.DUMMYFUNCTION("""COMPUTED_VALUE"""),45894.6666666666)</f>
        <v>45894.666666666599</v>
      </c>
      <c r="C547" s="141">
        <f ca="1">IFERROR(__xludf.DUMMYFUNCTION("""COMPUTED_VALUE"""),226.48)</f>
        <v>226.48</v>
      </c>
      <c r="D547" s="141">
        <f ca="1">IFERROR(__xludf.DUMMYFUNCTION("""COMPUTED_VALUE"""),229.3)</f>
        <v>229.3</v>
      </c>
      <c r="E547" s="141">
        <f ca="1">IFERROR(__xludf.DUMMYFUNCTION("""COMPUTED_VALUE"""),226.23)</f>
        <v>226.23</v>
      </c>
      <c r="F547" s="141">
        <f ca="1">IFERROR(__xludf.DUMMYFUNCTION("""COMPUTED_VALUE"""),227.16)</f>
        <v>227.16</v>
      </c>
      <c r="G547" s="143">
        <f ca="1">IFERROR(__xludf.DUMMYFUNCTION("""COMPUTED_VALUE"""),30983133)</f>
        <v>30983133</v>
      </c>
      <c r="H547" s="26"/>
    </row>
    <row r="548" spans="1:8" ht="17.25" customHeight="1" x14ac:dyDescent="0.2">
      <c r="A548" s="26"/>
      <c r="B548" s="139">
        <f ca="1">IFERROR(__xludf.DUMMYFUNCTION("""COMPUTED_VALUE"""),45895.6666666666)</f>
        <v>45895.666666666599</v>
      </c>
      <c r="C548" s="141">
        <f ca="1">IFERROR(__xludf.DUMMYFUNCTION("""COMPUTED_VALUE"""),226.87)</f>
        <v>226.87</v>
      </c>
      <c r="D548" s="141">
        <f ca="1">IFERROR(__xludf.DUMMYFUNCTION("""COMPUTED_VALUE"""),229.49)</f>
        <v>229.49</v>
      </c>
      <c r="E548" s="141">
        <f ca="1">IFERROR(__xludf.DUMMYFUNCTION("""COMPUTED_VALUE"""),224.69)</f>
        <v>224.69</v>
      </c>
      <c r="F548" s="141">
        <f ca="1">IFERROR(__xludf.DUMMYFUNCTION("""COMPUTED_VALUE"""),229.31)</f>
        <v>229.31</v>
      </c>
      <c r="G548" s="143">
        <f ca="1">IFERROR(__xludf.DUMMYFUNCTION("""COMPUTED_VALUE"""),54575107)</f>
        <v>54575107</v>
      </c>
      <c r="H548" s="26"/>
    </row>
    <row r="549" spans="1:8" ht="17.25" customHeight="1" x14ac:dyDescent="0.2">
      <c r="A549" s="26"/>
      <c r="B549" s="139">
        <f ca="1">IFERROR(__xludf.DUMMYFUNCTION("""COMPUTED_VALUE"""),45896.6666666666)</f>
        <v>45896.666666666599</v>
      </c>
      <c r="C549" s="141">
        <f ca="1">IFERROR(__xludf.DUMMYFUNCTION("""COMPUTED_VALUE"""),228.61)</f>
        <v>228.61</v>
      </c>
      <c r="D549" s="141">
        <f ca="1">IFERROR(__xludf.DUMMYFUNCTION("""COMPUTED_VALUE"""),230.9)</f>
        <v>230.9</v>
      </c>
      <c r="E549" s="141">
        <f ca="1">IFERROR(__xludf.DUMMYFUNCTION("""COMPUTED_VALUE"""),228.26)</f>
        <v>228.26</v>
      </c>
      <c r="F549" s="141">
        <f ca="1">IFERROR(__xludf.DUMMYFUNCTION("""COMPUTED_VALUE"""),230.49)</f>
        <v>230.49</v>
      </c>
      <c r="G549" s="143">
        <f ca="1">IFERROR(__xludf.DUMMYFUNCTION("""COMPUTED_VALUE"""),31259513)</f>
        <v>31259513</v>
      </c>
      <c r="H549" s="26"/>
    </row>
    <row r="550" spans="1:8" ht="17.25" customHeight="1" x14ac:dyDescent="0.2">
      <c r="A550" s="26"/>
      <c r="B550" s="139">
        <f ca="1">IFERROR(__xludf.DUMMYFUNCTION("""COMPUTED_VALUE"""),45897.6666666666)</f>
        <v>45897.666666666599</v>
      </c>
      <c r="C550" s="141">
        <f ca="1">IFERROR(__xludf.DUMMYFUNCTION("""COMPUTED_VALUE"""),230.82)</f>
        <v>230.82</v>
      </c>
      <c r="D550" s="141">
        <f ca="1">IFERROR(__xludf.DUMMYFUNCTION("""COMPUTED_VALUE"""),233.41)</f>
        <v>233.41</v>
      </c>
      <c r="E550" s="141">
        <f ca="1">IFERROR(__xludf.DUMMYFUNCTION("""COMPUTED_VALUE"""),229.34)</f>
        <v>229.34</v>
      </c>
      <c r="F550" s="141">
        <f ca="1">IFERROR(__xludf.DUMMYFUNCTION("""COMPUTED_VALUE"""),232.56)</f>
        <v>232.56</v>
      </c>
      <c r="G550" s="143">
        <f ca="1">IFERROR(__xludf.DUMMYFUNCTION("""COMPUTED_VALUE"""),38074700)</f>
        <v>38074700</v>
      </c>
      <c r="H550" s="26"/>
    </row>
    <row r="551" spans="1:8" ht="17.25" customHeight="1" x14ac:dyDescent="0.2">
      <c r="A551" s="26"/>
      <c r="B551" s="139">
        <f ca="1">IFERROR(__xludf.DUMMYFUNCTION("""COMPUTED_VALUE"""),45898.6666666666)</f>
        <v>45898.666666666599</v>
      </c>
      <c r="C551" s="141">
        <f ca="1">IFERROR(__xludf.DUMMYFUNCTION("""COMPUTED_VALUE"""),232.51)</f>
        <v>232.51</v>
      </c>
      <c r="D551" s="141">
        <f ca="1">IFERROR(__xludf.DUMMYFUNCTION("""COMPUTED_VALUE"""),233.38)</f>
        <v>233.38</v>
      </c>
      <c r="E551" s="141">
        <f ca="1">IFERROR(__xludf.DUMMYFUNCTION("""COMPUTED_VALUE"""),231.37)</f>
        <v>231.37</v>
      </c>
      <c r="F551" s="141">
        <f ca="1">IFERROR(__xludf.DUMMYFUNCTION("""COMPUTED_VALUE"""),232.14)</f>
        <v>232.14</v>
      </c>
      <c r="G551" s="143">
        <f ca="1">IFERROR(__xludf.DUMMYFUNCTION("""COMPUTED_VALUE"""),39418437)</f>
        <v>39418437</v>
      </c>
      <c r="H551" s="26"/>
    </row>
    <row r="552" spans="1:8" ht="17.25" customHeight="1" x14ac:dyDescent="0.2">
      <c r="A552" s="26"/>
      <c r="B552" s="139">
        <f ca="1">IFERROR(__xludf.DUMMYFUNCTION("""COMPUTED_VALUE"""),45902.6666666666)</f>
        <v>45902.666666666599</v>
      </c>
      <c r="C552" s="141">
        <f ca="1">IFERROR(__xludf.DUMMYFUNCTION("""COMPUTED_VALUE"""),229.25)</f>
        <v>229.25</v>
      </c>
      <c r="D552" s="141">
        <f ca="1">IFERROR(__xludf.DUMMYFUNCTION("""COMPUTED_VALUE"""),230.85)</f>
        <v>230.85</v>
      </c>
      <c r="E552" s="141">
        <f ca="1">IFERROR(__xludf.DUMMYFUNCTION("""COMPUTED_VALUE"""),226.97)</f>
        <v>226.97</v>
      </c>
      <c r="F552" s="141">
        <f ca="1">IFERROR(__xludf.DUMMYFUNCTION("""COMPUTED_VALUE"""),229.72)</f>
        <v>229.72</v>
      </c>
      <c r="G552" s="143">
        <f ca="1">IFERROR(__xludf.DUMMYFUNCTION("""COMPUTED_VALUE"""),44075638)</f>
        <v>44075638</v>
      </c>
      <c r="H552" s="26"/>
    </row>
    <row r="553" spans="1:8" ht="17.25" customHeight="1" x14ac:dyDescent="0.2">
      <c r="A553" s="26"/>
      <c r="B553" s="139">
        <f ca="1">IFERROR(__xludf.DUMMYFUNCTION("""COMPUTED_VALUE"""),45903.6666666666)</f>
        <v>45903.666666666599</v>
      </c>
      <c r="C553" s="141">
        <f ca="1">IFERROR(__xludf.DUMMYFUNCTION("""COMPUTED_VALUE"""),237.21)</f>
        <v>237.21</v>
      </c>
      <c r="D553" s="141">
        <f ca="1">IFERROR(__xludf.DUMMYFUNCTION("""COMPUTED_VALUE"""),238.85)</f>
        <v>238.85</v>
      </c>
      <c r="E553" s="141">
        <f ca="1">IFERROR(__xludf.DUMMYFUNCTION("""COMPUTED_VALUE"""),234.36)</f>
        <v>234.36</v>
      </c>
      <c r="F553" s="141">
        <f ca="1">IFERROR(__xludf.DUMMYFUNCTION("""COMPUTED_VALUE"""),238.47)</f>
        <v>238.47</v>
      </c>
      <c r="G553" s="143">
        <f ca="1">IFERROR(__xludf.DUMMYFUNCTION("""COMPUTED_VALUE"""),66427835)</f>
        <v>66427835</v>
      </c>
      <c r="H553" s="26"/>
    </row>
    <row r="554" spans="1:8" ht="17.25" customHeight="1" x14ac:dyDescent="0.2">
      <c r="A554" s="26"/>
      <c r="B554" s="139">
        <f ca="1">IFERROR(__xludf.DUMMYFUNCTION("""COMPUTED_VALUE"""),45904.6666666666)</f>
        <v>45904.666666666599</v>
      </c>
      <c r="C554" s="141">
        <f ca="1">IFERROR(__xludf.DUMMYFUNCTION("""COMPUTED_VALUE"""),238.45)</f>
        <v>238.45</v>
      </c>
      <c r="D554" s="141">
        <f ca="1">IFERROR(__xludf.DUMMYFUNCTION("""COMPUTED_VALUE"""),239.9)</f>
        <v>239.9</v>
      </c>
      <c r="E554" s="141">
        <f ca="1">IFERROR(__xludf.DUMMYFUNCTION("""COMPUTED_VALUE"""),236.74)</f>
        <v>236.74</v>
      </c>
      <c r="F554" s="141">
        <f ca="1">IFERROR(__xludf.DUMMYFUNCTION("""COMPUTED_VALUE"""),239.78)</f>
        <v>239.78</v>
      </c>
      <c r="G554" s="143">
        <f ca="1">IFERROR(__xludf.DUMMYFUNCTION("""COMPUTED_VALUE"""),47549429)</f>
        <v>47549429</v>
      </c>
      <c r="H554" s="26"/>
    </row>
    <row r="555" spans="1:8" ht="17.25" customHeight="1" x14ac:dyDescent="0.2">
      <c r="A555" s="26"/>
      <c r="B555" s="139">
        <f ca="1">IFERROR(__xludf.DUMMYFUNCTION("""COMPUTED_VALUE"""),45905.6666666666)</f>
        <v>45905.666666666599</v>
      </c>
      <c r="C555" s="141">
        <f ca="1">IFERROR(__xludf.DUMMYFUNCTION("""COMPUTED_VALUE"""),240)</f>
        <v>240</v>
      </c>
      <c r="D555" s="141">
        <f ca="1">IFERROR(__xludf.DUMMYFUNCTION("""COMPUTED_VALUE"""),241.32)</f>
        <v>241.32</v>
      </c>
      <c r="E555" s="141">
        <f ca="1">IFERROR(__xludf.DUMMYFUNCTION("""COMPUTED_VALUE"""),238.49)</f>
        <v>238.49</v>
      </c>
      <c r="F555" s="141">
        <f ca="1">IFERROR(__xludf.DUMMYFUNCTION("""COMPUTED_VALUE"""),239.69)</f>
        <v>239.69</v>
      </c>
      <c r="G555" s="143">
        <f ca="1">IFERROR(__xludf.DUMMYFUNCTION("""COMPUTED_VALUE"""),54870397)</f>
        <v>54870397</v>
      </c>
      <c r="H555" s="26"/>
    </row>
    <row r="556" spans="1:8" ht="17.25" customHeight="1" x14ac:dyDescent="0.2">
      <c r="A556" s="26"/>
      <c r="B556" s="139">
        <f ca="1">IFERROR(__xludf.DUMMYFUNCTION("""COMPUTED_VALUE"""),45908.6666666666)</f>
        <v>45908.666666666599</v>
      </c>
      <c r="C556" s="141">
        <f ca="1">IFERROR(__xludf.DUMMYFUNCTION("""COMPUTED_VALUE"""),239.3)</f>
        <v>239.3</v>
      </c>
      <c r="D556" s="141">
        <f ca="1">IFERROR(__xludf.DUMMYFUNCTION("""COMPUTED_VALUE"""),240.15)</f>
        <v>240.15</v>
      </c>
      <c r="E556" s="141">
        <f ca="1">IFERROR(__xludf.DUMMYFUNCTION("""COMPUTED_VALUE"""),236.34)</f>
        <v>236.34</v>
      </c>
      <c r="F556" s="141">
        <f ca="1">IFERROR(__xludf.DUMMYFUNCTION("""COMPUTED_VALUE"""),237.88)</f>
        <v>237.88</v>
      </c>
      <c r="G556" s="143">
        <f ca="1">IFERROR(__xludf.DUMMYFUNCTION("""COMPUTED_VALUE"""),48999495)</f>
        <v>48999495</v>
      </c>
      <c r="H556" s="26"/>
    </row>
    <row r="557" spans="1:8" ht="17.25" customHeight="1" x14ac:dyDescent="0.2">
      <c r="A557" s="26"/>
      <c r="B557" s="139">
        <f ca="1">IFERROR(__xludf.DUMMYFUNCTION("""COMPUTED_VALUE"""),45909.6666666666)</f>
        <v>45909.666666666599</v>
      </c>
      <c r="C557" s="141">
        <f ca="1">IFERROR(__xludf.DUMMYFUNCTION("""COMPUTED_VALUE"""),237)</f>
        <v>237</v>
      </c>
      <c r="D557" s="141">
        <f ca="1">IFERROR(__xludf.DUMMYFUNCTION("""COMPUTED_VALUE"""),238.78)</f>
        <v>238.78</v>
      </c>
      <c r="E557" s="141">
        <f ca="1">IFERROR(__xludf.DUMMYFUNCTION("""COMPUTED_VALUE"""),233.36)</f>
        <v>233.36</v>
      </c>
      <c r="F557" s="141">
        <f ca="1">IFERROR(__xludf.DUMMYFUNCTION("""COMPUTED_VALUE"""),234.35)</f>
        <v>234.35</v>
      </c>
      <c r="G557" s="143">
        <f ca="1">IFERROR(__xludf.DUMMYFUNCTION("""COMPUTED_VALUE"""),66313918)</f>
        <v>66313918</v>
      </c>
      <c r="H557" s="26"/>
    </row>
    <row r="558" spans="1:8" ht="17.25" customHeight="1" x14ac:dyDescent="0.2">
      <c r="A558" s="26"/>
      <c r="B558" s="139">
        <f ca="1">IFERROR(__xludf.DUMMYFUNCTION("""COMPUTED_VALUE"""),45910.6666666666)</f>
        <v>45910.666666666599</v>
      </c>
      <c r="C558" s="141">
        <f ca="1">IFERROR(__xludf.DUMMYFUNCTION("""COMPUTED_VALUE"""),232.19)</f>
        <v>232.19</v>
      </c>
      <c r="D558" s="141">
        <f ca="1">IFERROR(__xludf.DUMMYFUNCTION("""COMPUTED_VALUE"""),232.42)</f>
        <v>232.42</v>
      </c>
      <c r="E558" s="141">
        <f ca="1">IFERROR(__xludf.DUMMYFUNCTION("""COMPUTED_VALUE"""),225.95)</f>
        <v>225.95</v>
      </c>
      <c r="F558" s="141">
        <f ca="1">IFERROR(__xludf.DUMMYFUNCTION("""COMPUTED_VALUE"""),226.79)</f>
        <v>226.79</v>
      </c>
      <c r="G558" s="143">
        <f ca="1">IFERROR(__xludf.DUMMYFUNCTION("""COMPUTED_VALUE"""),83440810)</f>
        <v>83440810</v>
      </c>
      <c r="H558" s="26"/>
    </row>
    <row r="559" spans="1:8" ht="17.25" customHeight="1" x14ac:dyDescent="0.2">
      <c r="A559" s="26"/>
      <c r="B559" s="139">
        <f ca="1">IFERROR(__xludf.DUMMYFUNCTION("""COMPUTED_VALUE"""),45911.6666666666)</f>
        <v>45911.666666666599</v>
      </c>
      <c r="C559" s="141">
        <f ca="1">IFERROR(__xludf.DUMMYFUNCTION("""COMPUTED_VALUE"""),226.88)</f>
        <v>226.88</v>
      </c>
      <c r="D559" s="141">
        <f ca="1">IFERROR(__xludf.DUMMYFUNCTION("""COMPUTED_VALUE"""),230.45)</f>
        <v>230.45</v>
      </c>
      <c r="E559" s="141">
        <f ca="1">IFERROR(__xludf.DUMMYFUNCTION("""COMPUTED_VALUE"""),226.65)</f>
        <v>226.65</v>
      </c>
      <c r="F559" s="141">
        <f ca="1">IFERROR(__xludf.DUMMYFUNCTION("""COMPUTED_VALUE"""),230.03)</f>
        <v>230.03</v>
      </c>
      <c r="G559" s="143">
        <f ca="1">IFERROR(__xludf.DUMMYFUNCTION("""COMPUTED_VALUE"""),50208578)</f>
        <v>50208578</v>
      </c>
      <c r="H559" s="26"/>
    </row>
    <row r="560" spans="1:8" ht="17.25" customHeight="1" x14ac:dyDescent="0.2">
      <c r="A560" s="26"/>
      <c r="B560" s="139">
        <f ca="1">IFERROR(__xludf.DUMMYFUNCTION("""COMPUTED_VALUE"""),45912.6666666666)</f>
        <v>45912.666666666599</v>
      </c>
      <c r="C560" s="141">
        <f ca="1">IFERROR(__xludf.DUMMYFUNCTION("""COMPUTED_VALUE"""),229.22)</f>
        <v>229.22</v>
      </c>
      <c r="D560" s="141">
        <f ca="1">IFERROR(__xludf.DUMMYFUNCTION("""COMPUTED_VALUE"""),234.51)</f>
        <v>234.51</v>
      </c>
      <c r="E560" s="141">
        <f ca="1">IFERROR(__xludf.DUMMYFUNCTION("""COMPUTED_VALUE"""),229.02)</f>
        <v>229.02</v>
      </c>
      <c r="F560" s="141">
        <f ca="1">IFERROR(__xludf.DUMMYFUNCTION("""COMPUTED_VALUE"""),234.07)</f>
        <v>234.07</v>
      </c>
      <c r="G560" s="143">
        <f ca="1">IFERROR(__xludf.DUMMYFUNCTION("""COMPUTED_VALUE"""),55824216)</f>
        <v>55824216</v>
      </c>
      <c r="H560" s="26"/>
    </row>
    <row r="561" spans="1:8" ht="17.25" customHeight="1" x14ac:dyDescent="0.2">
      <c r="A561" s="26"/>
      <c r="B561" s="139">
        <f ca="1">IFERROR(__xludf.DUMMYFUNCTION("""COMPUTED_VALUE"""),45915.6666666666)</f>
        <v>45915.666666666599</v>
      </c>
      <c r="C561" s="141">
        <f ca="1">IFERROR(__xludf.DUMMYFUNCTION("""COMPUTED_VALUE"""),237)</f>
        <v>237</v>
      </c>
      <c r="D561" s="141">
        <f ca="1">IFERROR(__xludf.DUMMYFUNCTION("""COMPUTED_VALUE"""),238.19)</f>
        <v>238.19</v>
      </c>
      <c r="E561" s="141">
        <f ca="1">IFERROR(__xludf.DUMMYFUNCTION("""COMPUTED_VALUE"""),235.03)</f>
        <v>235.03</v>
      </c>
      <c r="F561" s="141">
        <f ca="1">IFERROR(__xludf.DUMMYFUNCTION("""COMPUTED_VALUE"""),236.7)</f>
        <v>236.7</v>
      </c>
      <c r="G561" s="143">
        <f ca="1">IFERROR(__xludf.DUMMYFUNCTION("""COMPUTED_VALUE"""),42699524)</f>
        <v>42699524</v>
      </c>
      <c r="H561" s="26"/>
    </row>
    <row r="562" spans="1:8" ht="17.25" customHeight="1" x14ac:dyDescent="0.2">
      <c r="A562" s="26"/>
      <c r="B562" s="139">
        <f ca="1">IFERROR(__xludf.DUMMYFUNCTION("""COMPUTED_VALUE"""),45916.6666666666)</f>
        <v>45916.666666666599</v>
      </c>
      <c r="C562" s="141">
        <f ca="1">IFERROR(__xludf.DUMMYFUNCTION("""COMPUTED_VALUE"""),237.18)</f>
        <v>237.18</v>
      </c>
      <c r="D562" s="141">
        <f ca="1">IFERROR(__xludf.DUMMYFUNCTION("""COMPUTED_VALUE"""),241.22)</f>
        <v>241.22</v>
      </c>
      <c r="E562" s="141">
        <f ca="1">IFERROR(__xludf.DUMMYFUNCTION("""COMPUTED_VALUE"""),236.32)</f>
        <v>236.32</v>
      </c>
      <c r="F562" s="141">
        <f ca="1">IFERROR(__xludf.DUMMYFUNCTION("""COMPUTED_VALUE"""),238.15)</f>
        <v>238.15</v>
      </c>
      <c r="G562" s="143">
        <f ca="1">IFERROR(__xludf.DUMMYFUNCTION("""COMPUTED_VALUE"""),63421099)</f>
        <v>63421099</v>
      </c>
      <c r="H562" s="26"/>
    </row>
    <row r="563" spans="1:8" ht="17.25" customHeight="1" x14ac:dyDescent="0.2">
      <c r="A563" s="26"/>
      <c r="B563" s="139">
        <f ca="1">IFERROR(__xludf.DUMMYFUNCTION("""COMPUTED_VALUE"""),45917.6666666666)</f>
        <v>45917.666666666599</v>
      </c>
      <c r="C563" s="141">
        <f ca="1">IFERROR(__xludf.DUMMYFUNCTION("""COMPUTED_VALUE"""),238.97)</f>
        <v>238.97</v>
      </c>
      <c r="D563" s="141">
        <f ca="1">IFERROR(__xludf.DUMMYFUNCTION("""COMPUTED_VALUE"""),240.1)</f>
        <v>240.1</v>
      </c>
      <c r="E563" s="141">
        <f ca="1">IFERROR(__xludf.DUMMYFUNCTION("""COMPUTED_VALUE"""),237.73)</f>
        <v>237.73</v>
      </c>
      <c r="F563" s="141">
        <f ca="1">IFERROR(__xludf.DUMMYFUNCTION("""COMPUTED_VALUE"""),238.99)</f>
        <v>238.99</v>
      </c>
      <c r="G563" s="143">
        <f ca="1">IFERROR(__xludf.DUMMYFUNCTION("""COMPUTED_VALUE"""),46508017)</f>
        <v>46508017</v>
      </c>
      <c r="H563" s="26"/>
    </row>
    <row r="564" spans="1:8" ht="17.25" customHeight="1" x14ac:dyDescent="0.2">
      <c r="A564" s="26"/>
      <c r="B564" s="139">
        <f ca="1">IFERROR(__xludf.DUMMYFUNCTION("""COMPUTED_VALUE"""),45918.6666666666)</f>
        <v>45918.666666666599</v>
      </c>
      <c r="C564" s="141">
        <f ca="1">IFERROR(__xludf.DUMMYFUNCTION("""COMPUTED_VALUE"""),239.97)</f>
        <v>239.97</v>
      </c>
      <c r="D564" s="141">
        <f ca="1">IFERROR(__xludf.DUMMYFUNCTION("""COMPUTED_VALUE"""),241.2)</f>
        <v>241.2</v>
      </c>
      <c r="E564" s="141">
        <f ca="1">IFERROR(__xludf.DUMMYFUNCTION("""COMPUTED_VALUE"""),236.65)</f>
        <v>236.65</v>
      </c>
      <c r="F564" s="141">
        <f ca="1">IFERROR(__xludf.DUMMYFUNCTION("""COMPUTED_VALUE"""),237.88)</f>
        <v>237.88</v>
      </c>
      <c r="G564" s="143">
        <f ca="1">IFERROR(__xludf.DUMMYFUNCTION("""COMPUTED_VALUE"""),44249576)</f>
        <v>44249576</v>
      </c>
      <c r="H564" s="26"/>
    </row>
    <row r="565" spans="1:8" ht="17.25" customHeight="1" x14ac:dyDescent="0.2">
      <c r="A565" s="26"/>
      <c r="B565" s="139">
        <f ca="1">IFERROR(__xludf.DUMMYFUNCTION("""COMPUTED_VALUE"""),45919.6666666666)</f>
        <v>45919.666666666599</v>
      </c>
      <c r="C565" s="141">
        <f ca="1">IFERROR(__xludf.DUMMYFUNCTION("""COMPUTED_VALUE"""),241.23)</f>
        <v>241.23</v>
      </c>
      <c r="D565" s="141">
        <f ca="1">IFERROR(__xludf.DUMMYFUNCTION("""COMPUTED_VALUE"""),246.3)</f>
        <v>246.3</v>
      </c>
      <c r="E565" s="141">
        <f ca="1">IFERROR(__xludf.DUMMYFUNCTION("""COMPUTED_VALUE"""),240.21)</f>
        <v>240.21</v>
      </c>
      <c r="F565" s="141">
        <f ca="1">IFERROR(__xludf.DUMMYFUNCTION("""COMPUTED_VALUE"""),245.5)</f>
        <v>245.5</v>
      </c>
      <c r="G565" s="143">
        <f ca="1">IFERROR(__xludf.DUMMYFUNCTION("""COMPUTED_VALUE"""),163741314)</f>
        <v>163741314</v>
      </c>
      <c r="H565" s="26"/>
    </row>
    <row r="566" spans="1:8" ht="17.25" customHeight="1" x14ac:dyDescent="0.2">
      <c r="A566" s="26"/>
      <c r="B566" s="139">
        <f ca="1">IFERROR(__xludf.DUMMYFUNCTION("""COMPUTED_VALUE"""),45922.6666666666)</f>
        <v>45922.666666666599</v>
      </c>
      <c r="C566" s="141">
        <f ca="1">IFERROR(__xludf.DUMMYFUNCTION("""COMPUTED_VALUE"""),248.3)</f>
        <v>248.3</v>
      </c>
      <c r="D566" s="141">
        <f ca="1">IFERROR(__xludf.DUMMYFUNCTION("""COMPUTED_VALUE"""),256.64)</f>
        <v>256.64</v>
      </c>
      <c r="E566" s="141">
        <f ca="1">IFERROR(__xludf.DUMMYFUNCTION("""COMPUTED_VALUE"""),248.12)</f>
        <v>248.12</v>
      </c>
      <c r="F566" s="141">
        <f ca="1">IFERROR(__xludf.DUMMYFUNCTION("""COMPUTED_VALUE"""),256.08)</f>
        <v>256.08</v>
      </c>
      <c r="G566" s="143">
        <f ca="1">IFERROR(__xludf.DUMMYFUNCTION("""COMPUTED_VALUE"""),105517416)</f>
        <v>105517416</v>
      </c>
      <c r="H566" s="26"/>
    </row>
    <row r="567" spans="1:8" ht="17.25" customHeight="1" x14ac:dyDescent="0.2">
      <c r="A567" s="26"/>
      <c r="B567" s="139">
        <f ca="1">IFERROR(__xludf.DUMMYFUNCTION("""COMPUTED_VALUE"""),45923.6666666666)</f>
        <v>45923.666666666599</v>
      </c>
      <c r="C567" s="141">
        <f ca="1">IFERROR(__xludf.DUMMYFUNCTION("""COMPUTED_VALUE"""),255.88)</f>
        <v>255.88</v>
      </c>
      <c r="D567" s="141">
        <f ca="1">IFERROR(__xludf.DUMMYFUNCTION("""COMPUTED_VALUE"""),257.34)</f>
        <v>257.33999999999997</v>
      </c>
      <c r="E567" s="141">
        <f ca="1">IFERROR(__xludf.DUMMYFUNCTION("""COMPUTED_VALUE"""),253.58)</f>
        <v>253.58</v>
      </c>
      <c r="F567" s="141">
        <f ca="1">IFERROR(__xludf.DUMMYFUNCTION("""COMPUTED_VALUE"""),254.43)</f>
        <v>254.43</v>
      </c>
      <c r="G567" s="143">
        <f ca="1">IFERROR(__xludf.DUMMYFUNCTION("""COMPUTED_VALUE"""),60275187)</f>
        <v>60275187</v>
      </c>
      <c r="H567" s="26"/>
    </row>
    <row r="568" spans="1:8" ht="17.25" customHeight="1" x14ac:dyDescent="0.2">
      <c r="A568" s="26"/>
      <c r="B568" s="139">
        <f ca="1">IFERROR(__xludf.DUMMYFUNCTION("""COMPUTED_VALUE"""),45924.6666666666)</f>
        <v>45924.666666666599</v>
      </c>
      <c r="C568" s="141">
        <f ca="1">IFERROR(__xludf.DUMMYFUNCTION("""COMPUTED_VALUE"""),255.22)</f>
        <v>255.22</v>
      </c>
      <c r="D568" s="141">
        <f ca="1">IFERROR(__xludf.DUMMYFUNCTION("""COMPUTED_VALUE"""),255.74)</f>
        <v>255.74</v>
      </c>
      <c r="E568" s="141">
        <f ca="1">IFERROR(__xludf.DUMMYFUNCTION("""COMPUTED_VALUE"""),251.04)</f>
        <v>251.04</v>
      </c>
      <c r="F568" s="141">
        <f ca="1">IFERROR(__xludf.DUMMYFUNCTION("""COMPUTED_VALUE"""),252.31)</f>
        <v>252.31</v>
      </c>
      <c r="G568" s="143">
        <f ca="1">IFERROR(__xludf.DUMMYFUNCTION("""COMPUTED_VALUE"""),42303710)</f>
        <v>42303710</v>
      </c>
      <c r="H568" s="26"/>
    </row>
    <row r="569" spans="1:8" ht="17.25" customHeight="1" x14ac:dyDescent="0.2">
      <c r="A569" s="26"/>
      <c r="B569" s="139">
        <f ca="1">IFERROR(__xludf.DUMMYFUNCTION("""COMPUTED_VALUE"""),45925.6666666666)</f>
        <v>45925.666666666599</v>
      </c>
      <c r="C569" s="141">
        <f ca="1">IFERROR(__xludf.DUMMYFUNCTION("""COMPUTED_VALUE"""),253.21)</f>
        <v>253.21</v>
      </c>
      <c r="D569" s="141">
        <f ca="1">IFERROR(__xludf.DUMMYFUNCTION("""COMPUTED_VALUE"""),257.17)</f>
        <v>257.17</v>
      </c>
      <c r="E569" s="141">
        <f ca="1">IFERROR(__xludf.DUMMYFUNCTION("""COMPUTED_VALUE"""),251.71)</f>
        <v>251.71</v>
      </c>
      <c r="F569" s="141">
        <f ca="1">IFERROR(__xludf.DUMMYFUNCTION("""COMPUTED_VALUE"""),256.87)</f>
        <v>256.87</v>
      </c>
      <c r="G569" s="143">
        <f ca="1">IFERROR(__xludf.DUMMYFUNCTION("""COMPUTED_VALUE"""),55202075)</f>
        <v>55202075</v>
      </c>
      <c r="H569" s="26"/>
    </row>
    <row r="570" spans="1:8" ht="17.25" customHeight="1" x14ac:dyDescent="0.2">
      <c r="A570" s="26"/>
      <c r="B570" s="139">
        <f ca="1">IFERROR(__xludf.DUMMYFUNCTION("""COMPUTED_VALUE"""),45926.6666666666)</f>
        <v>45926.666666666599</v>
      </c>
      <c r="C570" s="141">
        <f ca="1">IFERROR(__xludf.DUMMYFUNCTION("""COMPUTED_VALUE"""),254.1)</f>
        <v>254.1</v>
      </c>
      <c r="D570" s="141">
        <f ca="1">IFERROR(__xludf.DUMMYFUNCTION("""COMPUTED_VALUE"""),257.6)</f>
        <v>257.60000000000002</v>
      </c>
      <c r="E570" s="141">
        <f ca="1">IFERROR(__xludf.DUMMYFUNCTION("""COMPUTED_VALUE"""),253.78)</f>
        <v>253.78</v>
      </c>
      <c r="F570" s="141">
        <f ca="1">IFERROR(__xludf.DUMMYFUNCTION("""COMPUTED_VALUE"""),255.46)</f>
        <v>255.46</v>
      </c>
      <c r="G570" s="143">
        <f ca="1">IFERROR(__xludf.DUMMYFUNCTION("""COMPUTED_VALUE"""),46076258)</f>
        <v>46076258</v>
      </c>
      <c r="H570" s="26"/>
    </row>
    <row r="571" spans="1:8" ht="17.25" customHeight="1" x14ac:dyDescent="0.2">
      <c r="A571" s="26"/>
      <c r="B571" s="139">
        <f ca="1">IFERROR(__xludf.DUMMYFUNCTION("""COMPUTED_VALUE"""),45929.6666666666)</f>
        <v>45929.666666666599</v>
      </c>
      <c r="C571" s="141">
        <f ca="1">IFERROR(__xludf.DUMMYFUNCTION("""COMPUTED_VALUE"""),254.56)</f>
        <v>254.56</v>
      </c>
      <c r="D571" s="141">
        <f ca="1">IFERROR(__xludf.DUMMYFUNCTION("""COMPUTED_VALUE"""),255)</f>
        <v>255</v>
      </c>
      <c r="E571" s="141">
        <f ca="1">IFERROR(__xludf.DUMMYFUNCTION("""COMPUTED_VALUE"""),253.01)</f>
        <v>253.01</v>
      </c>
      <c r="F571" s="141">
        <f ca="1">IFERROR(__xludf.DUMMYFUNCTION("""COMPUTED_VALUE"""),254.43)</f>
        <v>254.43</v>
      </c>
      <c r="G571" s="143">
        <f ca="1">IFERROR(__xludf.DUMMYFUNCTION("""COMPUTED_VALUE"""),40127687)</f>
        <v>40127687</v>
      </c>
      <c r="H571" s="26"/>
    </row>
    <row r="572" spans="1:8" ht="17.25" customHeight="1" x14ac:dyDescent="0.2">
      <c r="A572" s="26"/>
      <c r="B572" s="139">
        <f ca="1">IFERROR(__xludf.DUMMYFUNCTION("""COMPUTED_VALUE"""),45930.6666666666)</f>
        <v>45930.666666666599</v>
      </c>
      <c r="C572" s="141">
        <f ca="1">IFERROR(__xludf.DUMMYFUNCTION("""COMPUTED_VALUE"""),254.86)</f>
        <v>254.86</v>
      </c>
      <c r="D572" s="141">
        <f ca="1">IFERROR(__xludf.DUMMYFUNCTION("""COMPUTED_VALUE"""),255.92)</f>
        <v>255.92</v>
      </c>
      <c r="E572" s="141">
        <f ca="1">IFERROR(__xludf.DUMMYFUNCTION("""COMPUTED_VALUE"""),253.11)</f>
        <v>253.11</v>
      </c>
      <c r="F572" s="141">
        <f ca="1">IFERROR(__xludf.DUMMYFUNCTION("""COMPUTED_VALUE"""),254.63)</f>
        <v>254.63</v>
      </c>
      <c r="G572" s="143">
        <f ca="1">IFERROR(__xludf.DUMMYFUNCTION("""COMPUTED_VALUE"""),37704259)</f>
        <v>37704259</v>
      </c>
      <c r="H572" s="26"/>
    </row>
    <row r="573" spans="1:8" ht="17.25" customHeight="1" x14ac:dyDescent="0.2">
      <c r="A573" s="26"/>
      <c r="B573" s="139">
        <f ca="1">IFERROR(__xludf.DUMMYFUNCTION("""COMPUTED_VALUE"""),45931.6666666666)</f>
        <v>45931.666666666599</v>
      </c>
      <c r="C573" s="141">
        <f ca="1">IFERROR(__xludf.DUMMYFUNCTION("""COMPUTED_VALUE"""),255.04)</f>
        <v>255.04</v>
      </c>
      <c r="D573" s="141">
        <f ca="1">IFERROR(__xludf.DUMMYFUNCTION("""COMPUTED_VALUE"""),258.79)</f>
        <v>258.79000000000002</v>
      </c>
      <c r="E573" s="141">
        <f ca="1">IFERROR(__xludf.DUMMYFUNCTION("""COMPUTED_VALUE"""),254.93)</f>
        <v>254.93</v>
      </c>
      <c r="F573" s="141">
        <f ca="1">IFERROR(__xludf.DUMMYFUNCTION("""COMPUTED_VALUE"""),255.45)</f>
        <v>255.45</v>
      </c>
      <c r="G573" s="143">
        <f ca="1">IFERROR(__xludf.DUMMYFUNCTION("""COMPUTED_VALUE"""),48713940)</f>
        <v>48713940</v>
      </c>
      <c r="H573" s="26"/>
    </row>
    <row r="574" spans="1:8" ht="17.25" customHeight="1" x14ac:dyDescent="0.2">
      <c r="A574" s="26"/>
      <c r="B574" s="139">
        <f ca="1">IFERROR(__xludf.DUMMYFUNCTION("""COMPUTED_VALUE"""),45932.6666666666)</f>
        <v>45932.666666666599</v>
      </c>
      <c r="C574" s="141">
        <f ca="1">IFERROR(__xludf.DUMMYFUNCTION("""COMPUTED_VALUE"""),256.58)</f>
        <v>256.58</v>
      </c>
      <c r="D574" s="141">
        <f ca="1">IFERROR(__xludf.DUMMYFUNCTION("""COMPUTED_VALUE"""),258.18)</f>
        <v>258.18</v>
      </c>
      <c r="E574" s="141">
        <f ca="1">IFERROR(__xludf.DUMMYFUNCTION("""COMPUTED_VALUE"""),254.15)</f>
        <v>254.15</v>
      </c>
      <c r="F574" s="141">
        <f ca="1">IFERROR(__xludf.DUMMYFUNCTION("""COMPUTED_VALUE"""),257.13)</f>
        <v>257.13</v>
      </c>
      <c r="G574" s="143">
        <f ca="1">IFERROR(__xludf.DUMMYFUNCTION("""COMPUTED_VALUE"""),42630239)</f>
        <v>42630239</v>
      </c>
      <c r="H574" s="26"/>
    </row>
    <row r="575" spans="1:8" ht="17.25" customHeight="1" x14ac:dyDescent="0.2">
      <c r="A575" s="26"/>
      <c r="B575" s="139">
        <f ca="1">IFERROR(__xludf.DUMMYFUNCTION("""COMPUTED_VALUE"""),45933.6666666666)</f>
        <v>45933.666666666599</v>
      </c>
      <c r="C575" s="141">
        <f ca="1">IFERROR(__xludf.DUMMYFUNCTION("""COMPUTED_VALUE"""),254.67)</f>
        <v>254.67</v>
      </c>
      <c r="D575" s="141">
        <f ca="1">IFERROR(__xludf.DUMMYFUNCTION("""COMPUTED_VALUE"""),259.24)</f>
        <v>259.24</v>
      </c>
      <c r="E575" s="141">
        <f ca="1">IFERROR(__xludf.DUMMYFUNCTION("""COMPUTED_VALUE"""),253.95)</f>
        <v>253.95</v>
      </c>
      <c r="F575" s="141">
        <f ca="1">IFERROR(__xludf.DUMMYFUNCTION("""COMPUTED_VALUE"""),258.02)</f>
        <v>258.02</v>
      </c>
      <c r="G575" s="143">
        <f ca="1">IFERROR(__xludf.DUMMYFUNCTION("""COMPUTED_VALUE"""),49155614)</f>
        <v>49155614</v>
      </c>
      <c r="H575" s="26"/>
    </row>
    <row r="576" spans="1:8" ht="17.25" customHeight="1" x14ac:dyDescent="0.2">
      <c r="A576" s="26"/>
      <c r="B576" s="139">
        <f ca="1">IFERROR(__xludf.DUMMYFUNCTION("""COMPUTED_VALUE"""),45936.6666666666)</f>
        <v>45936.666666666599</v>
      </c>
      <c r="C576" s="141">
        <f ca="1">IFERROR(__xludf.DUMMYFUNCTION("""COMPUTED_VALUE"""),257.99)</f>
        <v>257.99</v>
      </c>
      <c r="D576" s="141">
        <f ca="1">IFERROR(__xludf.DUMMYFUNCTION("""COMPUTED_VALUE"""),259.07)</f>
        <v>259.07</v>
      </c>
      <c r="E576" s="141">
        <f ca="1">IFERROR(__xludf.DUMMYFUNCTION("""COMPUTED_VALUE"""),255.05)</f>
        <v>255.05</v>
      </c>
      <c r="F576" s="141">
        <f ca="1">IFERROR(__xludf.DUMMYFUNCTION("""COMPUTED_VALUE"""),256.69)</f>
        <v>256.69</v>
      </c>
      <c r="G576" s="143">
        <f ca="1">IFERROR(__xludf.DUMMYFUNCTION("""COMPUTED_VALUE"""),44664118)</f>
        <v>44664118</v>
      </c>
      <c r="H576" s="26"/>
    </row>
    <row r="577" spans="1:8" ht="17.25" customHeight="1" x14ac:dyDescent="0.2">
      <c r="A577" s="26"/>
      <c r="B577" s="139">
        <f ca="1">IFERROR(__xludf.DUMMYFUNCTION("""COMPUTED_VALUE"""),45937.6666666666)</f>
        <v>45937.666666666599</v>
      </c>
      <c r="C577" s="141">
        <f ca="1">IFERROR(__xludf.DUMMYFUNCTION("""COMPUTED_VALUE"""),256.81)</f>
        <v>256.81</v>
      </c>
      <c r="D577" s="141">
        <f ca="1">IFERROR(__xludf.DUMMYFUNCTION("""COMPUTED_VALUE"""),257.4)</f>
        <v>257.39999999999998</v>
      </c>
      <c r="E577" s="141">
        <f ca="1">IFERROR(__xludf.DUMMYFUNCTION("""COMPUTED_VALUE"""),255.43)</f>
        <v>255.43</v>
      </c>
      <c r="F577" s="141">
        <f ca="1">IFERROR(__xludf.DUMMYFUNCTION("""COMPUTED_VALUE"""),256.48)</f>
        <v>256.48</v>
      </c>
      <c r="G577" s="143">
        <f ca="1">IFERROR(__xludf.DUMMYFUNCTION("""COMPUTED_VALUE"""),31955776)</f>
        <v>31955776</v>
      </c>
      <c r="H577" s="26"/>
    </row>
    <row r="578" spans="1:8" ht="17.25" customHeight="1" x14ac:dyDescent="0.2">
      <c r="A578" s="26"/>
      <c r="B578" s="139">
        <f ca="1">IFERROR(__xludf.DUMMYFUNCTION("""COMPUTED_VALUE"""),45938.6666666666)</f>
        <v>45938.666666666599</v>
      </c>
      <c r="C578" s="141">
        <f ca="1">IFERROR(__xludf.DUMMYFUNCTION("""COMPUTED_VALUE"""),256.52)</f>
        <v>256.52</v>
      </c>
      <c r="D578" s="141">
        <f ca="1">IFERROR(__xludf.DUMMYFUNCTION("""COMPUTED_VALUE"""),258.52)</f>
        <v>258.52</v>
      </c>
      <c r="E578" s="141">
        <f ca="1">IFERROR(__xludf.DUMMYFUNCTION("""COMPUTED_VALUE"""),256.11)</f>
        <v>256.11</v>
      </c>
      <c r="F578" s="141">
        <f ca="1">IFERROR(__xludf.DUMMYFUNCTION("""COMPUTED_VALUE"""),258.06)</f>
        <v>258.06</v>
      </c>
      <c r="G578" s="143">
        <f ca="1">IFERROR(__xludf.DUMMYFUNCTION("""COMPUTED_VALUE"""),36496895)</f>
        <v>36496895</v>
      </c>
      <c r="H578" s="26"/>
    </row>
    <row r="579" spans="1:8" ht="17.25" customHeight="1" x14ac:dyDescent="0.2">
      <c r="A579" s="26"/>
      <c r="B579" s="139">
        <f ca="1">IFERROR(__xludf.DUMMYFUNCTION("""COMPUTED_VALUE"""),45939.6666666666)</f>
        <v>45939.666666666599</v>
      </c>
      <c r="C579" s="141">
        <f ca="1">IFERROR(__xludf.DUMMYFUNCTION("""COMPUTED_VALUE"""),257.81)</f>
        <v>257.81</v>
      </c>
      <c r="D579" s="141">
        <f ca="1">IFERROR(__xludf.DUMMYFUNCTION("""COMPUTED_VALUE"""),258)</f>
        <v>258</v>
      </c>
      <c r="E579" s="141">
        <f ca="1">IFERROR(__xludf.DUMMYFUNCTION("""COMPUTED_VALUE"""),253.14)</f>
        <v>253.14</v>
      </c>
      <c r="F579" s="141">
        <f ca="1">IFERROR(__xludf.DUMMYFUNCTION("""COMPUTED_VALUE"""),254.04)</f>
        <v>254.04</v>
      </c>
      <c r="G579" s="143">
        <f ca="1">IFERROR(__xludf.DUMMYFUNCTION("""COMPUTED_VALUE"""),38322012)</f>
        <v>38322012</v>
      </c>
      <c r="H579" s="26"/>
    </row>
    <row r="580" spans="1:8" ht="17.25" customHeight="1" x14ac:dyDescent="0.2">
      <c r="A580" s="26"/>
      <c r="B580" s="139">
        <f ca="1">IFERROR(__xludf.DUMMYFUNCTION("""COMPUTED_VALUE"""),45940.6666666666)</f>
        <v>45940.666666666599</v>
      </c>
      <c r="C580" s="141">
        <f ca="1">IFERROR(__xludf.DUMMYFUNCTION("""COMPUTED_VALUE"""),254.94)</f>
        <v>254.94</v>
      </c>
      <c r="D580" s="141">
        <f ca="1">IFERROR(__xludf.DUMMYFUNCTION("""COMPUTED_VALUE"""),256.38)</f>
        <v>256.38</v>
      </c>
      <c r="E580" s="141">
        <f ca="1">IFERROR(__xludf.DUMMYFUNCTION("""COMPUTED_VALUE"""),244)</f>
        <v>244</v>
      </c>
      <c r="F580" s="141">
        <f ca="1">IFERROR(__xludf.DUMMYFUNCTION("""COMPUTED_VALUE"""),245.27)</f>
        <v>245.27</v>
      </c>
      <c r="G580" s="143">
        <f ca="1">IFERROR(__xludf.DUMMYFUNCTION("""COMPUTED_VALUE"""),61999098)</f>
        <v>61999098</v>
      </c>
      <c r="H580" s="26"/>
    </row>
    <row r="581" spans="1:8" ht="17.25" customHeight="1" x14ac:dyDescent="0.2">
      <c r="A581" s="26"/>
      <c r="B581" s="139">
        <f ca="1">IFERROR(__xludf.DUMMYFUNCTION("""COMPUTED_VALUE"""),45943.6666666666)</f>
        <v>45943.666666666599</v>
      </c>
      <c r="C581" s="141">
        <f ca="1">IFERROR(__xludf.DUMMYFUNCTION("""COMPUTED_VALUE"""),249.38)</f>
        <v>249.38</v>
      </c>
      <c r="D581" s="141">
        <f ca="1">IFERROR(__xludf.DUMMYFUNCTION("""COMPUTED_VALUE"""),249.69)</f>
        <v>249.69</v>
      </c>
      <c r="E581" s="141">
        <f ca="1">IFERROR(__xludf.DUMMYFUNCTION("""COMPUTED_VALUE"""),245.56)</f>
        <v>245.56</v>
      </c>
      <c r="F581" s="141">
        <f ca="1">IFERROR(__xludf.DUMMYFUNCTION("""COMPUTED_VALUE"""),247.66)</f>
        <v>247.66</v>
      </c>
      <c r="G581" s="143">
        <f ca="1">IFERROR(__xludf.DUMMYFUNCTION("""COMPUTED_VALUE"""),38142942)</f>
        <v>38142942</v>
      </c>
      <c r="H581" s="26"/>
    </row>
    <row r="582" spans="1:8" ht="17.25" customHeight="1" x14ac:dyDescent="0.2">
      <c r="A582" s="26"/>
      <c r="B582" s="139">
        <f ca="1">IFERROR(__xludf.DUMMYFUNCTION("""COMPUTED_VALUE"""),45944.6666666666)</f>
        <v>45944.666666666599</v>
      </c>
      <c r="C582" s="141">
        <f ca="1">IFERROR(__xludf.DUMMYFUNCTION("""COMPUTED_VALUE"""),246.6)</f>
        <v>246.6</v>
      </c>
      <c r="D582" s="141">
        <f ca="1">IFERROR(__xludf.DUMMYFUNCTION("""COMPUTED_VALUE"""),248.85)</f>
        <v>248.85</v>
      </c>
      <c r="E582" s="141">
        <f ca="1">IFERROR(__xludf.DUMMYFUNCTION("""COMPUTED_VALUE"""),244.7)</f>
        <v>244.7</v>
      </c>
      <c r="F582" s="141">
        <f ca="1">IFERROR(__xludf.DUMMYFUNCTION("""COMPUTED_VALUE"""),247.77)</f>
        <v>247.77</v>
      </c>
      <c r="G582" s="143">
        <f ca="1">IFERROR(__xludf.DUMMYFUNCTION("""COMPUTED_VALUE"""),35477986)</f>
        <v>35477986</v>
      </c>
      <c r="H582" s="26"/>
    </row>
    <row r="583" spans="1:8" ht="17.25" customHeight="1" x14ac:dyDescent="0.2">
      <c r="A583" s="26"/>
      <c r="B583" s="139">
        <f ca="1">IFERROR(__xludf.DUMMYFUNCTION("""COMPUTED_VALUE"""),45945.6666666666)</f>
        <v>45945.666666666599</v>
      </c>
      <c r="C583" s="141">
        <f ca="1">IFERROR(__xludf.DUMMYFUNCTION("""COMPUTED_VALUE"""),249.49)</f>
        <v>249.49</v>
      </c>
      <c r="D583" s="141">
        <f ca="1">IFERROR(__xludf.DUMMYFUNCTION("""COMPUTED_VALUE"""),251.82)</f>
        <v>251.82</v>
      </c>
      <c r="E583" s="141">
        <f ca="1">IFERROR(__xludf.DUMMYFUNCTION("""COMPUTED_VALUE"""),247.47)</f>
        <v>247.47</v>
      </c>
      <c r="F583" s="141">
        <f ca="1">IFERROR(__xludf.DUMMYFUNCTION("""COMPUTED_VALUE"""),249.34)</f>
        <v>249.34</v>
      </c>
      <c r="G583" s="143">
        <f ca="1">IFERROR(__xludf.DUMMYFUNCTION("""COMPUTED_VALUE"""),33893611)</f>
        <v>33893611</v>
      </c>
      <c r="H583" s="26"/>
    </row>
    <row r="584" spans="1:8" ht="17.25" customHeight="1" x14ac:dyDescent="0.2">
      <c r="A584" s="26"/>
      <c r="B584" s="139">
        <f ca="1">IFERROR(__xludf.DUMMYFUNCTION("""COMPUTED_VALUE"""),45946.6666666666)</f>
        <v>45946.666666666599</v>
      </c>
      <c r="C584" s="141">
        <f ca="1">IFERROR(__xludf.DUMMYFUNCTION("""COMPUTED_VALUE"""),248.25)</f>
        <v>248.25</v>
      </c>
      <c r="D584" s="141">
        <f ca="1">IFERROR(__xludf.DUMMYFUNCTION("""COMPUTED_VALUE"""),249.04)</f>
        <v>249.04</v>
      </c>
      <c r="E584" s="141">
        <f ca="1">IFERROR(__xludf.DUMMYFUNCTION("""COMPUTED_VALUE"""),245.13)</f>
        <v>245.13</v>
      </c>
      <c r="F584" s="141">
        <f ca="1">IFERROR(__xludf.DUMMYFUNCTION("""COMPUTED_VALUE"""),247.45)</f>
        <v>247.45</v>
      </c>
      <c r="G584" s="143">
        <f ca="1">IFERROR(__xludf.DUMMYFUNCTION("""COMPUTED_VALUE"""),39776974)</f>
        <v>39776974</v>
      </c>
      <c r="H584" s="26"/>
    </row>
    <row r="585" spans="1:8" ht="17.25" customHeight="1" x14ac:dyDescent="0.2">
      <c r="A585" s="26"/>
      <c r="B585" s="139">
        <f ca="1">IFERROR(__xludf.DUMMYFUNCTION("""COMPUTED_VALUE"""),45947.6666666666)</f>
        <v>45947.666666666599</v>
      </c>
      <c r="C585" s="141">
        <f ca="1">IFERROR(__xludf.DUMMYFUNCTION("""COMPUTED_VALUE"""),248.02)</f>
        <v>248.02</v>
      </c>
      <c r="D585" s="141">
        <f ca="1">IFERROR(__xludf.DUMMYFUNCTION("""COMPUTED_VALUE"""),253.38)</f>
        <v>253.38</v>
      </c>
      <c r="E585" s="141">
        <f ca="1">IFERROR(__xludf.DUMMYFUNCTION("""COMPUTED_VALUE"""),247.27)</f>
        <v>247.27</v>
      </c>
      <c r="F585" s="141">
        <f ca="1">IFERROR(__xludf.DUMMYFUNCTION("""COMPUTED_VALUE"""),252.29)</f>
        <v>252.29</v>
      </c>
      <c r="G585" s="143">
        <f ca="1">IFERROR(__xludf.DUMMYFUNCTION("""COMPUTED_VALUE"""),49146961)</f>
        <v>49146961</v>
      </c>
      <c r="H585" s="26"/>
    </row>
    <row r="586" spans="1:8" ht="17.25" customHeight="1" x14ac:dyDescent="0.2">
      <c r="A586" s="26"/>
      <c r="B586" s="139">
        <f ca="1">IFERROR(__xludf.DUMMYFUNCTION("""COMPUTED_VALUE"""),45950.6666666666)</f>
        <v>45950.666666666599</v>
      </c>
      <c r="C586" s="141">
        <f ca="1">IFERROR(__xludf.DUMMYFUNCTION("""COMPUTED_VALUE"""),255.89)</f>
        <v>255.89</v>
      </c>
      <c r="D586" s="141">
        <f ca="1">IFERROR(__xludf.DUMMYFUNCTION("""COMPUTED_VALUE"""),264.38)</f>
        <v>264.38</v>
      </c>
      <c r="E586" s="141">
        <f ca="1">IFERROR(__xludf.DUMMYFUNCTION("""COMPUTED_VALUE"""),255.63)</f>
        <v>255.63</v>
      </c>
      <c r="F586" s="141">
        <f ca="1">IFERROR(__xludf.DUMMYFUNCTION("""COMPUTED_VALUE"""),262.24)</f>
        <v>262.24</v>
      </c>
      <c r="G586" s="143">
        <f ca="1">IFERROR(__xludf.DUMMYFUNCTION("""COMPUTED_VALUE"""),90483029)</f>
        <v>90483029</v>
      </c>
      <c r="H586" s="26"/>
    </row>
    <row r="587" spans="1:8" ht="17.25" customHeight="1" x14ac:dyDescent="0.2">
      <c r="A587" s="26"/>
      <c r="B587" s="139">
        <f ca="1">IFERROR(__xludf.DUMMYFUNCTION("""COMPUTED_VALUE"""),45951.6666666666)</f>
        <v>45951.666666666599</v>
      </c>
      <c r="C587" s="141">
        <f ca="1">IFERROR(__xludf.DUMMYFUNCTION("""COMPUTED_VALUE"""),261.88)</f>
        <v>261.88</v>
      </c>
      <c r="D587" s="141">
        <f ca="1">IFERROR(__xludf.DUMMYFUNCTION("""COMPUTED_VALUE"""),265.29)</f>
        <v>265.29000000000002</v>
      </c>
      <c r="E587" s="141">
        <f ca="1">IFERROR(__xludf.DUMMYFUNCTION("""COMPUTED_VALUE"""),261.83)</f>
        <v>261.83</v>
      </c>
      <c r="F587" s="141">
        <f ca="1">IFERROR(__xludf.DUMMYFUNCTION("""COMPUTED_VALUE"""),262.77)</f>
        <v>262.77</v>
      </c>
      <c r="G587" s="143">
        <f ca="1">IFERROR(__xludf.DUMMYFUNCTION("""COMPUTED_VALUE"""),46695948)</f>
        <v>46695948</v>
      </c>
      <c r="H587" s="26"/>
    </row>
    <row r="588" spans="1:8" ht="17.25" customHeight="1" x14ac:dyDescent="0.2">
      <c r="A588" s="26"/>
      <c r="B588" s="139">
        <f ca="1">IFERROR(__xludf.DUMMYFUNCTION("""COMPUTED_VALUE"""),45952.6666666666)</f>
        <v>45952.666666666599</v>
      </c>
      <c r="C588" s="141">
        <f ca="1">IFERROR(__xludf.DUMMYFUNCTION("""COMPUTED_VALUE"""),262.65)</f>
        <v>262.64999999999998</v>
      </c>
      <c r="D588" s="141">
        <f ca="1">IFERROR(__xludf.DUMMYFUNCTION("""COMPUTED_VALUE"""),262.85)</f>
        <v>262.85000000000002</v>
      </c>
      <c r="E588" s="141">
        <f ca="1">IFERROR(__xludf.DUMMYFUNCTION("""COMPUTED_VALUE"""),255.43)</f>
        <v>255.43</v>
      </c>
      <c r="F588" s="141">
        <f ca="1">IFERROR(__xludf.DUMMYFUNCTION("""COMPUTED_VALUE"""),258.45)</f>
        <v>258.45</v>
      </c>
      <c r="G588" s="143">
        <f ca="1">IFERROR(__xludf.DUMMYFUNCTION("""COMPUTED_VALUE"""),45015254)</f>
        <v>45015254</v>
      </c>
      <c r="H588" s="26"/>
    </row>
    <row r="589" spans="1:8" ht="17.25" customHeight="1" x14ac:dyDescent="0.2">
      <c r="A589" s="26"/>
      <c r="B589" s="139">
        <f ca="1">IFERROR(__xludf.DUMMYFUNCTION("""COMPUTED_VALUE"""),45953.6666666666)</f>
        <v>45953.666666666599</v>
      </c>
      <c r="C589" s="141">
        <f ca="1">IFERROR(__xludf.DUMMYFUNCTION("""COMPUTED_VALUE"""),259.94)</f>
        <v>259.94</v>
      </c>
      <c r="D589" s="141">
        <f ca="1">IFERROR(__xludf.DUMMYFUNCTION("""COMPUTED_VALUE"""),260.62)</f>
        <v>260.62</v>
      </c>
      <c r="E589" s="141">
        <f ca="1">IFERROR(__xludf.DUMMYFUNCTION("""COMPUTED_VALUE"""),258.01)</f>
        <v>258.01</v>
      </c>
      <c r="F589" s="141">
        <f ca="1">IFERROR(__xludf.DUMMYFUNCTION("""COMPUTED_VALUE"""),259.58)</f>
        <v>259.58</v>
      </c>
      <c r="G589" s="143">
        <f ca="1">IFERROR(__xludf.DUMMYFUNCTION("""COMPUTED_VALUE"""),32754941)</f>
        <v>32754941</v>
      </c>
      <c r="H589" s="26"/>
    </row>
    <row r="590" spans="1:8" ht="17.25" customHeight="1" x14ac:dyDescent="0.2">
      <c r="A590" s="26"/>
      <c r="B590" s="139">
        <f ca="1">IFERROR(__xludf.DUMMYFUNCTION("""COMPUTED_VALUE"""),45954.6666666666)</f>
        <v>45954.666666666599</v>
      </c>
      <c r="C590" s="141">
        <f ca="1">IFERROR(__xludf.DUMMYFUNCTION("""COMPUTED_VALUE"""),261.19)</f>
        <v>261.19</v>
      </c>
      <c r="D590" s="141">
        <f ca="1">IFERROR(__xludf.DUMMYFUNCTION("""COMPUTED_VALUE"""),264.13)</f>
        <v>264.13</v>
      </c>
      <c r="E590" s="141">
        <f ca="1">IFERROR(__xludf.DUMMYFUNCTION("""COMPUTED_VALUE"""),259.18)</f>
        <v>259.18</v>
      </c>
      <c r="F590" s="141">
        <f ca="1">IFERROR(__xludf.DUMMYFUNCTION("""COMPUTED_VALUE"""),262.82)</f>
        <v>262.82</v>
      </c>
      <c r="G590" s="143">
        <f ca="1">IFERROR(__xludf.DUMMYFUNCTION("""COMPUTED_VALUE"""),38253717)</f>
        <v>38253717</v>
      </c>
      <c r="H590" s="26"/>
    </row>
    <row r="591" spans="1:8" ht="17.25" customHeight="1" x14ac:dyDescent="0.2">
      <c r="A591" s="26"/>
      <c r="B591" s="139">
        <f ca="1">IFERROR(__xludf.DUMMYFUNCTION("""COMPUTED_VALUE"""),45957.6666666666)</f>
        <v>45957.666666666599</v>
      </c>
      <c r="C591" s="141">
        <f ca="1">IFERROR(__xludf.DUMMYFUNCTION("""COMPUTED_VALUE"""),264.88)</f>
        <v>264.88</v>
      </c>
      <c r="D591" s="141">
        <f ca="1">IFERROR(__xludf.DUMMYFUNCTION("""COMPUTED_VALUE"""),269.12)</f>
        <v>269.12</v>
      </c>
      <c r="E591" s="141">
        <f ca="1">IFERROR(__xludf.DUMMYFUNCTION("""COMPUTED_VALUE"""),264.65)</f>
        <v>264.64999999999998</v>
      </c>
      <c r="F591" s="141">
        <f ca="1">IFERROR(__xludf.DUMMYFUNCTION("""COMPUTED_VALUE"""),268.81)</f>
        <v>268.81</v>
      </c>
      <c r="G591" s="143">
        <f ca="1">IFERROR(__xludf.DUMMYFUNCTION("""COMPUTED_VALUE"""),44888152)</f>
        <v>44888152</v>
      </c>
      <c r="H591" s="26"/>
    </row>
    <row r="592" spans="1:8" ht="17.25" customHeight="1" x14ac:dyDescent="0.2">
      <c r="A592" s="26"/>
      <c r="B592" s="139">
        <f ca="1">IFERROR(__xludf.DUMMYFUNCTION("""COMPUTED_VALUE"""),45958.6666666666)</f>
        <v>45958.666666666599</v>
      </c>
      <c r="C592" s="141">
        <f ca="1">IFERROR(__xludf.DUMMYFUNCTION("""COMPUTED_VALUE"""),268.99)</f>
        <v>268.99</v>
      </c>
      <c r="D592" s="141">
        <f ca="1">IFERROR(__xludf.DUMMYFUNCTION("""COMPUTED_VALUE"""),269.89)</f>
        <v>269.89</v>
      </c>
      <c r="E592" s="141">
        <f ca="1">IFERROR(__xludf.DUMMYFUNCTION("""COMPUTED_VALUE"""),268.15)</f>
        <v>268.14999999999998</v>
      </c>
      <c r="F592" s="141">
        <f ca="1">IFERROR(__xludf.DUMMYFUNCTION("""COMPUTED_VALUE"""),269)</f>
        <v>269</v>
      </c>
      <c r="G592" s="143">
        <f ca="1">IFERROR(__xludf.DUMMYFUNCTION("""COMPUTED_VALUE"""),41534759)</f>
        <v>41534759</v>
      </c>
      <c r="H592" s="26"/>
    </row>
    <row r="593" spans="1:8" ht="17.25" customHeight="1" x14ac:dyDescent="0.2">
      <c r="A593" s="26"/>
      <c r="B593" s="139">
        <f ca="1">IFERROR(__xludf.DUMMYFUNCTION("""COMPUTED_VALUE"""),45959.6666666666)</f>
        <v>45959.666666666599</v>
      </c>
      <c r="C593" s="141">
        <f ca="1">IFERROR(__xludf.DUMMYFUNCTION("""COMPUTED_VALUE"""),269.27)</f>
        <v>269.27</v>
      </c>
      <c r="D593" s="141">
        <f ca="1">IFERROR(__xludf.DUMMYFUNCTION("""COMPUTED_VALUE"""),271.41)</f>
        <v>271.41000000000003</v>
      </c>
      <c r="E593" s="141">
        <f ca="1">IFERROR(__xludf.DUMMYFUNCTION("""COMPUTED_VALUE"""),267.11)</f>
        <v>267.11</v>
      </c>
      <c r="F593" s="141">
        <f ca="1">IFERROR(__xludf.DUMMYFUNCTION("""COMPUTED_VALUE"""),269.7)</f>
        <v>269.7</v>
      </c>
      <c r="G593" s="143">
        <f ca="1">IFERROR(__xludf.DUMMYFUNCTION("""COMPUTED_VALUE"""),51086742)</f>
        <v>51086742</v>
      </c>
      <c r="H593" s="26"/>
    </row>
    <row r="594" spans="1:8" ht="17.25" customHeight="1" x14ac:dyDescent="0.2">
      <c r="A594" s="26"/>
      <c r="B594" s="139">
        <f ca="1">IFERROR(__xludf.DUMMYFUNCTION("""COMPUTED_VALUE"""),45960.6666666666)</f>
        <v>45960.666666666599</v>
      </c>
      <c r="C594" s="141">
        <f ca="1">IFERROR(__xludf.DUMMYFUNCTION("""COMPUTED_VALUE"""),271.99)</f>
        <v>271.99</v>
      </c>
      <c r="D594" s="141">
        <f ca="1">IFERROR(__xludf.DUMMYFUNCTION("""COMPUTED_VALUE"""),274.14)</f>
        <v>274.14</v>
      </c>
      <c r="E594" s="141">
        <f ca="1">IFERROR(__xludf.DUMMYFUNCTION("""COMPUTED_VALUE"""),268.48)</f>
        <v>268.48</v>
      </c>
      <c r="F594" s="141">
        <f ca="1">IFERROR(__xludf.DUMMYFUNCTION("""COMPUTED_VALUE"""),271.4)</f>
        <v>271.39999999999998</v>
      </c>
      <c r="G594" s="143">
        <f ca="1">IFERROR(__xludf.DUMMYFUNCTION("""COMPUTED_VALUE"""),69886534)</f>
        <v>69886534</v>
      </c>
      <c r="H594" s="26"/>
    </row>
    <row r="595" spans="1:8" ht="17.25" customHeight="1" x14ac:dyDescent="0.2">
      <c r="A595" s="26"/>
      <c r="B595" s="139">
        <f ca="1">IFERROR(__xludf.DUMMYFUNCTION("""COMPUTED_VALUE"""),45961.6666666666)</f>
        <v>45961.666666666599</v>
      </c>
      <c r="C595" s="141">
        <f ca="1">IFERROR(__xludf.DUMMYFUNCTION("""COMPUTED_VALUE"""),276.99)</f>
        <v>276.99</v>
      </c>
      <c r="D595" s="141">
        <f ca="1">IFERROR(__xludf.DUMMYFUNCTION("""COMPUTED_VALUE"""),277.32)</f>
        <v>277.32</v>
      </c>
      <c r="E595" s="141">
        <f ca="1">IFERROR(__xludf.DUMMYFUNCTION("""COMPUTED_VALUE"""),269.16)</f>
        <v>269.16000000000003</v>
      </c>
      <c r="F595" s="141">
        <f ca="1">IFERROR(__xludf.DUMMYFUNCTION("""COMPUTED_VALUE"""),270.37)</f>
        <v>270.37</v>
      </c>
      <c r="G595" s="143">
        <f ca="1">IFERROR(__xludf.DUMMYFUNCTION("""COMPUTED_VALUE"""),86167123)</f>
        <v>86167123</v>
      </c>
      <c r="H595" s="26"/>
    </row>
    <row r="596" spans="1:8" ht="17.25" customHeight="1" x14ac:dyDescent="0.2">
      <c r="A596" s="26"/>
      <c r="B596" s="139">
        <f ca="1">IFERROR(__xludf.DUMMYFUNCTION("""COMPUTED_VALUE"""),45964.6666666666)</f>
        <v>45964.666666666599</v>
      </c>
      <c r="C596" s="141">
        <f ca="1">IFERROR(__xludf.DUMMYFUNCTION("""COMPUTED_VALUE"""),270.42)</f>
        <v>270.42</v>
      </c>
      <c r="D596" s="141">
        <f ca="1">IFERROR(__xludf.DUMMYFUNCTION("""COMPUTED_VALUE"""),270.85)</f>
        <v>270.85000000000002</v>
      </c>
      <c r="E596" s="141">
        <f ca="1">IFERROR(__xludf.DUMMYFUNCTION("""COMPUTED_VALUE"""),266.25)</f>
        <v>266.25</v>
      </c>
      <c r="F596" s="141">
        <f ca="1">IFERROR(__xludf.DUMMYFUNCTION("""COMPUTED_VALUE"""),269.05)</f>
        <v>269.05</v>
      </c>
      <c r="G596" s="143">
        <f ca="1">IFERROR(__xludf.DUMMYFUNCTION("""COMPUTED_VALUE"""),50194583)</f>
        <v>50194583</v>
      </c>
      <c r="H596" s="26"/>
    </row>
    <row r="597" spans="1:8" ht="17.25" customHeight="1" x14ac:dyDescent="0.2">
      <c r="A597" s="26"/>
      <c r="B597" s="139">
        <f ca="1">IFERROR(__xludf.DUMMYFUNCTION("""COMPUTED_VALUE"""),45965.6666666666)</f>
        <v>45965.666666666599</v>
      </c>
      <c r="C597" s="141">
        <f ca="1">IFERROR(__xludf.DUMMYFUNCTION("""COMPUTED_VALUE"""),268.33)</f>
        <v>268.33</v>
      </c>
      <c r="D597" s="141">
        <f ca="1">IFERROR(__xludf.DUMMYFUNCTION("""COMPUTED_VALUE"""),271.49)</f>
        <v>271.49</v>
      </c>
      <c r="E597" s="141">
        <f ca="1">IFERROR(__xludf.DUMMYFUNCTION("""COMPUTED_VALUE"""),267.62)</f>
        <v>267.62</v>
      </c>
      <c r="F597" s="141">
        <f ca="1">IFERROR(__xludf.DUMMYFUNCTION("""COMPUTED_VALUE"""),270.04)</f>
        <v>270.04000000000002</v>
      </c>
      <c r="G597" s="143">
        <f ca="1">IFERROR(__xludf.DUMMYFUNCTION("""COMPUTED_VALUE"""),49274846)</f>
        <v>49274846</v>
      </c>
      <c r="H597" s="26"/>
    </row>
    <row r="598" spans="1:8" ht="17.25" customHeight="1" x14ac:dyDescent="0.2">
      <c r="A598" s="26"/>
      <c r="B598" s="139">
        <f ca="1">IFERROR(__xludf.DUMMYFUNCTION("""COMPUTED_VALUE"""),45966.6666666666)</f>
        <v>45966.666666666599</v>
      </c>
      <c r="C598" s="141">
        <f ca="1">IFERROR(__xludf.DUMMYFUNCTION("""COMPUTED_VALUE"""),268.61)</f>
        <v>268.61</v>
      </c>
      <c r="D598" s="141">
        <f ca="1">IFERROR(__xludf.DUMMYFUNCTION("""COMPUTED_VALUE"""),271.7)</f>
        <v>271.7</v>
      </c>
      <c r="E598" s="141">
        <f ca="1">IFERROR(__xludf.DUMMYFUNCTION("""COMPUTED_VALUE"""),266.93)</f>
        <v>266.93</v>
      </c>
      <c r="F598" s="141">
        <f ca="1">IFERROR(__xludf.DUMMYFUNCTION("""COMPUTED_VALUE"""),270.14)</f>
        <v>270.14</v>
      </c>
      <c r="G598" s="143">
        <f ca="1">IFERROR(__xludf.DUMMYFUNCTION("""COMPUTED_VALUE"""),43683072)</f>
        <v>43683072</v>
      </c>
      <c r="H598" s="26"/>
    </row>
    <row r="599" spans="1:8" ht="17.25" customHeight="1" x14ac:dyDescent="0.2">
      <c r="A599" s="26"/>
      <c r="B599" s="139">
        <f ca="1">IFERROR(__xludf.DUMMYFUNCTION("""COMPUTED_VALUE"""),45967.6666666666)</f>
        <v>45967.666666666599</v>
      </c>
      <c r="C599" s="141">
        <f ca="1">IFERROR(__xludf.DUMMYFUNCTION("""COMPUTED_VALUE"""),267.89)</f>
        <v>267.89</v>
      </c>
      <c r="D599" s="141">
        <f ca="1">IFERROR(__xludf.DUMMYFUNCTION("""COMPUTED_VALUE"""),273.4)</f>
        <v>273.39999999999998</v>
      </c>
      <c r="E599" s="141">
        <f ca="1">IFERROR(__xludf.DUMMYFUNCTION("""COMPUTED_VALUE"""),267.89)</f>
        <v>267.89</v>
      </c>
      <c r="F599" s="141">
        <f ca="1">IFERROR(__xludf.DUMMYFUNCTION("""COMPUTED_VALUE"""),269.77)</f>
        <v>269.77</v>
      </c>
      <c r="G599" s="143">
        <f ca="1">IFERROR(__xludf.DUMMYFUNCTION("""COMPUTED_VALUE"""),51204045)</f>
        <v>51204045</v>
      </c>
      <c r="H599" s="26"/>
    </row>
    <row r="600" spans="1:8" ht="17.25" customHeight="1" x14ac:dyDescent="0.2">
      <c r="A600" s="26"/>
      <c r="B600" s="139">
        <f ca="1">IFERROR(__xludf.DUMMYFUNCTION("""COMPUTED_VALUE"""),45968.6666666666)</f>
        <v>45968.666666666599</v>
      </c>
      <c r="C600" s="141">
        <f ca="1">IFERROR(__xludf.DUMMYFUNCTION("""COMPUTED_VALUE"""),269.8)</f>
        <v>269.8</v>
      </c>
      <c r="D600" s="141">
        <f ca="1">IFERROR(__xludf.DUMMYFUNCTION("""COMPUTED_VALUE"""),272.29)</f>
        <v>272.29000000000002</v>
      </c>
      <c r="E600" s="141">
        <f ca="1">IFERROR(__xludf.DUMMYFUNCTION("""COMPUTED_VALUE"""),266.77)</f>
        <v>266.77</v>
      </c>
      <c r="F600" s="141">
        <f ca="1">IFERROR(__xludf.DUMMYFUNCTION("""COMPUTED_VALUE"""),268.47)</f>
        <v>268.47000000000003</v>
      </c>
      <c r="G600" s="143">
        <f ca="1">IFERROR(__xludf.DUMMYFUNCTION("""COMPUTED_VALUE"""),48227365)</f>
        <v>48227365</v>
      </c>
      <c r="H600" s="26"/>
    </row>
    <row r="601" spans="1:8" ht="17.25" customHeight="1" x14ac:dyDescent="0.2">
      <c r="A601" s="26"/>
      <c r="B601" s="139">
        <f ca="1">IFERROR(__xludf.DUMMYFUNCTION("""COMPUTED_VALUE"""),45971.6666666666)</f>
        <v>45971.666666666599</v>
      </c>
      <c r="C601" s="141">
        <f ca="1">IFERROR(__xludf.DUMMYFUNCTION("""COMPUTED_VALUE"""),268.96)</f>
        <v>268.95999999999998</v>
      </c>
      <c r="D601" s="141">
        <f ca="1">IFERROR(__xludf.DUMMYFUNCTION("""COMPUTED_VALUE"""),273.73)</f>
        <v>273.73</v>
      </c>
      <c r="E601" s="141">
        <f ca="1">IFERROR(__xludf.DUMMYFUNCTION("""COMPUTED_VALUE"""),267.46)</f>
        <v>267.45999999999998</v>
      </c>
      <c r="F601" s="141">
        <f ca="1">IFERROR(__xludf.DUMMYFUNCTION("""COMPUTED_VALUE"""),269.43)</f>
        <v>269.43</v>
      </c>
      <c r="G601" s="143">
        <f ca="1">IFERROR(__xludf.DUMMYFUNCTION("""COMPUTED_VALUE"""),41312412)</f>
        <v>41312412</v>
      </c>
      <c r="H601" s="26"/>
    </row>
    <row r="602" spans="1:8" ht="17.25" customHeight="1" x14ac:dyDescent="0.2">
      <c r="A602" s="26"/>
      <c r="B602" s="139">
        <f ca="1">IFERROR(__xludf.DUMMYFUNCTION("""COMPUTED_VALUE"""),45972.6666666666)</f>
        <v>45972.666666666599</v>
      </c>
      <c r="C602" s="141">
        <f ca="1">IFERROR(__xludf.DUMMYFUNCTION("""COMPUTED_VALUE"""),269.81)</f>
        <v>269.81</v>
      </c>
      <c r="D602" s="141">
        <f ca="1">IFERROR(__xludf.DUMMYFUNCTION("""COMPUTED_VALUE"""),275.91)</f>
        <v>275.91000000000003</v>
      </c>
      <c r="E602" s="141">
        <f ca="1">IFERROR(__xludf.DUMMYFUNCTION("""COMPUTED_VALUE"""),269.8)</f>
        <v>269.8</v>
      </c>
      <c r="F602" s="141">
        <f ca="1">IFERROR(__xludf.DUMMYFUNCTION("""COMPUTED_VALUE"""),275.25)</f>
        <v>275.25</v>
      </c>
      <c r="G602" s="143">
        <f ca="1">IFERROR(__xludf.DUMMYFUNCTION("""COMPUTED_VALUE"""),46208318)</f>
        <v>46208318</v>
      </c>
      <c r="H602" s="26"/>
    </row>
    <row r="603" spans="1:8" ht="17.25" customHeight="1" x14ac:dyDescent="0.2">
      <c r="A603" s="26"/>
      <c r="B603" s="139">
        <f ca="1">IFERROR(__xludf.DUMMYFUNCTION("""COMPUTED_VALUE"""),45973.6666666666)</f>
        <v>45973.666666666599</v>
      </c>
      <c r="C603" s="141">
        <f ca="1">IFERROR(__xludf.DUMMYFUNCTION("""COMPUTED_VALUE"""),275)</f>
        <v>275</v>
      </c>
      <c r="D603" s="141">
        <f ca="1">IFERROR(__xludf.DUMMYFUNCTION("""COMPUTED_VALUE"""),275.73)</f>
        <v>275.73</v>
      </c>
      <c r="E603" s="141">
        <f ca="1">IFERROR(__xludf.DUMMYFUNCTION("""COMPUTED_VALUE"""),271.7)</f>
        <v>271.7</v>
      </c>
      <c r="F603" s="141">
        <f ca="1">IFERROR(__xludf.DUMMYFUNCTION("""COMPUTED_VALUE"""),273.47)</f>
        <v>273.47000000000003</v>
      </c>
      <c r="G603" s="143">
        <f ca="1">IFERROR(__xludf.DUMMYFUNCTION("""COMPUTED_VALUE"""),48397982)</f>
        <v>48397982</v>
      </c>
      <c r="H603" s="26"/>
    </row>
    <row r="604" spans="1:8" ht="17.25" customHeight="1" x14ac:dyDescent="0.2">
      <c r="A604" s="26"/>
      <c r="B604" s="139">
        <f ca="1">IFERROR(__xludf.DUMMYFUNCTION("""COMPUTED_VALUE"""),45974.6666666666)</f>
        <v>45974.666666666599</v>
      </c>
      <c r="C604" s="141">
        <f ca="1">IFERROR(__xludf.DUMMYFUNCTION("""COMPUTED_VALUE"""),274.11)</f>
        <v>274.11</v>
      </c>
      <c r="D604" s="141">
        <f ca="1">IFERROR(__xludf.DUMMYFUNCTION("""COMPUTED_VALUE"""),276.7)</f>
        <v>276.7</v>
      </c>
      <c r="E604" s="141">
        <f ca="1">IFERROR(__xludf.DUMMYFUNCTION("""COMPUTED_VALUE"""),272.09)</f>
        <v>272.08999999999997</v>
      </c>
      <c r="F604" s="141">
        <f ca="1">IFERROR(__xludf.DUMMYFUNCTION("""COMPUTED_VALUE"""),272.95)</f>
        <v>272.95</v>
      </c>
      <c r="G604" s="143">
        <f ca="1">IFERROR(__xludf.DUMMYFUNCTION("""COMPUTED_VALUE"""),49602794)</f>
        <v>49602794</v>
      </c>
      <c r="H604" s="26"/>
    </row>
    <row r="605" spans="1:8" ht="17.25" customHeight="1" x14ac:dyDescent="0.2">
      <c r="A605" s="26"/>
      <c r="B605" s="139">
        <f ca="1">IFERROR(__xludf.DUMMYFUNCTION("""COMPUTED_VALUE"""),45975.6666666666)</f>
        <v>45975.666666666599</v>
      </c>
      <c r="C605" s="141">
        <f ca="1">IFERROR(__xludf.DUMMYFUNCTION("""COMPUTED_VALUE"""),271.05)</f>
        <v>271.05</v>
      </c>
      <c r="D605" s="141">
        <f ca="1">IFERROR(__xludf.DUMMYFUNCTION("""COMPUTED_VALUE"""),275.96)</f>
        <v>275.95999999999998</v>
      </c>
      <c r="E605" s="141">
        <f ca="1">IFERROR(__xludf.DUMMYFUNCTION("""COMPUTED_VALUE"""),269.6)</f>
        <v>269.60000000000002</v>
      </c>
      <c r="F605" s="141">
        <f ca="1">IFERROR(__xludf.DUMMYFUNCTION("""COMPUTED_VALUE"""),272.41)</f>
        <v>272.41000000000003</v>
      </c>
      <c r="G605" s="143">
        <f ca="1">IFERROR(__xludf.DUMMYFUNCTION("""COMPUTED_VALUE"""),47431331)</f>
        <v>47431331</v>
      </c>
      <c r="H605" s="26"/>
    </row>
    <row r="606" spans="1:8" ht="17.25" customHeight="1" x14ac:dyDescent="0.2">
      <c r="A606" s="26"/>
      <c r="B606" s="139">
        <f ca="1">IFERROR(__xludf.DUMMYFUNCTION("""COMPUTED_VALUE"""),45978.6666666666)</f>
        <v>45978.666666666599</v>
      </c>
      <c r="C606" s="141">
        <f ca="1">IFERROR(__xludf.DUMMYFUNCTION("""COMPUTED_VALUE"""),268.82)</f>
        <v>268.82</v>
      </c>
      <c r="D606" s="141">
        <f ca="1">IFERROR(__xludf.DUMMYFUNCTION("""COMPUTED_VALUE"""),270.49)</f>
        <v>270.49</v>
      </c>
      <c r="E606" s="141">
        <f ca="1">IFERROR(__xludf.DUMMYFUNCTION("""COMPUTED_VALUE"""),265.73)</f>
        <v>265.73</v>
      </c>
      <c r="F606" s="141">
        <f ca="1">IFERROR(__xludf.DUMMYFUNCTION("""COMPUTED_VALUE"""),267.46)</f>
        <v>267.45999999999998</v>
      </c>
      <c r="G606" s="143">
        <f ca="1">IFERROR(__xludf.DUMMYFUNCTION("""COMPUTED_VALUE"""),45018260)</f>
        <v>45018260</v>
      </c>
      <c r="H606" s="26"/>
    </row>
    <row r="607" spans="1:8" ht="17.25" customHeight="1" x14ac:dyDescent="0.2">
      <c r="A607" s="26"/>
      <c r="B607" s="139">
        <f ca="1">IFERROR(__xludf.DUMMYFUNCTION("""COMPUTED_VALUE"""),45979.6666666666)</f>
        <v>45979.666666666599</v>
      </c>
      <c r="C607" s="141">
        <f ca="1">IFERROR(__xludf.DUMMYFUNCTION("""COMPUTED_VALUE"""),269.99)</f>
        <v>269.99</v>
      </c>
      <c r="D607" s="141">
        <f ca="1">IFERROR(__xludf.DUMMYFUNCTION("""COMPUTED_VALUE"""),270.71)</f>
        <v>270.70999999999998</v>
      </c>
      <c r="E607" s="141">
        <f ca="1">IFERROR(__xludf.DUMMYFUNCTION("""COMPUTED_VALUE"""),265.32)</f>
        <v>265.32</v>
      </c>
      <c r="F607" s="141">
        <f ca="1">IFERROR(__xludf.DUMMYFUNCTION("""COMPUTED_VALUE"""),267.44)</f>
        <v>267.44</v>
      </c>
      <c r="G607" s="143">
        <f ca="1">IFERROR(__xludf.DUMMYFUNCTION("""COMPUTED_VALUE"""),45677278)</f>
        <v>45677278</v>
      </c>
      <c r="H607" s="26"/>
    </row>
    <row r="608" spans="1:8" ht="17.25" customHeight="1" x14ac:dyDescent="0.2">
      <c r="A608" s="26"/>
      <c r="B608" s="139">
        <f ca="1">IFERROR(__xludf.DUMMYFUNCTION("""COMPUTED_VALUE"""),45980.6666666666)</f>
        <v>45980.666666666599</v>
      </c>
      <c r="C608" s="141">
        <f ca="1">IFERROR(__xludf.DUMMYFUNCTION("""COMPUTED_VALUE"""),265.52)</f>
        <v>265.52</v>
      </c>
      <c r="D608" s="141">
        <f ca="1">IFERROR(__xludf.DUMMYFUNCTION("""COMPUTED_VALUE"""),272.21)</f>
        <v>272.20999999999998</v>
      </c>
      <c r="E608" s="141">
        <f ca="1">IFERROR(__xludf.DUMMYFUNCTION("""COMPUTED_VALUE"""),265.5)</f>
        <v>265.5</v>
      </c>
      <c r="F608" s="141">
        <f ca="1">IFERROR(__xludf.DUMMYFUNCTION("""COMPUTED_VALUE"""),268.56)</f>
        <v>268.56</v>
      </c>
      <c r="G608" s="143">
        <f ca="1">IFERROR(__xludf.DUMMYFUNCTION("""COMPUTED_VALUE"""),40424492)</f>
        <v>40424492</v>
      </c>
      <c r="H608" s="26"/>
    </row>
    <row r="609" spans="1:8" ht="17.25" customHeight="1" x14ac:dyDescent="0.2">
      <c r="A609" s="26"/>
      <c r="B609" s="139">
        <f ca="1">IFERROR(__xludf.DUMMYFUNCTION("""COMPUTED_VALUE"""),45981.6666666666)</f>
        <v>45981.666666666599</v>
      </c>
      <c r="C609" s="141">
        <f ca="1">IFERROR(__xludf.DUMMYFUNCTION("""COMPUTED_VALUE"""),270.83)</f>
        <v>270.83</v>
      </c>
      <c r="D609" s="141">
        <f ca="1">IFERROR(__xludf.DUMMYFUNCTION("""COMPUTED_VALUE"""),275.43)</f>
        <v>275.43</v>
      </c>
      <c r="E609" s="141">
        <f ca="1">IFERROR(__xludf.DUMMYFUNCTION("""COMPUTED_VALUE"""),265.92)</f>
        <v>265.92</v>
      </c>
      <c r="F609" s="141">
        <f ca="1">IFERROR(__xludf.DUMMYFUNCTION("""COMPUTED_VALUE"""),266.25)</f>
        <v>266.25</v>
      </c>
      <c r="G609" s="143">
        <f ca="1">IFERROR(__xludf.DUMMYFUNCTION("""COMPUTED_VALUE"""),45823568)</f>
        <v>45823568</v>
      </c>
      <c r="H609" s="26"/>
    </row>
    <row r="610" spans="1:8" ht="17.25" customHeight="1" x14ac:dyDescent="0.2">
      <c r="A610" s="26"/>
      <c r="B610" s="139">
        <f ca="1">IFERROR(__xludf.DUMMYFUNCTION("""COMPUTED_VALUE"""),45982.6666666666)</f>
        <v>45982.666666666599</v>
      </c>
      <c r="C610" s="141">
        <f ca="1">IFERROR(__xludf.DUMMYFUNCTION("""COMPUTED_VALUE"""),265.95)</f>
        <v>265.95</v>
      </c>
      <c r="D610" s="141">
        <f ca="1">IFERROR(__xludf.DUMMYFUNCTION("""COMPUTED_VALUE"""),273.33)</f>
        <v>273.33</v>
      </c>
      <c r="E610" s="141">
        <f ca="1">IFERROR(__xludf.DUMMYFUNCTION("""COMPUTED_VALUE"""),265.67)</f>
        <v>265.67</v>
      </c>
      <c r="F610" s="141">
        <f ca="1">IFERROR(__xludf.DUMMYFUNCTION("""COMPUTED_VALUE"""),271.49)</f>
        <v>271.49</v>
      </c>
      <c r="G610" s="143">
        <f ca="1">IFERROR(__xludf.DUMMYFUNCTION("""COMPUTED_VALUE"""),59030832)</f>
        <v>59030832</v>
      </c>
      <c r="H610" s="26"/>
    </row>
    <row r="611" spans="1:8" ht="17.25" customHeight="1" x14ac:dyDescent="0.2">
      <c r="A611" s="26"/>
      <c r="B611" s="139">
        <f ca="1">IFERROR(__xludf.DUMMYFUNCTION("""COMPUTED_VALUE"""),45985.6666666666)</f>
        <v>45985.666666666599</v>
      </c>
      <c r="C611" s="141">
        <f ca="1">IFERROR(__xludf.DUMMYFUNCTION("""COMPUTED_VALUE"""),270.9)</f>
        <v>270.89999999999998</v>
      </c>
      <c r="D611" s="141">
        <f ca="1">IFERROR(__xludf.DUMMYFUNCTION("""COMPUTED_VALUE"""),277)</f>
        <v>277</v>
      </c>
      <c r="E611" s="141">
        <f ca="1">IFERROR(__xludf.DUMMYFUNCTION("""COMPUTED_VALUE"""),270.9)</f>
        <v>270.89999999999998</v>
      </c>
      <c r="F611" s="141">
        <f ca="1">IFERROR(__xludf.DUMMYFUNCTION("""COMPUTED_VALUE"""),275.92)</f>
        <v>275.92</v>
      </c>
      <c r="G611" s="143">
        <f ca="1">IFERROR(__xludf.DUMMYFUNCTION("""COMPUTED_VALUE"""),65585796)</f>
        <v>65585796</v>
      </c>
      <c r="H611" s="26"/>
    </row>
    <row r="612" spans="1:8" ht="17.25" customHeight="1" x14ac:dyDescent="0.2">
      <c r="A612" s="26"/>
      <c r="B612" s="139">
        <f ca="1">IFERROR(__xludf.DUMMYFUNCTION("""COMPUTED_VALUE"""),45986.6666666666)</f>
        <v>45986.666666666599</v>
      </c>
      <c r="C612" s="141">
        <f ca="1">IFERROR(__xludf.DUMMYFUNCTION("""COMPUTED_VALUE"""),275.27)</f>
        <v>275.27</v>
      </c>
      <c r="D612" s="141">
        <f ca="1">IFERROR(__xludf.DUMMYFUNCTION("""COMPUTED_VALUE"""),280.38)</f>
        <v>280.38</v>
      </c>
      <c r="E612" s="141">
        <f ca="1">IFERROR(__xludf.DUMMYFUNCTION("""COMPUTED_VALUE"""),275.25)</f>
        <v>275.25</v>
      </c>
      <c r="F612" s="141">
        <f ca="1">IFERROR(__xludf.DUMMYFUNCTION("""COMPUTED_VALUE"""),276.97)</f>
        <v>276.97000000000003</v>
      </c>
      <c r="G612" s="143">
        <f ca="1">IFERROR(__xludf.DUMMYFUNCTION("""COMPUTED_VALUE"""),46914220)</f>
        <v>46914220</v>
      </c>
      <c r="H612" s="26"/>
    </row>
    <row r="613" spans="1:8" ht="17.25" customHeight="1" x14ac:dyDescent="0.2">
      <c r="A613" s="26"/>
      <c r="B613" s="139">
        <f ca="1">IFERROR(__xludf.DUMMYFUNCTION("""COMPUTED_VALUE"""),45987.6666666666)</f>
        <v>45987.666666666599</v>
      </c>
      <c r="C613" s="141">
        <f ca="1">IFERROR(__xludf.DUMMYFUNCTION("""COMPUTED_VALUE"""),276.96)</f>
        <v>276.95999999999998</v>
      </c>
      <c r="D613" s="141">
        <f ca="1">IFERROR(__xludf.DUMMYFUNCTION("""COMPUTED_VALUE"""),279.53)</f>
        <v>279.52999999999997</v>
      </c>
      <c r="E613" s="141">
        <f ca="1">IFERROR(__xludf.DUMMYFUNCTION("""COMPUTED_VALUE"""),276.63)</f>
        <v>276.63</v>
      </c>
      <c r="F613" s="141">
        <f ca="1">IFERROR(__xludf.DUMMYFUNCTION("""COMPUTED_VALUE"""),277.55)</f>
        <v>277.55</v>
      </c>
      <c r="G613" s="143">
        <f ca="1">IFERROR(__xludf.DUMMYFUNCTION("""COMPUTED_VALUE"""),33431423)</f>
        <v>33431423</v>
      </c>
      <c r="H613" s="26"/>
    </row>
    <row r="614" spans="1:8" ht="17.25" customHeight="1" x14ac:dyDescent="0.2">
      <c r="A614" s="26"/>
      <c r="B614" s="139">
        <f ca="1">IFERROR(__xludf.DUMMYFUNCTION("""COMPUTED_VALUE"""),45989.5451388888)</f>
        <v>45989.545138888803</v>
      </c>
      <c r="C614" s="141">
        <f ca="1">IFERROR(__xludf.DUMMYFUNCTION("""COMPUTED_VALUE"""),277.26)</f>
        <v>277.26</v>
      </c>
      <c r="D614" s="141">
        <f ca="1">IFERROR(__xludf.DUMMYFUNCTION("""COMPUTED_VALUE"""),279)</f>
        <v>279</v>
      </c>
      <c r="E614" s="141">
        <f ca="1">IFERROR(__xludf.DUMMYFUNCTION("""COMPUTED_VALUE"""),275.99)</f>
        <v>275.99</v>
      </c>
      <c r="F614" s="141">
        <f ca="1">IFERROR(__xludf.DUMMYFUNCTION("""COMPUTED_VALUE"""),278.85)</f>
        <v>278.85000000000002</v>
      </c>
      <c r="G614" s="143">
        <f ca="1">IFERROR(__xludf.DUMMYFUNCTION("""COMPUTED_VALUE"""),20135620)</f>
        <v>20135620</v>
      </c>
      <c r="H614" s="26"/>
    </row>
    <row r="615" spans="1:8" ht="17.25" customHeight="1" x14ac:dyDescent="0.2">
      <c r="A615" s="26"/>
      <c r="B615" s="139">
        <f ca="1">IFERROR(__xludf.DUMMYFUNCTION("""COMPUTED_VALUE"""),45992.6666666666)</f>
        <v>45992.666666666599</v>
      </c>
      <c r="C615" s="141">
        <f ca="1">IFERROR(__xludf.DUMMYFUNCTION("""COMPUTED_VALUE"""),278.01)</f>
        <v>278.01</v>
      </c>
      <c r="D615" s="141">
        <f ca="1">IFERROR(__xludf.DUMMYFUNCTION("""COMPUTED_VALUE"""),283.42)</f>
        <v>283.42</v>
      </c>
      <c r="E615" s="141">
        <f ca="1">IFERROR(__xludf.DUMMYFUNCTION("""COMPUTED_VALUE"""),276.14)</f>
        <v>276.14</v>
      </c>
      <c r="F615" s="141">
        <f ca="1">IFERROR(__xludf.DUMMYFUNCTION("""COMPUTED_VALUE"""),283.1)</f>
        <v>283.10000000000002</v>
      </c>
      <c r="G615" s="143">
        <f ca="1">IFERROR(__xludf.DUMMYFUNCTION("""COMPUTED_VALUE"""),46587722)</f>
        <v>46587722</v>
      </c>
      <c r="H615" s="26"/>
    </row>
    <row r="616" spans="1:8" ht="17.25" customHeight="1" x14ac:dyDescent="0.2">
      <c r="A616" s="26"/>
      <c r="B616" s="139">
        <f ca="1">IFERROR(__xludf.DUMMYFUNCTION("""COMPUTED_VALUE"""),45993.6666666666)</f>
        <v>45993.666666666599</v>
      </c>
      <c r="C616" s="141">
        <f ca="1">IFERROR(__xludf.DUMMYFUNCTION("""COMPUTED_VALUE"""),283)</f>
        <v>283</v>
      </c>
      <c r="D616" s="141">
        <f ca="1">IFERROR(__xludf.DUMMYFUNCTION("""COMPUTED_VALUE"""),287.4)</f>
        <v>287.39999999999998</v>
      </c>
      <c r="E616" s="141">
        <f ca="1">IFERROR(__xludf.DUMMYFUNCTION("""COMPUTED_VALUE"""),282.63)</f>
        <v>282.63</v>
      </c>
      <c r="F616" s="141">
        <f ca="1">IFERROR(__xludf.DUMMYFUNCTION("""COMPUTED_VALUE"""),286.19)</f>
        <v>286.19</v>
      </c>
      <c r="G616" s="143">
        <f ca="1">IFERROR(__xludf.DUMMYFUNCTION("""COMPUTED_VALUE"""),53669532)</f>
        <v>53669532</v>
      </c>
      <c r="H616" s="26"/>
    </row>
    <row r="617" spans="1:8" ht="17.25" customHeight="1" x14ac:dyDescent="0.2">
      <c r="A617" s="26"/>
      <c r="B617" s="139">
        <f ca="1">IFERROR(__xludf.DUMMYFUNCTION("""COMPUTED_VALUE"""),45994.6666666666)</f>
        <v>45994.666666666599</v>
      </c>
      <c r="C617" s="141">
        <f ca="1">IFERROR(__xludf.DUMMYFUNCTION("""COMPUTED_VALUE"""),286.2)</f>
        <v>286.2</v>
      </c>
      <c r="D617" s="141">
        <f ca="1">IFERROR(__xludf.DUMMYFUNCTION("""COMPUTED_VALUE"""),288.62)</f>
        <v>288.62</v>
      </c>
      <c r="E617" s="141">
        <f ca="1">IFERROR(__xludf.DUMMYFUNCTION("""COMPUTED_VALUE"""),283.3)</f>
        <v>283.3</v>
      </c>
      <c r="F617" s="141">
        <f ca="1">IFERROR(__xludf.DUMMYFUNCTION("""COMPUTED_VALUE"""),284.15)</f>
        <v>284.14999999999998</v>
      </c>
      <c r="G617" s="143">
        <f ca="1">IFERROR(__xludf.DUMMYFUNCTION("""COMPUTED_VALUE"""),43538687)</f>
        <v>43538687</v>
      </c>
      <c r="H617" s="26"/>
    </row>
    <row r="618" spans="1:8" ht="17.25" customHeight="1" x14ac:dyDescent="0.2">
      <c r="A618" s="26"/>
      <c r="B618" s="139">
        <f ca="1">IFERROR(__xludf.DUMMYFUNCTION("""COMPUTED_VALUE"""),45995.6666666666)</f>
        <v>45995.666666666599</v>
      </c>
      <c r="C618" s="141">
        <f ca="1">IFERROR(__xludf.DUMMYFUNCTION("""COMPUTED_VALUE"""),284.1)</f>
        <v>284.10000000000002</v>
      </c>
      <c r="D618" s="141">
        <f ca="1">IFERROR(__xludf.DUMMYFUNCTION("""COMPUTED_VALUE"""),284.73)</f>
        <v>284.73</v>
      </c>
      <c r="E618" s="141">
        <f ca="1">IFERROR(__xludf.DUMMYFUNCTION("""COMPUTED_VALUE"""),278.59)</f>
        <v>278.58999999999997</v>
      </c>
      <c r="F618" s="141">
        <f ca="1">IFERROR(__xludf.DUMMYFUNCTION("""COMPUTED_VALUE"""),280.7)</f>
        <v>280.7</v>
      </c>
      <c r="G618" s="143">
        <f ca="1">IFERROR(__xludf.DUMMYFUNCTION("""COMPUTED_VALUE"""),43989056)</f>
        <v>43989056</v>
      </c>
      <c r="H618" s="26"/>
    </row>
    <row r="619" spans="1:8" ht="17.25" customHeight="1" x14ac:dyDescent="0.2">
      <c r="A619" s="26"/>
      <c r="B619" s="139">
        <f ca="1">IFERROR(__xludf.DUMMYFUNCTION("""COMPUTED_VALUE"""),45996.6666666666)</f>
        <v>45996.666666666599</v>
      </c>
      <c r="C619" s="141">
        <f ca="1">IFERROR(__xludf.DUMMYFUNCTION("""COMPUTED_VALUE"""),280.54)</f>
        <v>280.54000000000002</v>
      </c>
      <c r="D619" s="141">
        <f ca="1">IFERROR(__xludf.DUMMYFUNCTION("""COMPUTED_VALUE"""),281.14)</f>
        <v>281.14</v>
      </c>
      <c r="E619" s="141">
        <f ca="1">IFERROR(__xludf.DUMMYFUNCTION("""COMPUTED_VALUE"""),278.05)</f>
        <v>278.05</v>
      </c>
      <c r="F619" s="141">
        <f ca="1">IFERROR(__xludf.DUMMYFUNCTION("""COMPUTED_VALUE"""),278.78)</f>
        <v>278.77999999999997</v>
      </c>
      <c r="G619" s="143">
        <f ca="1">IFERROR(__xludf.DUMMYFUNCTION("""COMPUTED_VALUE"""),47265845)</f>
        <v>47265845</v>
      </c>
      <c r="H619" s="26"/>
    </row>
    <row r="620" spans="1:8" ht="17.25" customHeight="1" x14ac:dyDescent="0.2">
      <c r="A620" s="26"/>
      <c r="B620" s="139">
        <f ca="1">IFERROR(__xludf.DUMMYFUNCTION("""COMPUTED_VALUE"""),45999.6666666666)</f>
        <v>45999.666666666599</v>
      </c>
      <c r="C620" s="141">
        <f ca="1">IFERROR(__xludf.DUMMYFUNCTION("""COMPUTED_VALUE"""),278.13)</f>
        <v>278.13</v>
      </c>
      <c r="D620" s="141">
        <f ca="1">IFERROR(__xludf.DUMMYFUNCTION("""COMPUTED_VALUE"""),279.67)</f>
        <v>279.67</v>
      </c>
      <c r="E620" s="141">
        <f ca="1">IFERROR(__xludf.DUMMYFUNCTION("""COMPUTED_VALUE"""),276.15)</f>
        <v>276.14999999999998</v>
      </c>
      <c r="F620" s="141">
        <f ca="1">IFERROR(__xludf.DUMMYFUNCTION("""COMPUTED_VALUE"""),277.89)</f>
        <v>277.89</v>
      </c>
      <c r="G620" s="143">
        <f ca="1">IFERROR(__xludf.DUMMYFUNCTION("""COMPUTED_VALUE"""),38211832)</f>
        <v>38211832</v>
      </c>
      <c r="H620" s="26"/>
    </row>
    <row r="621" spans="1:8" ht="17.25" customHeight="1" x14ac:dyDescent="0.2">
      <c r="A621" s="26"/>
      <c r="B621" s="139">
        <f ca="1">IFERROR(__xludf.DUMMYFUNCTION("""COMPUTED_VALUE"""),46000.6666666666)</f>
        <v>46000.666666666599</v>
      </c>
      <c r="C621" s="141">
        <f ca="1">IFERROR(__xludf.DUMMYFUNCTION("""COMPUTED_VALUE"""),278.16)</f>
        <v>278.16000000000003</v>
      </c>
      <c r="D621" s="141">
        <f ca="1">IFERROR(__xludf.DUMMYFUNCTION("""COMPUTED_VALUE"""),280.03)</f>
        <v>280.02999999999997</v>
      </c>
      <c r="E621" s="141">
        <f ca="1">IFERROR(__xludf.DUMMYFUNCTION("""COMPUTED_VALUE"""),276.92)</f>
        <v>276.92</v>
      </c>
      <c r="F621" s="141">
        <f ca="1">IFERROR(__xludf.DUMMYFUNCTION("""COMPUTED_VALUE"""),277.18)</f>
        <v>277.18</v>
      </c>
      <c r="G621" s="143">
        <f ca="1">IFERROR(__xludf.DUMMYFUNCTION("""COMPUTED_VALUE"""),32193256)</f>
        <v>32193256</v>
      </c>
      <c r="H621" s="26"/>
    </row>
    <row r="622" spans="1:8" ht="17.25" customHeight="1" x14ac:dyDescent="0.2">
      <c r="A622" s="26"/>
      <c r="B622" s="139">
        <f ca="1">IFERROR(__xludf.DUMMYFUNCTION("""COMPUTED_VALUE"""),46001.6666666666)</f>
        <v>46001.666666666599</v>
      </c>
      <c r="C622" s="141">
        <f ca="1">IFERROR(__xludf.DUMMYFUNCTION("""COMPUTED_VALUE"""),277.75)</f>
        <v>277.75</v>
      </c>
      <c r="D622" s="141">
        <f ca="1">IFERROR(__xludf.DUMMYFUNCTION("""COMPUTED_VALUE"""),279.75)</f>
        <v>279.75</v>
      </c>
      <c r="E622" s="141">
        <f ca="1">IFERROR(__xludf.DUMMYFUNCTION("""COMPUTED_VALUE"""),276.44)</f>
        <v>276.44</v>
      </c>
      <c r="F622" s="141">
        <f ca="1">IFERROR(__xludf.DUMMYFUNCTION("""COMPUTED_VALUE"""),278.78)</f>
        <v>278.77999999999997</v>
      </c>
      <c r="G622" s="143">
        <f ca="1">IFERROR(__xludf.DUMMYFUNCTION("""COMPUTED_VALUE"""),33038318)</f>
        <v>33038318</v>
      </c>
      <c r="H622" s="26"/>
    </row>
    <row r="623" spans="1:8" ht="17.25" customHeight="1" x14ac:dyDescent="0.2">
      <c r="A623" s="26"/>
      <c r="B623" s="139">
        <f ca="1">IFERROR(__xludf.DUMMYFUNCTION("""COMPUTED_VALUE"""),46002.6666666666)</f>
        <v>46002.666666666599</v>
      </c>
      <c r="C623" s="141">
        <f ca="1">IFERROR(__xludf.DUMMYFUNCTION("""COMPUTED_VALUE"""),279.1)</f>
        <v>279.10000000000002</v>
      </c>
      <c r="D623" s="141">
        <f ca="1">IFERROR(__xludf.DUMMYFUNCTION("""COMPUTED_VALUE"""),279.59)</f>
        <v>279.58999999999997</v>
      </c>
      <c r="E623" s="141">
        <f ca="1">IFERROR(__xludf.DUMMYFUNCTION("""COMPUTED_VALUE"""),273.81)</f>
        <v>273.81</v>
      </c>
      <c r="F623" s="141">
        <f ca="1">IFERROR(__xludf.DUMMYFUNCTION("""COMPUTED_VALUE"""),278.03)</f>
        <v>278.02999999999997</v>
      </c>
      <c r="G623" s="143">
        <f ca="1">IFERROR(__xludf.DUMMYFUNCTION("""COMPUTED_VALUE"""),33247986)</f>
        <v>33247986</v>
      </c>
      <c r="H623" s="26"/>
    </row>
    <row r="624" spans="1:8" ht="17.25" customHeight="1" x14ac:dyDescent="0.2">
      <c r="A624" s="26"/>
      <c r="B624" s="139">
        <f ca="1">IFERROR(__xludf.DUMMYFUNCTION("""COMPUTED_VALUE"""),46003.6666666666)</f>
        <v>46003.666666666599</v>
      </c>
      <c r="C624" s="141">
        <f ca="1">IFERROR(__xludf.DUMMYFUNCTION("""COMPUTED_VALUE"""),277.9)</f>
        <v>277.89999999999998</v>
      </c>
      <c r="D624" s="141">
        <f ca="1">IFERROR(__xludf.DUMMYFUNCTION("""COMPUTED_VALUE"""),279.22)</f>
        <v>279.22000000000003</v>
      </c>
      <c r="E624" s="141">
        <f ca="1">IFERROR(__xludf.DUMMYFUNCTION("""COMPUTED_VALUE"""),276.82)</f>
        <v>276.82</v>
      </c>
      <c r="F624" s="141">
        <f ca="1">IFERROR(__xludf.DUMMYFUNCTION("""COMPUTED_VALUE"""),278.28)</f>
        <v>278.27999999999997</v>
      </c>
      <c r="G624" s="143">
        <f ca="1">IFERROR(__xludf.DUMMYFUNCTION("""COMPUTED_VALUE"""),39532887)</f>
        <v>39532887</v>
      </c>
      <c r="H624" s="26"/>
    </row>
    <row r="625" spans="1:8" ht="17.25" customHeight="1" x14ac:dyDescent="0.2">
      <c r="A625" s="26"/>
      <c r="B625" s="139">
        <f ca="1">IFERROR(__xludf.DUMMYFUNCTION("""COMPUTED_VALUE"""),46006.6666666666)</f>
        <v>46006.666666666599</v>
      </c>
      <c r="C625" s="141">
        <f ca="1">IFERROR(__xludf.DUMMYFUNCTION("""COMPUTED_VALUE"""),280.15)</f>
        <v>280.14999999999998</v>
      </c>
      <c r="D625" s="141">
        <f ca="1">IFERROR(__xludf.DUMMYFUNCTION("""COMPUTED_VALUE"""),280.15)</f>
        <v>280.14999999999998</v>
      </c>
      <c r="E625" s="141">
        <f ca="1">IFERROR(__xludf.DUMMYFUNCTION("""COMPUTED_VALUE"""),272.84)</f>
        <v>272.83999999999997</v>
      </c>
      <c r="F625" s="141">
        <f ca="1">IFERROR(__xludf.DUMMYFUNCTION("""COMPUTED_VALUE"""),274.11)</f>
        <v>274.11</v>
      </c>
      <c r="G625" s="143">
        <f ca="1">IFERROR(__xludf.DUMMYFUNCTION("""COMPUTED_VALUE"""),50409078)</f>
        <v>50409078</v>
      </c>
      <c r="H625" s="26"/>
    </row>
    <row r="626" spans="1:8" ht="17.25" customHeight="1" x14ac:dyDescent="0.2">
      <c r="A626" s="26"/>
      <c r="B626" s="139">
        <f ca="1">IFERROR(__xludf.DUMMYFUNCTION("""COMPUTED_VALUE"""),46007.6666666666)</f>
        <v>46007.666666666599</v>
      </c>
      <c r="C626" s="141">
        <f ca="1">IFERROR(__xludf.DUMMYFUNCTION("""COMPUTED_VALUE"""),272.82)</f>
        <v>272.82</v>
      </c>
      <c r="D626" s="141">
        <f ca="1">IFERROR(__xludf.DUMMYFUNCTION("""COMPUTED_VALUE"""),275.5)</f>
        <v>275.5</v>
      </c>
      <c r="E626" s="141">
        <f ca="1">IFERROR(__xludf.DUMMYFUNCTION("""COMPUTED_VALUE"""),271.79)</f>
        <v>271.79000000000002</v>
      </c>
      <c r="F626" s="141">
        <f ca="1">IFERROR(__xludf.DUMMYFUNCTION("""COMPUTED_VALUE"""),274.61)</f>
        <v>274.61</v>
      </c>
      <c r="G626" s="143">
        <f ca="1">IFERROR(__xludf.DUMMYFUNCTION("""COMPUTED_VALUE"""),37648628)</f>
        <v>37648628</v>
      </c>
      <c r="H626" s="26"/>
    </row>
    <row r="627" spans="1:8" ht="17.25" customHeight="1" x14ac:dyDescent="0.2">
      <c r="A627" s="26"/>
      <c r="B627" s="139">
        <f ca="1">IFERROR(__xludf.DUMMYFUNCTION("""COMPUTED_VALUE"""),46008.6666666666)</f>
        <v>46008.666666666599</v>
      </c>
      <c r="C627" s="141">
        <f ca="1">IFERROR(__xludf.DUMMYFUNCTION("""COMPUTED_VALUE"""),275.01)</f>
        <v>275.01</v>
      </c>
      <c r="D627" s="141">
        <f ca="1">IFERROR(__xludf.DUMMYFUNCTION("""COMPUTED_VALUE"""),276.16)</f>
        <v>276.16000000000003</v>
      </c>
      <c r="E627" s="141">
        <f ca="1">IFERROR(__xludf.DUMMYFUNCTION("""COMPUTED_VALUE"""),271.64)</f>
        <v>271.64</v>
      </c>
      <c r="F627" s="141">
        <f ca="1">IFERROR(__xludf.DUMMYFUNCTION("""COMPUTED_VALUE"""),271.84)</f>
        <v>271.83999999999997</v>
      </c>
      <c r="G627" s="143">
        <f ca="1">IFERROR(__xludf.DUMMYFUNCTION("""COMPUTED_VALUE"""),50138743)</f>
        <v>50138743</v>
      </c>
      <c r="H627" s="26"/>
    </row>
    <row r="628" spans="1:8" ht="17.25" customHeight="1" x14ac:dyDescent="0.2">
      <c r="A628" s="26"/>
      <c r="B628" s="139">
        <f ca="1">IFERROR(__xludf.DUMMYFUNCTION("""COMPUTED_VALUE"""),46009.6666666666)</f>
        <v>46009.666666666599</v>
      </c>
      <c r="C628" s="141">
        <f ca="1">IFERROR(__xludf.DUMMYFUNCTION("""COMPUTED_VALUE"""),273.61)</f>
        <v>273.61</v>
      </c>
      <c r="D628" s="141">
        <f ca="1">IFERROR(__xludf.DUMMYFUNCTION("""COMPUTED_VALUE"""),273.63)</f>
        <v>273.63</v>
      </c>
      <c r="E628" s="141">
        <f ca="1">IFERROR(__xludf.DUMMYFUNCTION("""COMPUTED_VALUE"""),266.95)</f>
        <v>266.95</v>
      </c>
      <c r="F628" s="141">
        <f ca="1">IFERROR(__xludf.DUMMYFUNCTION("""COMPUTED_VALUE"""),272.19)</f>
        <v>272.19</v>
      </c>
      <c r="G628" s="143">
        <f ca="1">IFERROR(__xludf.DUMMYFUNCTION("""COMPUTED_VALUE"""),51630721)</f>
        <v>51630721</v>
      </c>
      <c r="H628" s="26"/>
    </row>
    <row r="629" spans="1:8" ht="17.25" customHeight="1" x14ac:dyDescent="0.2">
      <c r="A629" s="26"/>
      <c r="B629" s="139">
        <f ca="1">IFERROR(__xludf.DUMMYFUNCTION("""COMPUTED_VALUE"""),46010.6666666666)</f>
        <v>46010.666666666599</v>
      </c>
      <c r="C629" s="141">
        <f ca="1">IFERROR(__xludf.DUMMYFUNCTION("""COMPUTED_VALUE"""),272.15)</f>
        <v>272.14999999999998</v>
      </c>
      <c r="D629" s="141">
        <f ca="1">IFERROR(__xludf.DUMMYFUNCTION("""COMPUTED_VALUE"""),274.6)</f>
        <v>274.60000000000002</v>
      </c>
      <c r="E629" s="141">
        <f ca="1">IFERROR(__xludf.DUMMYFUNCTION("""COMPUTED_VALUE"""),269.9)</f>
        <v>269.89999999999998</v>
      </c>
      <c r="F629" s="141">
        <f ca="1">IFERROR(__xludf.DUMMYFUNCTION("""COMPUTED_VALUE"""),273.67)</f>
        <v>273.67</v>
      </c>
      <c r="G629" s="143">
        <f ca="1">IFERROR(__xludf.DUMMYFUNCTION("""COMPUTED_VALUE"""),144632048)</f>
        <v>144632048</v>
      </c>
      <c r="H629" s="26"/>
    </row>
    <row r="630" spans="1:8" ht="17.25" customHeight="1" x14ac:dyDescent="0.2">
      <c r="A630" s="26"/>
      <c r="B630" s="139">
        <f ca="1">IFERROR(__xludf.DUMMYFUNCTION("""COMPUTED_VALUE"""),46013.6666666666)</f>
        <v>46013.666666666599</v>
      </c>
      <c r="C630" s="141">
        <f ca="1">IFERROR(__xludf.DUMMYFUNCTION("""COMPUTED_VALUE"""),272.86)</f>
        <v>272.86</v>
      </c>
      <c r="D630" s="141">
        <f ca="1">IFERROR(__xludf.DUMMYFUNCTION("""COMPUTED_VALUE"""),273.88)</f>
        <v>273.88</v>
      </c>
      <c r="E630" s="141">
        <f ca="1">IFERROR(__xludf.DUMMYFUNCTION("""COMPUTED_VALUE"""),270.51)</f>
        <v>270.51</v>
      </c>
      <c r="F630" s="141">
        <f ca="1">IFERROR(__xludf.DUMMYFUNCTION("""COMPUTED_VALUE"""),270.97)</f>
        <v>270.97000000000003</v>
      </c>
      <c r="G630" s="143">
        <f ca="1">IFERROR(__xludf.DUMMYFUNCTION("""COMPUTED_VALUE"""),36571827)</f>
        <v>36571827</v>
      </c>
      <c r="H630" s="26"/>
    </row>
    <row r="631" spans="1:8" ht="17.25" customHeight="1" x14ac:dyDescent="0.2">
      <c r="A631" s="26"/>
      <c r="B631" s="139">
        <f ca="1">IFERROR(__xludf.DUMMYFUNCTION("""COMPUTED_VALUE"""),46014.6666666666)</f>
        <v>46014.666666666599</v>
      </c>
      <c r="C631" s="141">
        <f ca="1">IFERROR(__xludf.DUMMYFUNCTION("""COMPUTED_VALUE"""),270.84)</f>
        <v>270.83999999999997</v>
      </c>
      <c r="D631" s="141">
        <f ca="1">IFERROR(__xludf.DUMMYFUNCTION("""COMPUTED_VALUE"""),272.5)</f>
        <v>272.5</v>
      </c>
      <c r="E631" s="141">
        <f ca="1">IFERROR(__xludf.DUMMYFUNCTION("""COMPUTED_VALUE"""),269.56)</f>
        <v>269.56</v>
      </c>
      <c r="F631" s="141">
        <f ca="1">IFERROR(__xludf.DUMMYFUNCTION("""COMPUTED_VALUE"""),272.36)</f>
        <v>272.36</v>
      </c>
      <c r="G631" s="143">
        <f ca="1">IFERROR(__xludf.DUMMYFUNCTION("""COMPUTED_VALUE"""),29641999)</f>
        <v>29641999</v>
      </c>
      <c r="H631" s="26"/>
    </row>
    <row r="632" spans="1:8" ht="17.25" customHeight="1" x14ac:dyDescent="0.2">
      <c r="A632" s="26"/>
      <c r="B632" s="139">
        <f ca="1">IFERROR(__xludf.DUMMYFUNCTION("""COMPUTED_VALUE"""),46015.5451388888)</f>
        <v>46015.545138888803</v>
      </c>
      <c r="C632" s="141">
        <f ca="1">IFERROR(__xludf.DUMMYFUNCTION("""COMPUTED_VALUE"""),272.34)</f>
        <v>272.33999999999997</v>
      </c>
      <c r="D632" s="141">
        <f ca="1">IFERROR(__xludf.DUMMYFUNCTION("""COMPUTED_VALUE"""),275.43)</f>
        <v>275.43</v>
      </c>
      <c r="E632" s="141">
        <f ca="1">IFERROR(__xludf.DUMMYFUNCTION("""COMPUTED_VALUE"""),272.2)</f>
        <v>272.2</v>
      </c>
      <c r="F632" s="141">
        <f ca="1">IFERROR(__xludf.DUMMYFUNCTION("""COMPUTED_VALUE"""),273.81)</f>
        <v>273.81</v>
      </c>
      <c r="G632" s="143">
        <f ca="1">IFERROR(__xludf.DUMMYFUNCTION("""COMPUTED_VALUE"""),17910574)</f>
        <v>17910574</v>
      </c>
      <c r="H632" s="26"/>
    </row>
    <row r="633" spans="1:8" ht="17.25" customHeight="1" x14ac:dyDescent="0.2">
      <c r="A633" s="26"/>
      <c r="B633" s="139">
        <f ca="1">IFERROR(__xludf.DUMMYFUNCTION("""COMPUTED_VALUE"""),46017.6666666666)</f>
        <v>46017.666666666599</v>
      </c>
      <c r="C633" s="141">
        <f ca="1">IFERROR(__xludf.DUMMYFUNCTION("""COMPUTED_VALUE"""),274.16)</f>
        <v>274.16000000000003</v>
      </c>
      <c r="D633" s="141">
        <f ca="1">IFERROR(__xludf.DUMMYFUNCTION("""COMPUTED_VALUE"""),275.37)</f>
        <v>275.37</v>
      </c>
      <c r="E633" s="141">
        <f ca="1">IFERROR(__xludf.DUMMYFUNCTION("""COMPUTED_VALUE"""),272.86)</f>
        <v>272.86</v>
      </c>
      <c r="F633" s="141">
        <f ca="1">IFERROR(__xludf.DUMMYFUNCTION("""COMPUTED_VALUE"""),273.4)</f>
        <v>273.39999999999998</v>
      </c>
      <c r="G633" s="143">
        <f ca="1">IFERROR(__xludf.DUMMYFUNCTION("""COMPUTED_VALUE"""),21521802)</f>
        <v>21521802</v>
      </c>
      <c r="H633" s="26"/>
    </row>
    <row r="634" spans="1:8" ht="17.25" customHeight="1" x14ac:dyDescent="0.2">
      <c r="A634" s="26"/>
      <c r="B634" s="139">
        <f ca="1">IFERROR(__xludf.DUMMYFUNCTION("""COMPUTED_VALUE"""),46020.6666666666)</f>
        <v>46020.666666666599</v>
      </c>
      <c r="C634" s="141">
        <f ca="1">IFERROR(__xludf.DUMMYFUNCTION("""COMPUTED_VALUE"""),272.69)</f>
        <v>272.69</v>
      </c>
      <c r="D634" s="141">
        <f ca="1">IFERROR(__xludf.DUMMYFUNCTION("""COMPUTED_VALUE"""),274.36)</f>
        <v>274.36</v>
      </c>
      <c r="E634" s="141">
        <f ca="1">IFERROR(__xludf.DUMMYFUNCTION("""COMPUTED_VALUE"""),272.35)</f>
        <v>272.35000000000002</v>
      </c>
      <c r="F634" s="141">
        <f ca="1">IFERROR(__xludf.DUMMYFUNCTION("""COMPUTED_VALUE"""),273.76)</f>
        <v>273.76</v>
      </c>
      <c r="G634" s="143">
        <f ca="1">IFERROR(__xludf.DUMMYFUNCTION("""COMPUTED_VALUE"""),23715213)</f>
        <v>23715213</v>
      </c>
      <c r="H634" s="26"/>
    </row>
    <row r="635" spans="1:8" ht="17.25" customHeight="1" x14ac:dyDescent="0.2">
      <c r="A635" s="26"/>
      <c r="B635" s="139">
        <f ca="1">IFERROR(__xludf.DUMMYFUNCTION("""COMPUTED_VALUE"""),46021.6666666666)</f>
        <v>46021.666666666599</v>
      </c>
      <c r="C635" s="141">
        <f ca="1">IFERROR(__xludf.DUMMYFUNCTION("""COMPUTED_VALUE"""),272.81)</f>
        <v>272.81</v>
      </c>
      <c r="D635" s="141">
        <f ca="1">IFERROR(__xludf.DUMMYFUNCTION("""COMPUTED_VALUE"""),274.08)</f>
        <v>274.08</v>
      </c>
      <c r="E635" s="141">
        <f ca="1">IFERROR(__xludf.DUMMYFUNCTION("""COMPUTED_VALUE"""),272.28)</f>
        <v>272.27999999999997</v>
      </c>
      <c r="F635" s="141">
        <f ca="1">IFERROR(__xludf.DUMMYFUNCTION("""COMPUTED_VALUE"""),273.08)</f>
        <v>273.08</v>
      </c>
      <c r="G635" s="143">
        <f ca="1">IFERROR(__xludf.DUMMYFUNCTION("""COMPUTED_VALUE"""),22139617)</f>
        <v>22139617</v>
      </c>
      <c r="H635" s="26"/>
    </row>
    <row r="636" spans="1:8" ht="17.25" customHeight="1" x14ac:dyDescent="0.2">
      <c r="A636" s="26"/>
      <c r="B636" s="139">
        <f ca="1">IFERROR(__xludf.DUMMYFUNCTION("""COMPUTED_VALUE"""),46022.6666666666)</f>
        <v>46022.666666666599</v>
      </c>
      <c r="C636" s="141">
        <f ca="1">IFERROR(__xludf.DUMMYFUNCTION("""COMPUTED_VALUE"""),273.06)</f>
        <v>273.06</v>
      </c>
      <c r="D636" s="141">
        <f ca="1">IFERROR(__xludf.DUMMYFUNCTION("""COMPUTED_VALUE"""),273.68)</f>
        <v>273.68</v>
      </c>
      <c r="E636" s="141">
        <f ca="1">IFERROR(__xludf.DUMMYFUNCTION("""COMPUTED_VALUE"""),271.75)</f>
        <v>271.75</v>
      </c>
      <c r="F636" s="141">
        <f ca="1">IFERROR(__xludf.DUMMYFUNCTION("""COMPUTED_VALUE"""),271.86)</f>
        <v>271.86</v>
      </c>
      <c r="G636" s="143">
        <f ca="1">IFERROR(__xludf.DUMMYFUNCTION("""COMPUTED_VALUE"""),27293639)</f>
        <v>27293639</v>
      </c>
      <c r="H636" s="26"/>
    </row>
    <row r="637" spans="1:8" ht="17.25" customHeight="1" x14ac:dyDescent="0.2">
      <c r="A637" s="26"/>
      <c r="B637" s="139">
        <f ca="1">IFERROR(__xludf.DUMMYFUNCTION("""COMPUTED_VALUE"""),46024.6666666666)</f>
        <v>46024.666666666599</v>
      </c>
      <c r="C637" s="141">
        <f ca="1">IFERROR(__xludf.DUMMYFUNCTION("""COMPUTED_VALUE"""),272.26)</f>
        <v>272.26</v>
      </c>
      <c r="D637" s="141">
        <f ca="1">IFERROR(__xludf.DUMMYFUNCTION("""COMPUTED_VALUE"""),277.84)</f>
        <v>277.83999999999997</v>
      </c>
      <c r="E637" s="141">
        <f ca="1">IFERROR(__xludf.DUMMYFUNCTION("""COMPUTED_VALUE"""),269)</f>
        <v>269</v>
      </c>
      <c r="F637" s="141">
        <f ca="1">IFERROR(__xludf.DUMMYFUNCTION("""COMPUTED_VALUE"""),271.01)</f>
        <v>271.01</v>
      </c>
      <c r="G637" s="143">
        <f ca="1">IFERROR(__xludf.DUMMYFUNCTION("""COMPUTED_VALUE"""),37838054)</f>
        <v>37838054</v>
      </c>
      <c r="H637" s="26"/>
    </row>
    <row r="638" spans="1:8" ht="17.25" customHeight="1" x14ac:dyDescent="0.2">
      <c r="A638" s="26"/>
      <c r="B638" s="139">
        <f ca="1">IFERROR(__xludf.DUMMYFUNCTION("""COMPUTED_VALUE"""),46027.6666666666)</f>
        <v>46027.666666666599</v>
      </c>
      <c r="C638" s="141">
        <f ca="1">IFERROR(__xludf.DUMMYFUNCTION("""COMPUTED_VALUE"""),270.64)</f>
        <v>270.64</v>
      </c>
      <c r="D638" s="141">
        <f ca="1">IFERROR(__xludf.DUMMYFUNCTION("""COMPUTED_VALUE"""),271.51)</f>
        <v>271.51</v>
      </c>
      <c r="E638" s="141">
        <f ca="1">IFERROR(__xludf.DUMMYFUNCTION("""COMPUTED_VALUE"""),266.14)</f>
        <v>266.14</v>
      </c>
      <c r="F638" s="141">
        <f ca="1">IFERROR(__xludf.DUMMYFUNCTION("""COMPUTED_VALUE"""),267.26)</f>
        <v>267.26</v>
      </c>
      <c r="G638" s="143">
        <f ca="1">IFERROR(__xludf.DUMMYFUNCTION("""COMPUTED_VALUE"""),45647190)</f>
        <v>45647190</v>
      </c>
      <c r="H638" s="26"/>
    </row>
    <row r="639" spans="1:8" ht="17.25" customHeight="1" x14ac:dyDescent="0.2">
      <c r="A639" s="26"/>
      <c r="B639" s="139">
        <f ca="1">IFERROR(__xludf.DUMMYFUNCTION("""COMPUTED_VALUE"""),46028.6666666666)</f>
        <v>46028.666666666599</v>
      </c>
      <c r="C639" s="141">
        <f ca="1">IFERROR(__xludf.DUMMYFUNCTION("""COMPUTED_VALUE"""),267)</f>
        <v>267</v>
      </c>
      <c r="D639" s="141">
        <f ca="1">IFERROR(__xludf.DUMMYFUNCTION("""COMPUTED_VALUE"""),267.55)</f>
        <v>267.55</v>
      </c>
      <c r="E639" s="141">
        <f ca="1">IFERROR(__xludf.DUMMYFUNCTION("""COMPUTED_VALUE"""),262.12)</f>
        <v>262.12</v>
      </c>
      <c r="F639" s="141">
        <f ca="1">IFERROR(__xludf.DUMMYFUNCTION("""COMPUTED_VALUE"""),262.36)</f>
        <v>262.36</v>
      </c>
      <c r="G639" s="143">
        <f ca="1">IFERROR(__xludf.DUMMYFUNCTION("""COMPUTED_VALUE"""),52352090)</f>
        <v>52352090</v>
      </c>
      <c r="H639" s="26"/>
    </row>
    <row r="640" spans="1:8" ht="17.25" customHeight="1" x14ac:dyDescent="0.2">
      <c r="A640" s="26"/>
      <c r="B640" s="139">
        <f ca="1">IFERROR(__xludf.DUMMYFUNCTION("""COMPUTED_VALUE"""),46029.6666666666)</f>
        <v>46029.666666666599</v>
      </c>
      <c r="C640" s="141">
        <f ca="1">IFERROR(__xludf.DUMMYFUNCTION("""COMPUTED_VALUE"""),263.2)</f>
        <v>263.2</v>
      </c>
      <c r="D640" s="141">
        <f ca="1">IFERROR(__xludf.DUMMYFUNCTION("""COMPUTED_VALUE"""),263.68)</f>
        <v>263.68</v>
      </c>
      <c r="E640" s="141">
        <f ca="1">IFERROR(__xludf.DUMMYFUNCTION("""COMPUTED_VALUE"""),259.81)</f>
        <v>259.81</v>
      </c>
      <c r="F640" s="141">
        <f ca="1">IFERROR(__xludf.DUMMYFUNCTION("""COMPUTED_VALUE"""),260.33)</f>
        <v>260.33</v>
      </c>
      <c r="G640" s="143">
        <f ca="1">IFERROR(__xludf.DUMMYFUNCTION("""COMPUTED_VALUE"""),48309804)</f>
        <v>48309804</v>
      </c>
      <c r="H640" s="26"/>
    </row>
    <row r="641" spans="1:8" ht="17.25" customHeight="1" x14ac:dyDescent="0.2">
      <c r="A641" s="26"/>
      <c r="B641" s="139">
        <f ca="1">IFERROR(__xludf.DUMMYFUNCTION("""COMPUTED_VALUE"""),46030.6666666666)</f>
        <v>46030.666666666599</v>
      </c>
      <c r="C641" s="141">
        <f ca="1">IFERROR(__xludf.DUMMYFUNCTION("""COMPUTED_VALUE"""),257.02)</f>
        <v>257.02</v>
      </c>
      <c r="D641" s="141">
        <f ca="1">IFERROR(__xludf.DUMMYFUNCTION("""COMPUTED_VALUE"""),259.29)</f>
        <v>259.29000000000002</v>
      </c>
      <c r="E641" s="141">
        <f ca="1">IFERROR(__xludf.DUMMYFUNCTION("""COMPUTED_VALUE"""),255.7)</f>
        <v>255.7</v>
      </c>
      <c r="F641" s="141">
        <f ca="1">IFERROR(__xludf.DUMMYFUNCTION("""COMPUTED_VALUE"""),259.04)</f>
        <v>259.04000000000002</v>
      </c>
      <c r="G641" s="143">
        <f ca="1">IFERROR(__xludf.DUMMYFUNCTION("""COMPUTED_VALUE"""),50419337)</f>
        <v>50419337</v>
      </c>
      <c r="H641" s="26"/>
    </row>
    <row r="642" spans="1:8" ht="17.25" customHeight="1" x14ac:dyDescent="0.2">
      <c r="A642" s="26"/>
      <c r="B642" s="139">
        <f ca="1">IFERROR(__xludf.DUMMYFUNCTION("""COMPUTED_VALUE"""),46031.6666666666)</f>
        <v>46031.666666666599</v>
      </c>
      <c r="C642" s="141">
        <f ca="1">IFERROR(__xludf.DUMMYFUNCTION("""COMPUTED_VALUE"""),259.08)</f>
        <v>259.08</v>
      </c>
      <c r="D642" s="141">
        <f ca="1">IFERROR(__xludf.DUMMYFUNCTION("""COMPUTED_VALUE"""),260.21)</f>
        <v>260.20999999999998</v>
      </c>
      <c r="E642" s="141">
        <f ca="1">IFERROR(__xludf.DUMMYFUNCTION("""COMPUTED_VALUE"""),256.22)</f>
        <v>256.22000000000003</v>
      </c>
      <c r="F642" s="141">
        <f ca="1">IFERROR(__xludf.DUMMYFUNCTION("""COMPUTED_VALUE"""),259.37)</f>
        <v>259.37</v>
      </c>
      <c r="G642" s="143">
        <f ca="1">IFERROR(__xludf.DUMMYFUNCTION("""COMPUTED_VALUE"""),39996967)</f>
        <v>39996967</v>
      </c>
      <c r="H642" s="26"/>
    </row>
    <row r="643" spans="1:8" ht="17.25" customHeight="1" x14ac:dyDescent="0.2">
      <c r="A643" s="26"/>
      <c r="B643" s="139">
        <f ca="1">IFERROR(__xludf.DUMMYFUNCTION("""COMPUTED_VALUE"""),46034.6666666666)</f>
        <v>46034.666666666599</v>
      </c>
      <c r="C643" s="141">
        <f ca="1">IFERROR(__xludf.DUMMYFUNCTION("""COMPUTED_VALUE"""),259.16)</f>
        <v>259.16000000000003</v>
      </c>
      <c r="D643" s="141">
        <f ca="1">IFERROR(__xludf.DUMMYFUNCTION("""COMPUTED_VALUE"""),261.3)</f>
        <v>261.3</v>
      </c>
      <c r="E643" s="141">
        <f ca="1">IFERROR(__xludf.DUMMYFUNCTION("""COMPUTED_VALUE"""),256.8)</f>
        <v>256.8</v>
      </c>
      <c r="F643" s="141">
        <f ca="1">IFERROR(__xludf.DUMMYFUNCTION("""COMPUTED_VALUE"""),260.25)</f>
        <v>260.25</v>
      </c>
      <c r="G643" s="143">
        <f ca="1">IFERROR(__xludf.DUMMYFUNCTION("""COMPUTED_VALUE"""),45263767)</f>
        <v>45263767</v>
      </c>
      <c r="H643" s="26"/>
    </row>
    <row r="644" spans="1:8" ht="17.25" customHeight="1" x14ac:dyDescent="0.2">
      <c r="A644" s="26"/>
      <c r="B644" s="139">
        <f ca="1">IFERROR(__xludf.DUMMYFUNCTION("""COMPUTED_VALUE"""),46035.6666666666)</f>
        <v>46035.666666666599</v>
      </c>
      <c r="C644" s="141">
        <f ca="1">IFERROR(__xludf.DUMMYFUNCTION("""COMPUTED_VALUE"""),258.72)</f>
        <v>258.72000000000003</v>
      </c>
      <c r="D644" s="141">
        <f ca="1">IFERROR(__xludf.DUMMYFUNCTION("""COMPUTED_VALUE"""),261.81)</f>
        <v>261.81</v>
      </c>
      <c r="E644" s="141">
        <f ca="1">IFERROR(__xludf.DUMMYFUNCTION("""COMPUTED_VALUE"""),258.39)</f>
        <v>258.39</v>
      </c>
      <c r="F644" s="141">
        <f ca="1">IFERROR(__xludf.DUMMYFUNCTION("""COMPUTED_VALUE"""),261.05)</f>
        <v>261.05</v>
      </c>
      <c r="G644" s="143">
        <f ca="1">IFERROR(__xludf.DUMMYFUNCTION("""COMPUTED_VALUE"""),45730847)</f>
        <v>45730847</v>
      </c>
      <c r="H644" s="26"/>
    </row>
    <row r="645" spans="1:8" ht="17.25" customHeight="1" x14ac:dyDescent="0.2">
      <c r="A645" s="26"/>
      <c r="B645" s="139">
        <f ca="1">IFERROR(__xludf.DUMMYFUNCTION("""COMPUTED_VALUE"""),46036.6666666666)</f>
        <v>46036.666666666599</v>
      </c>
      <c r="C645" s="141">
        <f ca="1">IFERROR(__xludf.DUMMYFUNCTION("""COMPUTED_VALUE"""),259.49)</f>
        <v>259.49</v>
      </c>
      <c r="D645" s="141">
        <f ca="1">IFERROR(__xludf.DUMMYFUNCTION("""COMPUTED_VALUE"""),261.82)</f>
        <v>261.82</v>
      </c>
      <c r="E645" s="141">
        <f ca="1">IFERROR(__xludf.DUMMYFUNCTION("""COMPUTED_VALUE"""),256.71)</f>
        <v>256.70999999999998</v>
      </c>
      <c r="F645" s="141">
        <f ca="1">IFERROR(__xludf.DUMMYFUNCTION("""COMPUTED_VALUE"""),259.96)</f>
        <v>259.95999999999998</v>
      </c>
      <c r="G645" s="143">
        <f ca="1">IFERROR(__xludf.DUMMYFUNCTION("""COMPUTED_VALUE"""),40019421)</f>
        <v>40019421</v>
      </c>
      <c r="H645" s="26"/>
    </row>
    <row r="646" spans="1:8" ht="17.25" customHeight="1" x14ac:dyDescent="0.2">
      <c r="A646" s="26"/>
      <c r="B646" s="139">
        <f ca="1">IFERROR(__xludf.DUMMYFUNCTION("""COMPUTED_VALUE"""),46037.6666666666)</f>
        <v>46037.666666666599</v>
      </c>
      <c r="C646" s="141">
        <f ca="1">IFERROR(__xludf.DUMMYFUNCTION("""COMPUTED_VALUE"""),260.65)</f>
        <v>260.64999999999998</v>
      </c>
      <c r="D646" s="141">
        <f ca="1">IFERROR(__xludf.DUMMYFUNCTION("""COMPUTED_VALUE"""),261.04)</f>
        <v>261.04000000000002</v>
      </c>
      <c r="E646" s="141">
        <f ca="1">IFERROR(__xludf.DUMMYFUNCTION("""COMPUTED_VALUE"""),257.05)</f>
        <v>257.05</v>
      </c>
      <c r="F646" s="141">
        <f ca="1">IFERROR(__xludf.DUMMYFUNCTION("""COMPUTED_VALUE"""),258.21)</f>
        <v>258.20999999999998</v>
      </c>
      <c r="G646" s="143">
        <f ca="1">IFERROR(__xludf.DUMMYFUNCTION("""COMPUTED_VALUE"""),39388564)</f>
        <v>39388564</v>
      </c>
      <c r="H646" s="26"/>
    </row>
    <row r="647" spans="1:8" ht="17.25" customHeight="1" x14ac:dyDescent="0.2">
      <c r="A647" s="26"/>
      <c r="B647" s="139">
        <f ca="1">IFERROR(__xludf.DUMMYFUNCTION("""COMPUTED_VALUE"""),46038.6666666666)</f>
        <v>46038.666666666599</v>
      </c>
      <c r="C647" s="141">
        <f ca="1">IFERROR(__xludf.DUMMYFUNCTION("""COMPUTED_VALUE"""),257.9)</f>
        <v>257.89999999999998</v>
      </c>
      <c r="D647" s="141">
        <f ca="1">IFERROR(__xludf.DUMMYFUNCTION("""COMPUTED_VALUE"""),258.9)</f>
        <v>258.89999999999998</v>
      </c>
      <c r="E647" s="141">
        <f ca="1">IFERROR(__xludf.DUMMYFUNCTION("""COMPUTED_VALUE"""),254.93)</f>
        <v>254.93</v>
      </c>
      <c r="F647" s="141">
        <f ca="1">IFERROR(__xludf.DUMMYFUNCTION("""COMPUTED_VALUE"""),255.53)</f>
        <v>255.53</v>
      </c>
      <c r="G647" s="143">
        <f ca="1">IFERROR(__xludf.DUMMYFUNCTION("""COMPUTED_VALUE"""),72142773)</f>
        <v>72142773</v>
      </c>
      <c r="H647" s="26"/>
    </row>
    <row r="648" spans="1:8" ht="17.25" customHeight="1" x14ac:dyDescent="0.2">
      <c r="A648" s="26"/>
      <c r="B648" s="139">
        <f ca="1">IFERROR(__xludf.DUMMYFUNCTION("""COMPUTED_VALUE"""),46042.6666666666)</f>
        <v>46042.666666666599</v>
      </c>
      <c r="C648" s="141">
        <f ca="1">IFERROR(__xludf.DUMMYFUNCTION("""COMPUTED_VALUE"""),252.73)</f>
        <v>252.73</v>
      </c>
      <c r="D648" s="141">
        <f ca="1">IFERROR(__xludf.DUMMYFUNCTION("""COMPUTED_VALUE"""),254.79)</f>
        <v>254.79</v>
      </c>
      <c r="E648" s="141">
        <f ca="1">IFERROR(__xludf.DUMMYFUNCTION("""COMPUTED_VALUE"""),243.42)</f>
        <v>243.42</v>
      </c>
      <c r="F648" s="141">
        <f ca="1">IFERROR(__xludf.DUMMYFUNCTION("""COMPUTED_VALUE"""),246.7)</f>
        <v>246.7</v>
      </c>
      <c r="G648" s="143">
        <f ca="1">IFERROR(__xludf.DUMMYFUNCTION("""COMPUTED_VALUE"""),80267517)</f>
        <v>80267517</v>
      </c>
      <c r="H648" s="26"/>
    </row>
    <row r="649" spans="1:8" ht="17.25" customHeight="1" x14ac:dyDescent="0.2">
      <c r="A649" s="26"/>
      <c r="B649" s="139">
        <f ca="1">IFERROR(__xludf.DUMMYFUNCTION("""COMPUTED_VALUE"""),46043.6666666666)</f>
        <v>46043.666666666599</v>
      </c>
      <c r="C649" s="141">
        <f ca="1">IFERROR(__xludf.DUMMYFUNCTION("""COMPUTED_VALUE"""),248.7)</f>
        <v>248.7</v>
      </c>
      <c r="D649" s="141">
        <f ca="1">IFERROR(__xludf.DUMMYFUNCTION("""COMPUTED_VALUE"""),251.56)</f>
        <v>251.56</v>
      </c>
      <c r="E649" s="141">
        <f ca="1">IFERROR(__xludf.DUMMYFUNCTION("""COMPUTED_VALUE"""),245.18)</f>
        <v>245.18</v>
      </c>
      <c r="F649" s="141">
        <f ca="1">IFERROR(__xludf.DUMMYFUNCTION("""COMPUTED_VALUE"""),247.65)</f>
        <v>247.65</v>
      </c>
      <c r="G649" s="143">
        <f ca="1">IFERROR(__xludf.DUMMYFUNCTION("""COMPUTED_VALUE"""),54641725)</f>
        <v>54641725</v>
      </c>
      <c r="H649" s="26"/>
    </row>
    <row r="650" spans="1:8" ht="17.25" customHeight="1" x14ac:dyDescent="0.2">
      <c r="A650" s="26"/>
      <c r="B650" s="139">
        <f ca="1">IFERROR(__xludf.DUMMYFUNCTION("""COMPUTED_VALUE"""),46044.6666666666)</f>
        <v>46044.666666666599</v>
      </c>
      <c r="C650" s="141">
        <f ca="1">IFERROR(__xludf.DUMMYFUNCTION("""COMPUTED_VALUE"""),249.2)</f>
        <v>249.2</v>
      </c>
      <c r="D650" s="141">
        <f ca="1">IFERROR(__xludf.DUMMYFUNCTION("""COMPUTED_VALUE"""),251)</f>
        <v>251</v>
      </c>
      <c r="E650" s="141">
        <f ca="1">IFERROR(__xludf.DUMMYFUNCTION("""COMPUTED_VALUE"""),248.15)</f>
        <v>248.15</v>
      </c>
      <c r="F650" s="141">
        <f ca="1">IFERROR(__xludf.DUMMYFUNCTION("""COMPUTED_VALUE"""),248.35)</f>
        <v>248.35</v>
      </c>
      <c r="G650" s="143">
        <f ca="1">IFERROR(__xludf.DUMMYFUNCTION("""COMPUTED_VALUE"""),39708340)</f>
        <v>39708340</v>
      </c>
      <c r="H650" s="26"/>
    </row>
    <row r="651" spans="1:8" ht="17.25" customHeight="1" x14ac:dyDescent="0.2">
      <c r="A651" s="26"/>
      <c r="B651" s="139">
        <f ca="1">IFERROR(__xludf.DUMMYFUNCTION("""COMPUTED_VALUE"""),46045.6666666666)</f>
        <v>46045.666666666599</v>
      </c>
      <c r="C651" s="141">
        <f ca="1">IFERROR(__xludf.DUMMYFUNCTION("""COMPUTED_VALUE"""),247.32)</f>
        <v>247.32</v>
      </c>
      <c r="D651" s="141">
        <f ca="1">IFERROR(__xludf.DUMMYFUNCTION("""COMPUTED_VALUE"""),249.41)</f>
        <v>249.41</v>
      </c>
      <c r="E651" s="141">
        <f ca="1">IFERROR(__xludf.DUMMYFUNCTION("""COMPUTED_VALUE"""),244.68)</f>
        <v>244.68</v>
      </c>
      <c r="F651" s="141">
        <f ca="1">IFERROR(__xludf.DUMMYFUNCTION("""COMPUTED_VALUE"""),248.04)</f>
        <v>248.04</v>
      </c>
      <c r="G651" s="143">
        <f ca="1">IFERROR(__xludf.DUMMYFUNCTION("""COMPUTED_VALUE"""),41688982)</f>
        <v>41688982</v>
      </c>
      <c r="H651" s="26"/>
    </row>
    <row r="652" spans="1:8" ht="17.25" customHeight="1" x14ac:dyDescent="0.2">
      <c r="A652" s="26"/>
      <c r="B652" s="139">
        <f ca="1">IFERROR(__xludf.DUMMYFUNCTION("""COMPUTED_VALUE"""),46048.6666666666)</f>
        <v>46048.666666666599</v>
      </c>
      <c r="C652" s="141">
        <f ca="1">IFERROR(__xludf.DUMMYFUNCTION("""COMPUTED_VALUE"""),251.48)</f>
        <v>251.48</v>
      </c>
      <c r="D652" s="141">
        <f ca="1">IFERROR(__xludf.DUMMYFUNCTION("""COMPUTED_VALUE"""),256.56)</f>
        <v>256.56</v>
      </c>
      <c r="E652" s="141">
        <f ca="1">IFERROR(__xludf.DUMMYFUNCTION("""COMPUTED_VALUE"""),249.8)</f>
        <v>249.8</v>
      </c>
      <c r="F652" s="141">
        <f ca="1">IFERROR(__xludf.DUMMYFUNCTION("""COMPUTED_VALUE"""),255.41)</f>
        <v>255.41</v>
      </c>
      <c r="G652" s="143">
        <f ca="1">IFERROR(__xludf.DUMMYFUNCTION("""COMPUTED_VALUE"""),55969234)</f>
        <v>55969234</v>
      </c>
      <c r="H652" s="26"/>
    </row>
    <row r="653" spans="1:8" ht="17.25" customHeight="1" x14ac:dyDescent="0.2">
      <c r="A653" s="26"/>
      <c r="B653" s="139">
        <f ca="1">IFERROR(__xludf.DUMMYFUNCTION("""COMPUTED_VALUE"""),46049.6666666666)</f>
        <v>46049.666666666599</v>
      </c>
      <c r="C653" s="141">
        <f ca="1">IFERROR(__xludf.DUMMYFUNCTION("""COMPUTED_VALUE"""),259.17)</f>
        <v>259.17</v>
      </c>
      <c r="D653" s="141">
        <f ca="1">IFERROR(__xludf.DUMMYFUNCTION("""COMPUTED_VALUE"""),261.95)</f>
        <v>261.95</v>
      </c>
      <c r="E653" s="141">
        <f ca="1">IFERROR(__xludf.DUMMYFUNCTION("""COMPUTED_VALUE"""),258.21)</f>
        <v>258.20999999999998</v>
      </c>
      <c r="F653" s="141">
        <f ca="1">IFERROR(__xludf.DUMMYFUNCTION("""COMPUTED_VALUE"""),258.27)</f>
        <v>258.27</v>
      </c>
      <c r="G653" s="143">
        <f ca="1">IFERROR(__xludf.DUMMYFUNCTION("""COMPUTED_VALUE"""),49648271)</f>
        <v>49648271</v>
      </c>
      <c r="H653" s="26"/>
    </row>
    <row r="654" spans="1:8" ht="17.25" customHeight="1" x14ac:dyDescent="0.2">
      <c r="A654" s="26"/>
      <c r="B654" s="139">
        <f ca="1">IFERROR(__xludf.DUMMYFUNCTION("""COMPUTED_VALUE"""),46050.6666666666)</f>
        <v>46050.666666666599</v>
      </c>
      <c r="C654" s="141">
        <f ca="1">IFERROR(__xludf.DUMMYFUNCTION("""COMPUTED_VALUE"""),257.65)</f>
        <v>257.64999999999998</v>
      </c>
      <c r="D654" s="141">
        <f ca="1">IFERROR(__xludf.DUMMYFUNCTION("""COMPUTED_VALUE"""),258.86)</f>
        <v>258.86</v>
      </c>
      <c r="E654" s="141">
        <f ca="1">IFERROR(__xludf.DUMMYFUNCTION("""COMPUTED_VALUE"""),254.51)</f>
        <v>254.51</v>
      </c>
      <c r="F654" s="141">
        <f ca="1">IFERROR(__xludf.DUMMYFUNCTION("""COMPUTED_VALUE"""),256.44)</f>
        <v>256.44</v>
      </c>
      <c r="G654" s="143">
        <f ca="1">IFERROR(__xludf.DUMMYFUNCTION("""COMPUTED_VALUE"""),41287971)</f>
        <v>41287971</v>
      </c>
      <c r="H654" s="26"/>
    </row>
    <row r="655" spans="1:8" ht="17.25" customHeight="1" x14ac:dyDescent="0.2">
      <c r="A655" s="26"/>
      <c r="B655" s="139">
        <f ca="1">IFERROR(__xludf.DUMMYFUNCTION("""COMPUTED_VALUE"""),46051.6666666666)</f>
        <v>46051.666666666599</v>
      </c>
      <c r="C655" s="141">
        <f ca="1">IFERROR(__xludf.DUMMYFUNCTION("""COMPUTED_VALUE"""),258)</f>
        <v>258</v>
      </c>
      <c r="D655" s="141">
        <f ca="1">IFERROR(__xludf.DUMMYFUNCTION("""COMPUTED_VALUE"""),259.65)</f>
        <v>259.64999999999998</v>
      </c>
      <c r="E655" s="141">
        <f ca="1">IFERROR(__xludf.DUMMYFUNCTION("""COMPUTED_VALUE"""),254.41)</f>
        <v>254.41</v>
      </c>
      <c r="F655" s="141">
        <f ca="1">IFERROR(__xludf.DUMMYFUNCTION("""COMPUTED_VALUE"""),258.28)</f>
        <v>258.27999999999997</v>
      </c>
      <c r="G655" s="143">
        <f ca="1">IFERROR(__xludf.DUMMYFUNCTION("""COMPUTED_VALUE"""),67253009)</f>
        <v>67253009</v>
      </c>
      <c r="H655" s="26"/>
    </row>
    <row r="656" spans="1:8" ht="17.25" customHeight="1" x14ac:dyDescent="0.2">
      <c r="A656" s="26"/>
      <c r="B656" s="139">
        <f ca="1">IFERROR(__xludf.DUMMYFUNCTION("""COMPUTED_VALUE"""),46052.6666666666)</f>
        <v>46052.666666666599</v>
      </c>
      <c r="C656" s="141">
        <f ca="1">IFERROR(__xludf.DUMMYFUNCTION("""COMPUTED_VALUE"""),255.17)</f>
        <v>255.17</v>
      </c>
      <c r="D656" s="141">
        <f ca="1">IFERROR(__xludf.DUMMYFUNCTION("""COMPUTED_VALUE"""),261.9)</f>
        <v>261.89999999999998</v>
      </c>
      <c r="E656" s="141">
        <f ca="1">IFERROR(__xludf.DUMMYFUNCTION("""COMPUTED_VALUE"""),252.18)</f>
        <v>252.18</v>
      </c>
      <c r="F656" s="141">
        <f ca="1">IFERROR(__xludf.DUMMYFUNCTION("""COMPUTED_VALUE"""),259.48)</f>
        <v>259.48</v>
      </c>
      <c r="G656" s="143">
        <f ca="1">IFERROR(__xludf.DUMMYFUNCTION("""COMPUTED_VALUE"""),92443408)</f>
        <v>92443408</v>
      </c>
      <c r="H656" s="26"/>
    </row>
    <row r="657" spans="1:8" ht="17.25" customHeight="1" x14ac:dyDescent="0.2">
      <c r="A657" s="26"/>
      <c r="B657" s="139">
        <f ca="1">IFERROR(__xludf.DUMMYFUNCTION("""COMPUTED_VALUE"""),46055.6666666666)</f>
        <v>46055.666666666599</v>
      </c>
      <c r="C657" s="141">
        <f ca="1">IFERROR(__xludf.DUMMYFUNCTION("""COMPUTED_VALUE"""),260.03)</f>
        <v>260.02999999999997</v>
      </c>
      <c r="D657" s="141">
        <f ca="1">IFERROR(__xludf.DUMMYFUNCTION("""COMPUTED_VALUE"""),270.49)</f>
        <v>270.49</v>
      </c>
      <c r="E657" s="141">
        <f ca="1">IFERROR(__xludf.DUMMYFUNCTION("""COMPUTED_VALUE"""),259.21)</f>
        <v>259.20999999999998</v>
      </c>
      <c r="F657" s="141">
        <f ca="1">IFERROR(__xludf.DUMMYFUNCTION("""COMPUTED_VALUE"""),270.01)</f>
        <v>270.01</v>
      </c>
      <c r="G657" s="143">
        <f ca="1">IFERROR(__xludf.DUMMYFUNCTION("""COMPUTED_VALUE"""),73913425)</f>
        <v>73913425</v>
      </c>
      <c r="H657" s="26"/>
    </row>
    <row r="658" spans="1:8" ht="17.25" customHeight="1" x14ac:dyDescent="0.2">
      <c r="A658" s="26"/>
      <c r="B658" s="139">
        <f ca="1">IFERROR(__xludf.DUMMYFUNCTION("""COMPUTED_VALUE"""),46056.6666666666)</f>
        <v>46056.666666666599</v>
      </c>
      <c r="C658" s="141">
        <f ca="1">IFERROR(__xludf.DUMMYFUNCTION("""COMPUTED_VALUE"""),269.2)</f>
        <v>269.2</v>
      </c>
      <c r="D658" s="141">
        <f ca="1">IFERROR(__xludf.DUMMYFUNCTION("""COMPUTED_VALUE"""),271.88)</f>
        <v>271.88</v>
      </c>
      <c r="E658" s="141">
        <f ca="1">IFERROR(__xludf.DUMMYFUNCTION("""COMPUTED_VALUE"""),267.61)</f>
        <v>267.61</v>
      </c>
      <c r="F658" s="141">
        <f ca="1">IFERROR(__xludf.DUMMYFUNCTION("""COMPUTED_VALUE"""),269.48)</f>
        <v>269.48</v>
      </c>
      <c r="G658" s="143">
        <f ca="1">IFERROR(__xludf.DUMMYFUNCTION("""COMPUTED_VALUE"""),64394655)</f>
        <v>64394655</v>
      </c>
      <c r="H658" s="26"/>
    </row>
    <row r="659" spans="1:8" ht="17.25" customHeight="1" x14ac:dyDescent="0.2">
      <c r="A659" s="26"/>
      <c r="B659" s="139">
        <f ca="1">IFERROR(__xludf.DUMMYFUNCTION("""COMPUTED_VALUE"""),46057.6666666666)</f>
        <v>46057.666666666599</v>
      </c>
      <c r="C659" s="141">
        <f ca="1">IFERROR(__xludf.DUMMYFUNCTION("""COMPUTED_VALUE"""),272.29)</f>
        <v>272.29000000000002</v>
      </c>
      <c r="D659" s="141">
        <f ca="1">IFERROR(__xludf.DUMMYFUNCTION("""COMPUTED_VALUE"""),278.95)</f>
        <v>278.95</v>
      </c>
      <c r="E659" s="141">
        <f ca="1">IFERROR(__xludf.DUMMYFUNCTION("""COMPUTED_VALUE"""),272.29)</f>
        <v>272.29000000000002</v>
      </c>
      <c r="F659" s="141">
        <f ca="1">IFERROR(__xludf.DUMMYFUNCTION("""COMPUTED_VALUE"""),276.49)</f>
        <v>276.49</v>
      </c>
      <c r="G659" s="143">
        <f ca="1">IFERROR(__xludf.DUMMYFUNCTION("""COMPUTED_VALUE"""),90545710)</f>
        <v>90545710</v>
      </c>
      <c r="H659" s="26"/>
    </row>
    <row r="660" spans="1:8" ht="17.25" customHeight="1" x14ac:dyDescent="0.2">
      <c r="A660" s="26"/>
      <c r="B660" s="139">
        <f ca="1">IFERROR(__xludf.DUMMYFUNCTION("""COMPUTED_VALUE"""),46058.6666666666)</f>
        <v>46058.666666666599</v>
      </c>
      <c r="C660" s="141">
        <f ca="1">IFERROR(__xludf.DUMMYFUNCTION("""COMPUTED_VALUE"""),278.13)</f>
        <v>278.13</v>
      </c>
      <c r="D660" s="141">
        <f ca="1">IFERROR(__xludf.DUMMYFUNCTION("""COMPUTED_VALUE"""),279.5)</f>
        <v>279.5</v>
      </c>
      <c r="E660" s="141">
        <f ca="1">IFERROR(__xludf.DUMMYFUNCTION("""COMPUTED_VALUE"""),273.23)</f>
        <v>273.23</v>
      </c>
      <c r="F660" s="141">
        <f ca="1">IFERROR(__xludf.DUMMYFUNCTION("""COMPUTED_VALUE"""),275.91)</f>
        <v>275.91000000000003</v>
      </c>
      <c r="G660" s="143">
        <f ca="1">IFERROR(__xludf.DUMMYFUNCTION("""COMPUTED_VALUE"""),52977441)</f>
        <v>52977441</v>
      </c>
      <c r="H660" s="26"/>
    </row>
    <row r="661" spans="1:8" ht="17.25" customHeight="1" x14ac:dyDescent="0.2">
      <c r="A661" s="26"/>
      <c r="B661" s="139">
        <f ca="1">IFERROR(__xludf.DUMMYFUNCTION("""COMPUTED_VALUE"""),46059.6666666666)</f>
        <v>46059.666666666599</v>
      </c>
      <c r="C661" s="141">
        <f ca="1">IFERROR(__xludf.DUMMYFUNCTION("""COMPUTED_VALUE"""),277.12)</f>
        <v>277.12</v>
      </c>
      <c r="D661" s="141">
        <f ca="1">IFERROR(__xludf.DUMMYFUNCTION("""COMPUTED_VALUE"""),280.9)</f>
        <v>280.89999999999998</v>
      </c>
      <c r="E661" s="141">
        <f ca="1">IFERROR(__xludf.DUMMYFUNCTION("""COMPUTED_VALUE"""),276.93)</f>
        <v>276.93</v>
      </c>
      <c r="F661" s="141">
        <f ca="1">IFERROR(__xludf.DUMMYFUNCTION("""COMPUTED_VALUE"""),278.12)</f>
        <v>278.12</v>
      </c>
      <c r="G661" s="143">
        <f ca="1">IFERROR(__xludf.DUMMYFUNCTION("""COMPUTED_VALUE"""),50453414)</f>
        <v>50453414</v>
      </c>
      <c r="H661" s="26"/>
    </row>
    <row r="662" spans="1:8" ht="17.25" customHeight="1" x14ac:dyDescent="0.2">
      <c r="A662" s="26"/>
      <c r="B662" s="139">
        <f ca="1">IFERROR(__xludf.DUMMYFUNCTION("""COMPUTED_VALUE"""),46062.6666666666)</f>
        <v>46062.666666666599</v>
      </c>
      <c r="C662" s="141">
        <f ca="1">IFERROR(__xludf.DUMMYFUNCTION("""COMPUTED_VALUE"""),277.9)</f>
        <v>277.89999999999998</v>
      </c>
      <c r="D662" s="141">
        <f ca="1">IFERROR(__xludf.DUMMYFUNCTION("""COMPUTED_VALUE"""),278.2)</f>
        <v>278.2</v>
      </c>
      <c r="E662" s="141">
        <f ca="1">IFERROR(__xludf.DUMMYFUNCTION("""COMPUTED_VALUE"""),271.7)</f>
        <v>271.7</v>
      </c>
      <c r="F662" s="141">
        <f ca="1">IFERROR(__xludf.DUMMYFUNCTION("""COMPUTED_VALUE"""),274.62)</f>
        <v>274.62</v>
      </c>
      <c r="G662" s="143">
        <f ca="1">IFERROR(__xludf.DUMMYFUNCTION("""COMPUTED_VALUE"""),44623396)</f>
        <v>44623396</v>
      </c>
      <c r="H662" s="26"/>
    </row>
    <row r="663" spans="1:8" ht="17.25" customHeight="1" x14ac:dyDescent="0.2">
      <c r="A663" s="26"/>
      <c r="B663" s="139">
        <f ca="1">IFERROR(__xludf.DUMMYFUNCTION("""COMPUTED_VALUE"""),46063.6666666666)</f>
        <v>46063.666666666599</v>
      </c>
      <c r="C663" s="141">
        <f ca="1">IFERROR(__xludf.DUMMYFUNCTION("""COMPUTED_VALUE"""),274.89)</f>
        <v>274.89</v>
      </c>
      <c r="D663" s="141">
        <f ca="1">IFERROR(__xludf.DUMMYFUNCTION("""COMPUTED_VALUE"""),275.37)</f>
        <v>275.37</v>
      </c>
      <c r="E663" s="141">
        <f ca="1">IFERROR(__xludf.DUMMYFUNCTION("""COMPUTED_VALUE"""),272.94)</f>
        <v>272.94</v>
      </c>
      <c r="F663" s="141">
        <f ca="1">IFERROR(__xludf.DUMMYFUNCTION("""COMPUTED_VALUE"""),273.68)</f>
        <v>273.68</v>
      </c>
      <c r="G663" s="143">
        <f ca="1">IFERROR(__xludf.DUMMYFUNCTION("""COMPUTED_VALUE"""),34376898)</f>
        <v>34376898</v>
      </c>
      <c r="H663" s="26"/>
    </row>
    <row r="664" spans="1:8" ht="17.25" customHeight="1" x14ac:dyDescent="0.2">
      <c r="A664" s="26"/>
      <c r="B664" s="139">
        <f ca="1">IFERROR(__xludf.DUMMYFUNCTION("""COMPUTED_VALUE"""),46064.6666666666)</f>
        <v>46064.666666666599</v>
      </c>
      <c r="C664" s="141">
        <f ca="1">IFERROR(__xludf.DUMMYFUNCTION("""COMPUTED_VALUE"""),274.7)</f>
        <v>274.7</v>
      </c>
      <c r="D664" s="141">
        <f ca="1">IFERROR(__xludf.DUMMYFUNCTION("""COMPUTED_VALUE"""),280.18)</f>
        <v>280.18</v>
      </c>
      <c r="E664" s="141">
        <f ca="1">IFERROR(__xludf.DUMMYFUNCTION("""COMPUTED_VALUE"""),274.45)</f>
        <v>274.45</v>
      </c>
      <c r="F664" s="141">
        <f ca="1">IFERROR(__xludf.DUMMYFUNCTION("""COMPUTED_VALUE"""),275.5)</f>
        <v>275.5</v>
      </c>
      <c r="G664" s="143">
        <f ca="1">IFERROR(__xludf.DUMMYFUNCTION("""COMPUTED_VALUE"""),51931283)</f>
        <v>51931283</v>
      </c>
      <c r="H664" s="26"/>
    </row>
    <row r="665" spans="1:8" ht="17.25" customHeight="1" x14ac:dyDescent="0.2">
      <c r="A665" s="26"/>
      <c r="B665" s="139">
        <f ca="1">IFERROR(__xludf.DUMMYFUNCTION("""COMPUTED_VALUE"""),46065.6666666666)</f>
        <v>46065.666666666599</v>
      </c>
      <c r="C665" s="141">
        <f ca="1">IFERROR(__xludf.DUMMYFUNCTION("""COMPUTED_VALUE"""),275.59)</f>
        <v>275.58999999999997</v>
      </c>
      <c r="D665" s="141">
        <f ca="1">IFERROR(__xludf.DUMMYFUNCTION("""COMPUTED_VALUE"""),275.72)</f>
        <v>275.72000000000003</v>
      </c>
      <c r="E665" s="141">
        <f ca="1">IFERROR(__xludf.DUMMYFUNCTION("""COMPUTED_VALUE"""),260.18)</f>
        <v>260.18</v>
      </c>
      <c r="F665" s="141">
        <f ca="1">IFERROR(__xludf.DUMMYFUNCTION("""COMPUTED_VALUE"""),261.73)</f>
        <v>261.73</v>
      </c>
      <c r="G665" s="143">
        <f ca="1">IFERROR(__xludf.DUMMYFUNCTION("""COMPUTED_VALUE"""),81077229)</f>
        <v>81077229</v>
      </c>
      <c r="H665" s="26"/>
    </row>
    <row r="666" spans="1:8" ht="17.25" customHeight="1" x14ac:dyDescent="0.2">
      <c r="A666" s="26"/>
      <c r="B666" s="139">
        <f ca="1">IFERROR(__xludf.DUMMYFUNCTION("""COMPUTED_VALUE"""),46066.6666666666)</f>
        <v>46066.666666666599</v>
      </c>
      <c r="C666" s="141">
        <f ca="1">IFERROR(__xludf.DUMMYFUNCTION("""COMPUTED_VALUE"""),262.01)</f>
        <v>262.01</v>
      </c>
      <c r="D666" s="141">
        <f ca="1">IFERROR(__xludf.DUMMYFUNCTION("""COMPUTED_VALUE"""),262.23)</f>
        <v>262.23</v>
      </c>
      <c r="E666" s="141">
        <f ca="1">IFERROR(__xludf.DUMMYFUNCTION("""COMPUTED_VALUE"""),255.45)</f>
        <v>255.45</v>
      </c>
      <c r="F666" s="141">
        <f ca="1">IFERROR(__xludf.DUMMYFUNCTION("""COMPUTED_VALUE"""),255.78)</f>
        <v>255.78</v>
      </c>
      <c r="G666" s="143">
        <f ca="1">IFERROR(__xludf.DUMMYFUNCTION("""COMPUTED_VALUE"""),56290673)</f>
        <v>56290673</v>
      </c>
      <c r="H666" s="26"/>
    </row>
    <row r="667" spans="1:8" ht="17.25" customHeight="1" x14ac:dyDescent="0.2">
      <c r="A667" s="26"/>
      <c r="B667" s="139">
        <f ca="1">IFERROR(__xludf.DUMMYFUNCTION("""COMPUTED_VALUE"""),46070.6666666666)</f>
        <v>46070.666666666599</v>
      </c>
      <c r="C667" s="141">
        <f ca="1">IFERROR(__xludf.DUMMYFUNCTION("""COMPUTED_VALUE"""),258.05)</f>
        <v>258.05</v>
      </c>
      <c r="D667" s="141">
        <f ca="1">IFERROR(__xludf.DUMMYFUNCTION("""COMPUTED_VALUE"""),266.29)</f>
        <v>266.29000000000002</v>
      </c>
      <c r="E667" s="141">
        <f ca="1">IFERROR(__xludf.DUMMYFUNCTION("""COMPUTED_VALUE"""),255.54)</f>
        <v>255.54</v>
      </c>
      <c r="F667" s="141">
        <f ca="1">IFERROR(__xludf.DUMMYFUNCTION("""COMPUTED_VALUE"""),263.88)</f>
        <v>263.88</v>
      </c>
      <c r="G667" s="143">
        <f ca="1">IFERROR(__xludf.DUMMYFUNCTION("""COMPUTED_VALUE"""),58469094)</f>
        <v>58469094</v>
      </c>
      <c r="H667" s="26"/>
    </row>
    <row r="668" spans="1:8" ht="17.25" customHeight="1" x14ac:dyDescent="0.2">
      <c r="A668" s="26"/>
      <c r="B668" s="139">
        <f ca="1">IFERROR(__xludf.DUMMYFUNCTION("""COMPUTED_VALUE"""),46071.6666666666)</f>
        <v>46071.666666666599</v>
      </c>
      <c r="C668" s="141">
        <f ca="1">IFERROR(__xludf.DUMMYFUNCTION("""COMPUTED_VALUE"""),263.6)</f>
        <v>263.60000000000002</v>
      </c>
      <c r="D668" s="141">
        <f ca="1">IFERROR(__xludf.DUMMYFUNCTION("""COMPUTED_VALUE"""),266.82)</f>
        <v>266.82</v>
      </c>
      <c r="E668" s="141">
        <f ca="1">IFERROR(__xludf.DUMMYFUNCTION("""COMPUTED_VALUE"""),262.45)</f>
        <v>262.45</v>
      </c>
      <c r="F668" s="141">
        <f ca="1">IFERROR(__xludf.DUMMYFUNCTION("""COMPUTED_VALUE"""),264.35)</f>
        <v>264.35000000000002</v>
      </c>
      <c r="G668" s="143">
        <f ca="1">IFERROR(__xludf.DUMMYFUNCTION("""COMPUTED_VALUE"""),34203337)</f>
        <v>34203337</v>
      </c>
      <c r="H668" s="26"/>
    </row>
    <row r="669" spans="1:8" ht="17.25" customHeight="1" x14ac:dyDescent="0.2">
      <c r="A669" s="26"/>
      <c r="B669" s="139">
        <f ca="1">IFERROR(__xludf.DUMMYFUNCTION("""COMPUTED_VALUE"""),46072.6666666666)</f>
        <v>46072.666666666599</v>
      </c>
      <c r="C669" s="141">
        <f ca="1">IFERROR(__xludf.DUMMYFUNCTION("""COMPUTED_VALUE"""),262.6)</f>
        <v>262.60000000000002</v>
      </c>
      <c r="D669" s="141">
        <f ca="1">IFERROR(__xludf.DUMMYFUNCTION("""COMPUTED_VALUE"""),264.48)</f>
        <v>264.48</v>
      </c>
      <c r="E669" s="141">
        <f ca="1">IFERROR(__xludf.DUMMYFUNCTION("""COMPUTED_VALUE"""),260.05)</f>
        <v>260.05</v>
      </c>
      <c r="F669" s="141">
        <f ca="1">IFERROR(__xludf.DUMMYFUNCTION("""COMPUTED_VALUE"""),260.58)</f>
        <v>260.58</v>
      </c>
      <c r="G669" s="143">
        <f ca="1">IFERROR(__xludf.DUMMYFUNCTION("""COMPUTED_VALUE"""),30845294)</f>
        <v>30845294</v>
      </c>
      <c r="H669" s="26"/>
    </row>
    <row r="670" spans="1:8" ht="17.25" customHeight="1" x14ac:dyDescent="0.2">
      <c r="A670" s="26"/>
      <c r="B670" s="139">
        <f ca="1">IFERROR(__xludf.DUMMYFUNCTION("""COMPUTED_VALUE"""),46073.6666666666)</f>
        <v>46073.666666666599</v>
      </c>
      <c r="C670" s="141">
        <f ca="1">IFERROR(__xludf.DUMMYFUNCTION("""COMPUTED_VALUE"""),258.97)</f>
        <v>258.97000000000003</v>
      </c>
      <c r="D670" s="141">
        <f ca="1">IFERROR(__xludf.DUMMYFUNCTION("""COMPUTED_VALUE"""),264.75)</f>
        <v>264.75</v>
      </c>
      <c r="E670" s="141">
        <f ca="1">IFERROR(__xludf.DUMMYFUNCTION("""COMPUTED_VALUE"""),258.16)</f>
        <v>258.16000000000003</v>
      </c>
      <c r="F670" s="141">
        <f ca="1">IFERROR(__xludf.DUMMYFUNCTION("""COMPUTED_VALUE"""),264.58)</f>
        <v>264.58</v>
      </c>
      <c r="G670" s="143">
        <f ca="1">IFERROR(__xludf.DUMMYFUNCTION("""COMPUTED_VALUE"""),42070499)</f>
        <v>42070499</v>
      </c>
      <c r="H670" s="26"/>
    </row>
    <row r="671" spans="1:8" ht="17.25" customHeight="1" x14ac:dyDescent="0.2">
      <c r="A671" s="26"/>
      <c r="B671" s="139">
        <f ca="1">IFERROR(__xludf.DUMMYFUNCTION("""COMPUTED_VALUE"""),46076.6666666666)</f>
        <v>46076.666666666599</v>
      </c>
      <c r="C671" s="141">
        <f ca="1">IFERROR(__xludf.DUMMYFUNCTION("""COMPUTED_VALUE"""),263.49)</f>
        <v>263.49</v>
      </c>
      <c r="D671" s="141">
        <f ca="1">IFERROR(__xludf.DUMMYFUNCTION("""COMPUTED_VALUE"""),269.43)</f>
        <v>269.43</v>
      </c>
      <c r="E671" s="141">
        <f ca="1">IFERROR(__xludf.DUMMYFUNCTION("""COMPUTED_VALUE"""),263.38)</f>
        <v>263.38</v>
      </c>
      <c r="F671" s="141">
        <f ca="1">IFERROR(__xludf.DUMMYFUNCTION("""COMPUTED_VALUE"""),266.18)</f>
        <v>266.18</v>
      </c>
      <c r="G671" s="143">
        <f ca="1">IFERROR(__xludf.DUMMYFUNCTION("""COMPUTED_VALUE"""),37037423)</f>
        <v>37037423</v>
      </c>
      <c r="H671" s="26"/>
    </row>
    <row r="672" spans="1:8" ht="17.25" customHeight="1" x14ac:dyDescent="0.2">
      <c r="A672" s="26"/>
      <c r="B672" s="139">
        <f ca="1">IFERROR(__xludf.DUMMYFUNCTION("""COMPUTED_VALUE"""),46077.6666666666)</f>
        <v>46077.666666666599</v>
      </c>
      <c r="C672" s="141">
        <f ca="1">IFERROR(__xludf.DUMMYFUNCTION("""COMPUTED_VALUE"""),267.86)</f>
        <v>267.86</v>
      </c>
      <c r="D672" s="141">
        <f ca="1">IFERROR(__xludf.DUMMYFUNCTION("""COMPUTED_VALUE"""),274.89)</f>
        <v>274.89</v>
      </c>
      <c r="E672" s="141">
        <f ca="1">IFERROR(__xludf.DUMMYFUNCTION("""COMPUTED_VALUE"""),267.71)</f>
        <v>267.70999999999998</v>
      </c>
      <c r="F672" s="141">
        <f ca="1">IFERROR(__xludf.DUMMYFUNCTION("""COMPUTED_VALUE"""),272.14)</f>
        <v>272.14</v>
      </c>
      <c r="G672" s="143">
        <f ca="1">IFERROR(__xludf.DUMMYFUNCTION("""COMPUTED_VALUE"""),46640212)</f>
        <v>46640212</v>
      </c>
      <c r="H672" s="26"/>
    </row>
    <row r="673" spans="1:8" ht="17.25" customHeight="1" x14ac:dyDescent="0.2">
      <c r="A673" s="26"/>
      <c r="B673" s="139">
        <f ca="1">IFERROR(__xludf.DUMMYFUNCTION("""COMPUTED_VALUE"""),46078.6666666666)</f>
        <v>46078.666666666599</v>
      </c>
      <c r="C673" s="141">
        <f ca="1">IFERROR(__xludf.DUMMYFUNCTION("""COMPUTED_VALUE"""),271.78)</f>
        <v>271.77999999999997</v>
      </c>
      <c r="D673" s="141">
        <f ca="1">IFERROR(__xludf.DUMMYFUNCTION("""COMPUTED_VALUE"""),274.94)</f>
        <v>274.94</v>
      </c>
      <c r="E673" s="141">
        <f ca="1">IFERROR(__xludf.DUMMYFUNCTION("""COMPUTED_VALUE"""),271.05)</f>
        <v>271.05</v>
      </c>
      <c r="F673" s="141">
        <f ca="1">IFERROR(__xludf.DUMMYFUNCTION("""COMPUTED_VALUE"""),274.23)</f>
        <v>274.23</v>
      </c>
      <c r="G673" s="143">
        <f ca="1">IFERROR(__xludf.DUMMYFUNCTION("""COMPUTED_VALUE"""),32901326)</f>
        <v>32901326</v>
      </c>
      <c r="H673" s="26"/>
    </row>
    <row r="674" spans="1:8" ht="17.25" customHeight="1" x14ac:dyDescent="0.2">
      <c r="A674" s="26"/>
      <c r="B674" s="139">
        <f ca="1">IFERROR(__xludf.DUMMYFUNCTION("""COMPUTED_VALUE"""),46079.6666666666)</f>
        <v>46079.666666666599</v>
      </c>
      <c r="C674" s="141">
        <f ca="1">IFERROR(__xludf.DUMMYFUNCTION("""COMPUTED_VALUE"""),274.95)</f>
        <v>274.95</v>
      </c>
      <c r="D674" s="141">
        <f ca="1">IFERROR(__xludf.DUMMYFUNCTION("""COMPUTED_VALUE"""),276.11)</f>
        <v>276.11</v>
      </c>
      <c r="E674" s="141">
        <f ca="1">IFERROR(__xludf.DUMMYFUNCTION("""COMPUTED_VALUE"""),270.8)</f>
        <v>270.8</v>
      </c>
      <c r="F674" s="141">
        <f ca="1">IFERROR(__xludf.DUMMYFUNCTION("""COMPUTED_VALUE"""),272.95)</f>
        <v>272.95</v>
      </c>
      <c r="G674" s="143">
        <f ca="1">IFERROR(__xludf.DUMMYFUNCTION("""COMPUTED_VALUE"""),32020158)</f>
        <v>32020158</v>
      </c>
      <c r="H674" s="26"/>
    </row>
    <row r="675" spans="1:8" ht="17.25" customHeight="1" x14ac:dyDescent="0.2">
      <c r="A675" s="26"/>
      <c r="B675" s="139">
        <f ca="1">IFERROR(__xludf.DUMMYFUNCTION("""COMPUTED_VALUE"""),46080.6666666666)</f>
        <v>46080.666666666599</v>
      </c>
      <c r="C675" s="141">
        <f ca="1">IFERROR(__xludf.DUMMYFUNCTION("""COMPUTED_VALUE"""),272.81)</f>
        <v>272.81</v>
      </c>
      <c r="D675" s="141">
        <f ca="1">IFERROR(__xludf.DUMMYFUNCTION("""COMPUTED_VALUE"""),272.81)</f>
        <v>272.81</v>
      </c>
      <c r="E675" s="141">
        <f ca="1">IFERROR(__xludf.DUMMYFUNCTION("""COMPUTED_VALUE"""),262.89)</f>
        <v>262.89</v>
      </c>
      <c r="F675" s="141">
        <f ca="1">IFERROR(__xludf.DUMMYFUNCTION("""COMPUTED_VALUE"""),264.18)</f>
        <v>264.18</v>
      </c>
      <c r="G675" s="143">
        <f ca="1">IFERROR(__xludf.DUMMYFUNCTION("""COMPUTED_VALUE"""),71865217)</f>
        <v>71865217</v>
      </c>
      <c r="H675" s="26"/>
    </row>
    <row r="676" spans="1:8" ht="17.25" customHeight="1" x14ac:dyDescent="0.2">
      <c r="A676" s="26"/>
      <c r="B676" s="139">
        <f ca="1">IFERROR(__xludf.DUMMYFUNCTION("""COMPUTED_VALUE"""),46083.6666666666)</f>
        <v>46083.666666666599</v>
      </c>
      <c r="C676" s="141">
        <f ca="1">IFERROR(__xludf.DUMMYFUNCTION("""COMPUTED_VALUE"""),262.41)</f>
        <v>262.41000000000003</v>
      </c>
      <c r="D676" s="141">
        <f ca="1">IFERROR(__xludf.DUMMYFUNCTION("""COMPUTED_VALUE"""),266.53)</f>
        <v>266.52999999999997</v>
      </c>
      <c r="E676" s="141">
        <f ca="1">IFERROR(__xludf.DUMMYFUNCTION("""COMPUTED_VALUE"""),260.2)</f>
        <v>260.2</v>
      </c>
      <c r="F676" s="141">
        <f ca="1">IFERROR(__xludf.DUMMYFUNCTION("""COMPUTED_VALUE"""),264.72)</f>
        <v>264.72000000000003</v>
      </c>
      <c r="G676" s="143">
        <f ca="1">IFERROR(__xludf.DUMMYFUNCTION("""COMPUTED_VALUE"""),41615354)</f>
        <v>41615354</v>
      </c>
      <c r="H676" s="26"/>
    </row>
    <row r="677" spans="1:8" ht="17.25" customHeight="1" x14ac:dyDescent="0.2">
      <c r="A677" s="26"/>
      <c r="B677" s="139">
        <f ca="1">IFERROR(__xludf.DUMMYFUNCTION("""COMPUTED_VALUE"""),46084.6666666666)</f>
        <v>46084.666666666599</v>
      </c>
      <c r="C677" s="141">
        <f ca="1">IFERROR(__xludf.DUMMYFUNCTION("""COMPUTED_VALUE"""),263.48)</f>
        <v>263.48</v>
      </c>
      <c r="D677" s="141">
        <f ca="1">IFERROR(__xludf.DUMMYFUNCTION("""COMPUTED_VALUE"""),265.56)</f>
        <v>265.56</v>
      </c>
      <c r="E677" s="141">
        <f ca="1">IFERROR(__xludf.DUMMYFUNCTION("""COMPUTED_VALUE"""),260.13)</f>
        <v>260.13</v>
      </c>
      <c r="F677" s="141">
        <f ca="1">IFERROR(__xludf.DUMMYFUNCTION("""COMPUTED_VALUE"""),263.75)</f>
        <v>263.75</v>
      </c>
      <c r="G677" s="143">
        <f ca="1">IFERROR(__xludf.DUMMYFUNCTION("""COMPUTED_VALUE"""),38009511)</f>
        <v>38009511</v>
      </c>
      <c r="H677" s="26"/>
    </row>
    <row r="678" spans="1:8" ht="17.25" customHeight="1" x14ac:dyDescent="0.2">
      <c r="A678" s="26"/>
      <c r="B678" s="139">
        <f ca="1">IFERROR(__xludf.DUMMYFUNCTION("""COMPUTED_VALUE"""),46085.6666666666)</f>
        <v>46085.666666666599</v>
      </c>
      <c r="C678" s="141">
        <f ca="1">IFERROR(__xludf.DUMMYFUNCTION("""COMPUTED_VALUE"""),264.65)</f>
        <v>264.64999999999998</v>
      </c>
      <c r="D678" s="141">
        <f ca="1">IFERROR(__xludf.DUMMYFUNCTION("""COMPUTED_VALUE"""),266.15)</f>
        <v>266.14999999999998</v>
      </c>
      <c r="E678" s="141">
        <f ca="1">IFERROR(__xludf.DUMMYFUNCTION("""COMPUTED_VALUE"""),261.42)</f>
        <v>261.42</v>
      </c>
      <c r="F678" s="141">
        <f ca="1">IFERROR(__xludf.DUMMYFUNCTION("""COMPUTED_VALUE"""),262.52)</f>
        <v>262.52</v>
      </c>
      <c r="G678" s="143">
        <f ca="1">IFERROR(__xludf.DUMMYFUNCTION("""COMPUTED_VALUE"""),39272558)</f>
        <v>39272558</v>
      </c>
      <c r="H678" s="26"/>
    </row>
    <row r="679" spans="1:8" ht="17.25" customHeight="1" x14ac:dyDescent="0.2">
      <c r="A679" s="26"/>
      <c r="B679" s="139">
        <f ca="1">IFERROR(__xludf.DUMMYFUNCTION("""COMPUTED_VALUE"""),46086.6666666666)</f>
        <v>46086.666666666599</v>
      </c>
      <c r="C679" s="141">
        <f ca="1">IFERROR(__xludf.DUMMYFUNCTION("""COMPUTED_VALUE"""),260.79)</f>
        <v>260.79000000000002</v>
      </c>
      <c r="D679" s="141">
        <f ca="1">IFERROR(__xludf.DUMMYFUNCTION("""COMPUTED_VALUE"""),261.56)</f>
        <v>261.56</v>
      </c>
      <c r="E679" s="141">
        <f ca="1">IFERROR(__xludf.DUMMYFUNCTION("""COMPUTED_VALUE"""),257.25)</f>
        <v>257.25</v>
      </c>
      <c r="F679" s="141">
        <f ca="1">IFERROR(__xludf.DUMMYFUNCTION("""COMPUTED_VALUE"""),260.29)</f>
        <v>260.29000000000002</v>
      </c>
      <c r="G679" s="143">
        <f ca="1">IFERROR(__xludf.DUMMYFUNCTION("""COMPUTED_VALUE"""),49183362)</f>
        <v>49183362</v>
      </c>
      <c r="H679" s="26"/>
    </row>
    <row r="680" spans="1:8" ht="17.25" customHeight="1" x14ac:dyDescent="0.2">
      <c r="A680" s="26"/>
      <c r="B680" s="139">
        <f ca="1">IFERROR(__xludf.DUMMYFUNCTION("""COMPUTED_VALUE"""),46087.6666666666)</f>
        <v>46087.666666666599</v>
      </c>
      <c r="C680" s="141">
        <f ca="1">IFERROR(__xludf.DUMMYFUNCTION("""COMPUTED_VALUE"""),258.63)</f>
        <v>258.63</v>
      </c>
      <c r="D680" s="141">
        <f ca="1">IFERROR(__xludf.DUMMYFUNCTION("""COMPUTED_VALUE"""),258.77)</f>
        <v>258.77</v>
      </c>
      <c r="E680" s="141">
        <f ca="1">IFERROR(__xludf.DUMMYFUNCTION("""COMPUTED_VALUE"""),254.37)</f>
        <v>254.37</v>
      </c>
      <c r="F680" s="141">
        <f ca="1">IFERROR(__xludf.DUMMYFUNCTION("""COMPUTED_VALUE"""),257.46)</f>
        <v>257.45999999999998</v>
      </c>
      <c r="G680" s="143">
        <f ca="1">IFERROR(__xludf.DUMMYFUNCTION("""COMPUTED_VALUE"""),40506869)</f>
        <v>40506869</v>
      </c>
      <c r="H680" s="26"/>
    </row>
    <row r="681" spans="1:8" ht="17.25" customHeight="1" x14ac:dyDescent="0.2">
      <c r="A681" s="26"/>
      <c r="B681" s="139">
        <f ca="1">IFERROR(__xludf.DUMMYFUNCTION("""COMPUTED_VALUE"""),46090.6666666666)</f>
        <v>46090.666666666599</v>
      </c>
      <c r="C681" s="141">
        <f ca="1">IFERROR(__xludf.DUMMYFUNCTION("""COMPUTED_VALUE"""),255.69)</f>
        <v>255.69</v>
      </c>
      <c r="D681" s="141">
        <f ca="1">IFERROR(__xludf.DUMMYFUNCTION("""COMPUTED_VALUE"""),261.15)</f>
        <v>261.14999999999998</v>
      </c>
      <c r="E681" s="141">
        <f ca="1">IFERROR(__xludf.DUMMYFUNCTION("""COMPUTED_VALUE"""),253.68)</f>
        <v>253.68</v>
      </c>
      <c r="F681" s="141">
        <f ca="1">IFERROR(__xludf.DUMMYFUNCTION("""COMPUTED_VALUE"""),259.88)</f>
        <v>259.88</v>
      </c>
      <c r="G681" s="143">
        <f ca="1">IFERROR(__xludf.DUMMYFUNCTION("""COMPUTED_VALUE"""),37993948)</f>
        <v>37993948</v>
      </c>
      <c r="H681" s="26"/>
    </row>
    <row r="682" spans="1:8" ht="17.25" customHeight="1" x14ac:dyDescent="0.2">
      <c r="A682" s="26"/>
      <c r="B682" s="139">
        <f ca="1">IFERROR(__xludf.DUMMYFUNCTION("""COMPUTED_VALUE"""),46091.6666666666)</f>
        <v>46091.666666666599</v>
      </c>
      <c r="C682" s="141">
        <f ca="1">IFERROR(__xludf.DUMMYFUNCTION("""COMPUTED_VALUE"""),257.65)</f>
        <v>257.64999999999998</v>
      </c>
      <c r="D682" s="141">
        <f ca="1">IFERROR(__xludf.DUMMYFUNCTION("""COMPUTED_VALUE"""),262.48)</f>
        <v>262.48</v>
      </c>
      <c r="E682" s="141">
        <f ca="1">IFERROR(__xludf.DUMMYFUNCTION("""COMPUTED_VALUE"""),256.95)</f>
        <v>256.95</v>
      </c>
      <c r="F682" s="141">
        <f ca="1">IFERROR(__xludf.DUMMYFUNCTION("""COMPUTED_VALUE"""),260.83)</f>
        <v>260.83</v>
      </c>
      <c r="G682" s="143">
        <f ca="1">IFERROR(__xludf.DUMMYFUNCTION("""COMPUTED_VALUE"""),28555212)</f>
        <v>28555212</v>
      </c>
      <c r="H682" s="26"/>
    </row>
    <row r="683" spans="1:8" ht="17.25" customHeight="1" x14ac:dyDescent="0.2">
      <c r="A683" s="26"/>
      <c r="B683" s="139">
        <f ca="1">IFERROR(__xludf.DUMMYFUNCTION("""COMPUTED_VALUE"""),46092.6666666666)</f>
        <v>46092.666666666599</v>
      </c>
      <c r="C683" s="141">
        <f ca="1">IFERROR(__xludf.DUMMYFUNCTION("""COMPUTED_VALUE"""),261.09)</f>
        <v>261.08999999999997</v>
      </c>
      <c r="D683" s="141">
        <f ca="1">IFERROR(__xludf.DUMMYFUNCTION("""COMPUTED_VALUE"""),262.13)</f>
        <v>262.13</v>
      </c>
      <c r="E683" s="141">
        <f ca="1">IFERROR(__xludf.DUMMYFUNCTION("""COMPUTED_VALUE"""),259.55)</f>
        <v>259.55</v>
      </c>
      <c r="F683" s="141">
        <f ca="1">IFERROR(__xludf.DUMMYFUNCTION("""COMPUTED_VALUE"""),260.81)</f>
        <v>260.81</v>
      </c>
      <c r="G683" s="143">
        <f ca="1">IFERROR(__xludf.DUMMYFUNCTION("""COMPUTED_VALUE"""),26218927)</f>
        <v>26218927</v>
      </c>
      <c r="H683" s="26"/>
    </row>
    <row r="684" spans="1:8" ht="17.25" customHeight="1" x14ac:dyDescent="0.2">
      <c r="A684" s="26"/>
      <c r="B684" s="139">
        <f ca="1">IFERROR(__xludf.DUMMYFUNCTION("""COMPUTED_VALUE"""),46093.6666666666)</f>
        <v>46093.666666666599</v>
      </c>
      <c r="C684" s="141">
        <f ca="1">IFERROR(__xludf.DUMMYFUNCTION("""COMPUTED_VALUE"""),258.66)</f>
        <v>258.66000000000003</v>
      </c>
      <c r="D684" s="141">
        <f ca="1">IFERROR(__xludf.DUMMYFUNCTION("""COMPUTED_VALUE"""),258.95)</f>
        <v>258.95</v>
      </c>
      <c r="E684" s="141">
        <f ca="1">IFERROR(__xludf.DUMMYFUNCTION("""COMPUTED_VALUE"""),254.18)</f>
        <v>254.18</v>
      </c>
      <c r="F684" s="141">
        <f ca="1">IFERROR(__xludf.DUMMYFUNCTION("""COMPUTED_VALUE"""),255.76)</f>
        <v>255.76</v>
      </c>
      <c r="G684" s="143">
        <f ca="1">IFERROR(__xludf.DUMMYFUNCTION("""COMPUTED_VALUE"""),40794020)</f>
        <v>40794020</v>
      </c>
      <c r="H684" s="26"/>
    </row>
    <row r="685" spans="1:8" ht="17.25" customHeight="1" x14ac:dyDescent="0.2">
      <c r="A685" s="26"/>
      <c r="B685" s="139">
        <f ca="1">IFERROR(__xludf.DUMMYFUNCTION("""COMPUTED_VALUE"""),46094.6666666666)</f>
        <v>46094.666666666599</v>
      </c>
      <c r="C685" s="141">
        <f ca="1">IFERROR(__xludf.DUMMYFUNCTION("""COMPUTED_VALUE"""),255.48)</f>
        <v>255.48</v>
      </c>
      <c r="D685" s="141">
        <f ca="1">IFERROR(__xludf.DUMMYFUNCTION("""COMPUTED_VALUE"""),256.33)</f>
        <v>256.33</v>
      </c>
      <c r="E685" s="141">
        <f ca="1">IFERROR(__xludf.DUMMYFUNCTION("""COMPUTED_VALUE"""),249.52)</f>
        <v>249.52</v>
      </c>
      <c r="F685" s="141">
        <f ca="1">IFERROR(__xludf.DUMMYFUNCTION("""COMPUTED_VALUE"""),250.12)</f>
        <v>250.12</v>
      </c>
      <c r="G685" s="143">
        <f ca="1">IFERROR(__xludf.DUMMYFUNCTION("""COMPUTED_VALUE"""),36929988)</f>
        <v>36929988</v>
      </c>
      <c r="H685" s="26"/>
    </row>
    <row r="686" spans="1:8" ht="17.25" customHeight="1" x14ac:dyDescent="0.2">
      <c r="A686" s="26"/>
      <c r="B686" s="139">
        <f ca="1">IFERROR(__xludf.DUMMYFUNCTION("""COMPUTED_VALUE"""),46097.6666666666)</f>
        <v>46097.666666666599</v>
      </c>
      <c r="C686" s="141">
        <f ca="1">IFERROR(__xludf.DUMMYFUNCTION("""COMPUTED_VALUE"""),252.11)</f>
        <v>252.11</v>
      </c>
      <c r="D686" s="141">
        <f ca="1">IFERROR(__xludf.DUMMYFUNCTION("""COMPUTED_VALUE"""),253.89)</f>
        <v>253.89</v>
      </c>
      <c r="E686" s="141">
        <f ca="1">IFERROR(__xludf.DUMMYFUNCTION("""COMPUTED_VALUE"""),249.88)</f>
        <v>249.88</v>
      </c>
      <c r="F686" s="141">
        <f ca="1">IFERROR(__xludf.DUMMYFUNCTION("""COMPUTED_VALUE"""),252.82)</f>
        <v>252.82</v>
      </c>
      <c r="G686" s="143">
        <f ca="1">IFERROR(__xludf.DUMMYFUNCTION("""COMPUTED_VALUE"""),32074210)</f>
        <v>32074210</v>
      </c>
      <c r="H686" s="26"/>
    </row>
    <row r="687" spans="1:8" ht="17.25" customHeight="1" x14ac:dyDescent="0.2">
      <c r="A687" s="26"/>
      <c r="B687" s="139">
        <f ca="1">IFERROR(__xludf.DUMMYFUNCTION("""COMPUTED_VALUE"""),46098.6666666666)</f>
        <v>46098.666666666599</v>
      </c>
      <c r="C687" s="141">
        <f ca="1">IFERROR(__xludf.DUMMYFUNCTION("""COMPUTED_VALUE"""),252.96)</f>
        <v>252.96</v>
      </c>
      <c r="D687" s="141">
        <f ca="1">IFERROR(__xludf.DUMMYFUNCTION("""COMPUTED_VALUE"""),255.13)</f>
        <v>255.13</v>
      </c>
      <c r="E687" s="141">
        <f ca="1">IFERROR(__xludf.DUMMYFUNCTION("""COMPUTED_VALUE"""),252.18)</f>
        <v>252.18</v>
      </c>
      <c r="F687" s="141">
        <f ca="1">IFERROR(__xludf.DUMMYFUNCTION("""COMPUTED_VALUE"""),254.23)</f>
        <v>254.23</v>
      </c>
      <c r="G687" s="143">
        <f ca="1">IFERROR(__xludf.DUMMYFUNCTION("""COMPUTED_VALUE"""),32361607)</f>
        <v>32361607</v>
      </c>
      <c r="H687" s="26"/>
    </row>
    <row r="688" spans="1:8" ht="17.25" customHeight="1" x14ac:dyDescent="0.2">
      <c r="A688" s="26"/>
      <c r="B688" s="139">
        <f ca="1">IFERROR(__xludf.DUMMYFUNCTION("""COMPUTED_VALUE"""),46099.6666666666)</f>
        <v>46099.666666666599</v>
      </c>
      <c r="C688" s="141">
        <f ca="1">IFERROR(__xludf.DUMMYFUNCTION("""COMPUTED_VALUE"""),252.63)</f>
        <v>252.63</v>
      </c>
      <c r="D688" s="141">
        <f ca="1">IFERROR(__xludf.DUMMYFUNCTION("""COMPUTED_VALUE"""),254.94)</f>
        <v>254.94</v>
      </c>
      <c r="E688" s="141">
        <f ca="1">IFERROR(__xludf.DUMMYFUNCTION("""COMPUTED_VALUE"""),249)</f>
        <v>249</v>
      </c>
      <c r="F688" s="141">
        <f ca="1">IFERROR(__xludf.DUMMYFUNCTION("""COMPUTED_VALUE"""),249.94)</f>
        <v>249.94</v>
      </c>
      <c r="G688" s="143">
        <f ca="1">IFERROR(__xludf.DUMMYFUNCTION("""COMPUTED_VALUE"""),35757874)</f>
        <v>35757874</v>
      </c>
      <c r="H688" s="26"/>
    </row>
    <row r="689" spans="1:8" ht="17.25" customHeight="1" x14ac:dyDescent="0.2">
      <c r="A689" s="26"/>
      <c r="B689" s="139">
        <f ca="1">IFERROR(__xludf.DUMMYFUNCTION("""COMPUTED_VALUE"""),46100.6666666666)</f>
        <v>46100.666666666599</v>
      </c>
      <c r="C689" s="141">
        <f ca="1">IFERROR(__xludf.DUMMYFUNCTION("""COMPUTED_VALUE"""),249.4)</f>
        <v>249.4</v>
      </c>
      <c r="D689" s="141">
        <f ca="1">IFERROR(__xludf.DUMMYFUNCTION("""COMPUTED_VALUE"""),251.83)</f>
        <v>251.83</v>
      </c>
      <c r="E689" s="141">
        <f ca="1">IFERROR(__xludf.DUMMYFUNCTION("""COMPUTED_VALUE"""),247.3)</f>
        <v>247.3</v>
      </c>
      <c r="F689" s="141">
        <f ca="1">IFERROR(__xludf.DUMMYFUNCTION("""COMPUTED_VALUE"""),248.96)</f>
        <v>248.96</v>
      </c>
      <c r="G689" s="143">
        <f ca="1">IFERROR(__xludf.DUMMYFUNCTION("""COMPUTED_VALUE"""),34864082)</f>
        <v>34864082</v>
      </c>
      <c r="H689" s="26"/>
    </row>
    <row r="690" spans="1:8" ht="17.25" customHeight="1" x14ac:dyDescent="0.2">
      <c r="A690" s="26"/>
      <c r="B690" s="139">
        <f ca="1">IFERROR(__xludf.DUMMYFUNCTION("""COMPUTED_VALUE"""),46101.6666666666)</f>
        <v>46101.666666666599</v>
      </c>
      <c r="C690" s="141">
        <f ca="1">IFERROR(__xludf.DUMMYFUNCTION("""COMPUTED_VALUE"""),247.98)</f>
        <v>247.98</v>
      </c>
      <c r="D690" s="141">
        <f ca="1">IFERROR(__xludf.DUMMYFUNCTION("""COMPUTED_VALUE"""),249.2)</f>
        <v>249.2</v>
      </c>
      <c r="E690" s="141">
        <f ca="1">IFERROR(__xludf.DUMMYFUNCTION("""COMPUTED_VALUE"""),246)</f>
        <v>246</v>
      </c>
      <c r="F690" s="141">
        <f ca="1">IFERROR(__xludf.DUMMYFUNCTION("""COMPUTED_VALUE"""),247.99)</f>
        <v>247.99</v>
      </c>
      <c r="G690" s="143">
        <f ca="1">IFERROR(__xludf.DUMMYFUNCTION("""COMPUTED_VALUE"""),88331081)</f>
        <v>88331081</v>
      </c>
      <c r="H690" s="26"/>
    </row>
    <row r="691" spans="1:8" ht="17.25" customHeight="1" x14ac:dyDescent="0.2">
      <c r="A691" s="26"/>
      <c r="B691" s="139">
        <f ca="1">IFERROR(__xludf.DUMMYFUNCTION("""COMPUTED_VALUE"""),46104.6666666666)</f>
        <v>46104.666666666599</v>
      </c>
      <c r="C691" s="141">
        <f ca="1">IFERROR(__xludf.DUMMYFUNCTION("""COMPUTED_VALUE"""),253.97)</f>
        <v>253.97</v>
      </c>
      <c r="D691" s="141">
        <f ca="1">IFERROR(__xludf.DUMMYFUNCTION("""COMPUTED_VALUE"""),254.6)</f>
        <v>254.6</v>
      </c>
      <c r="E691" s="141">
        <f ca="1">IFERROR(__xludf.DUMMYFUNCTION("""COMPUTED_VALUE"""),250.28)</f>
        <v>250.28</v>
      </c>
      <c r="F691" s="141">
        <f ca="1">IFERROR(__xludf.DUMMYFUNCTION("""COMPUTED_VALUE"""),251.49)</f>
        <v>251.49</v>
      </c>
      <c r="G691" s="143">
        <f ca="1">IFERROR(__xludf.DUMMYFUNCTION("""COMPUTED_VALUE"""),40546109)</f>
        <v>40546109</v>
      </c>
      <c r="H691" s="26"/>
    </row>
    <row r="692" spans="1:8" ht="17.25" customHeight="1" x14ac:dyDescent="0.2">
      <c r="A692" s="26"/>
      <c r="B692" s="139">
        <f ca="1">IFERROR(__xludf.DUMMYFUNCTION("""COMPUTED_VALUE"""),46105.6666666666)</f>
        <v>46105.666666666599</v>
      </c>
      <c r="C692" s="141">
        <f ca="1">IFERROR(__xludf.DUMMYFUNCTION("""COMPUTED_VALUE"""),250.35)</f>
        <v>250.35</v>
      </c>
      <c r="D692" s="141">
        <f ca="1">IFERROR(__xludf.DUMMYFUNCTION("""COMPUTED_VALUE"""),254.83)</f>
        <v>254.83</v>
      </c>
      <c r="E692" s="141">
        <f ca="1">IFERROR(__xludf.DUMMYFUNCTION("""COMPUTED_VALUE"""),249.55)</f>
        <v>249.55</v>
      </c>
      <c r="F692" s="141">
        <f ca="1">IFERROR(__xludf.DUMMYFUNCTION("""COMPUTED_VALUE"""),251.64)</f>
        <v>251.64</v>
      </c>
      <c r="G692" s="143">
        <f ca="1">IFERROR(__xludf.DUMMYFUNCTION("""COMPUTED_VALUE"""),45152289)</f>
        <v>45152289</v>
      </c>
      <c r="H692" s="26"/>
    </row>
    <row r="693" spans="1:8" ht="17.25" customHeight="1" x14ac:dyDescent="0.2">
      <c r="A693" s="26"/>
      <c r="B693" s="139">
        <f ca="1">IFERROR(__xludf.DUMMYFUNCTION("""COMPUTED_VALUE"""),46106.6666666666)</f>
        <v>46106.666666666599</v>
      </c>
      <c r="C693" s="141">
        <f ca="1">IFERROR(__xludf.DUMMYFUNCTION("""COMPUTED_VALUE"""),254.1)</f>
        <v>254.1</v>
      </c>
      <c r="D693" s="141">
        <f ca="1">IFERROR(__xludf.DUMMYFUNCTION("""COMPUTED_VALUE"""),255)</f>
        <v>255</v>
      </c>
      <c r="E693" s="141">
        <f ca="1">IFERROR(__xludf.DUMMYFUNCTION("""COMPUTED_VALUE"""),251.6)</f>
        <v>251.6</v>
      </c>
      <c r="F693" s="141">
        <f ca="1">IFERROR(__xludf.DUMMYFUNCTION("""COMPUTED_VALUE"""),252.62)</f>
        <v>252.62</v>
      </c>
      <c r="G693" s="143">
        <f ca="1">IFERROR(__xludf.DUMMYFUNCTION("""COMPUTED_VALUE"""),28476668)</f>
        <v>28476668</v>
      </c>
      <c r="H693" s="26"/>
    </row>
    <row r="694" spans="1:8" ht="17.25" customHeight="1" x14ac:dyDescent="0.2">
      <c r="A694" s="26"/>
      <c r="B694" s="139">
        <f ca="1">IFERROR(__xludf.DUMMYFUNCTION("""COMPUTED_VALUE"""),46107.6666666666)</f>
        <v>46107.666666666599</v>
      </c>
      <c r="C694" s="141">
        <f ca="1">IFERROR(__xludf.DUMMYFUNCTION("""COMPUTED_VALUE"""),252.12)</f>
        <v>252.12</v>
      </c>
      <c r="D694" s="141">
        <f ca="1">IFERROR(__xludf.DUMMYFUNCTION("""COMPUTED_VALUE"""),257)</f>
        <v>257</v>
      </c>
      <c r="E694" s="141">
        <f ca="1">IFERROR(__xludf.DUMMYFUNCTION("""COMPUTED_VALUE"""),250.77)</f>
        <v>250.77</v>
      </c>
      <c r="F694" s="141">
        <f ca="1">IFERROR(__xludf.DUMMYFUNCTION("""COMPUTED_VALUE"""),252.89)</f>
        <v>252.89</v>
      </c>
      <c r="G694" s="143">
        <f ca="1">IFERROR(__xludf.DUMMYFUNCTION("""COMPUTED_VALUE"""),41796650)</f>
        <v>41796650</v>
      </c>
      <c r="H694" s="26"/>
    </row>
    <row r="695" spans="1:8" ht="17.25" customHeight="1" x14ac:dyDescent="0.2">
      <c r="A695" s="26"/>
      <c r="B695" s="139">
        <f ca="1">IFERROR(__xludf.DUMMYFUNCTION("""COMPUTED_VALUE"""),46108.6666666666)</f>
        <v>46108.666666666599</v>
      </c>
      <c r="C695" s="141">
        <f ca="1">IFERROR(__xludf.DUMMYFUNCTION("""COMPUTED_VALUE"""),253.9)</f>
        <v>253.9</v>
      </c>
      <c r="D695" s="141">
        <f ca="1">IFERROR(__xludf.DUMMYFUNCTION("""COMPUTED_VALUE"""),255.49)</f>
        <v>255.49</v>
      </c>
      <c r="E695" s="141">
        <f ca="1">IFERROR(__xludf.DUMMYFUNCTION("""COMPUTED_VALUE"""),248.07)</f>
        <v>248.07</v>
      </c>
      <c r="F695" s="141">
        <f ca="1">IFERROR(__xludf.DUMMYFUNCTION("""COMPUTED_VALUE"""),248.8)</f>
        <v>248.8</v>
      </c>
      <c r="G695" s="143">
        <f ca="1">IFERROR(__xludf.DUMMYFUNCTION("""COMPUTED_VALUE"""),47899998)</f>
        <v>47899998</v>
      </c>
      <c r="H695" s="26"/>
    </row>
    <row r="696" spans="1:8" ht="17.25" customHeight="1" x14ac:dyDescent="0.2">
      <c r="A696" s="26"/>
      <c r="B696" s="139">
        <f ca="1">IFERROR(__xludf.DUMMYFUNCTION("""COMPUTED_VALUE"""),46111.6666666666)</f>
        <v>46111.666666666599</v>
      </c>
      <c r="C696" s="141">
        <f ca="1">IFERROR(__xludf.DUMMYFUNCTION("""COMPUTED_VALUE"""),250.07)</f>
        <v>250.07</v>
      </c>
      <c r="D696" s="141">
        <f ca="1">IFERROR(__xludf.DUMMYFUNCTION("""COMPUTED_VALUE"""),250.87)</f>
        <v>250.87</v>
      </c>
      <c r="E696" s="141">
        <f ca="1">IFERROR(__xludf.DUMMYFUNCTION("""COMPUTED_VALUE"""),245.51)</f>
        <v>245.51</v>
      </c>
      <c r="F696" s="141">
        <f ca="1">IFERROR(__xludf.DUMMYFUNCTION("""COMPUTED_VALUE"""),246.63)</f>
        <v>246.63</v>
      </c>
      <c r="G696" s="143">
        <f ca="1">IFERROR(__xludf.DUMMYFUNCTION("""COMPUTED_VALUE"""),39446213)</f>
        <v>39446213</v>
      </c>
      <c r="H696" s="26"/>
    </row>
    <row r="697" spans="1:8" ht="17.25" customHeight="1" x14ac:dyDescent="0.2">
      <c r="A697" s="26"/>
      <c r="B697" s="139">
        <f ca="1">IFERROR(__xludf.DUMMYFUNCTION("""COMPUTED_VALUE"""),46112.6666666666)</f>
        <v>46112.666666666599</v>
      </c>
      <c r="C697" s="141">
        <f ca="1">IFERROR(__xludf.DUMMYFUNCTION("""COMPUTED_VALUE"""),247.91)</f>
        <v>247.91</v>
      </c>
      <c r="D697" s="141">
        <f ca="1">IFERROR(__xludf.DUMMYFUNCTION("""COMPUTED_VALUE"""),255.48)</f>
        <v>255.48</v>
      </c>
      <c r="E697" s="141">
        <f ca="1">IFERROR(__xludf.DUMMYFUNCTION("""COMPUTED_VALUE"""),247.1)</f>
        <v>247.1</v>
      </c>
      <c r="F697" s="141">
        <f ca="1">IFERROR(__xludf.DUMMYFUNCTION("""COMPUTED_VALUE"""),253.79)</f>
        <v>253.79</v>
      </c>
      <c r="G697" s="143">
        <f ca="1">IFERROR(__xludf.DUMMYFUNCTION("""COMPUTED_VALUE"""),49598091)</f>
        <v>49598091</v>
      </c>
      <c r="H697" s="26"/>
    </row>
    <row r="698" spans="1:8" ht="17.25" customHeight="1" x14ac:dyDescent="0.2">
      <c r="A698" s="26"/>
      <c r="B698" s="139">
        <f ca="1">IFERROR(__xludf.DUMMYFUNCTION("""COMPUTED_VALUE"""),46113.6666666666)</f>
        <v>46113.666666666599</v>
      </c>
      <c r="C698" s="141">
        <f ca="1">IFERROR(__xludf.DUMMYFUNCTION("""COMPUTED_VALUE"""),254.08)</f>
        <v>254.08</v>
      </c>
      <c r="D698" s="141">
        <f ca="1">IFERROR(__xludf.DUMMYFUNCTION("""COMPUTED_VALUE"""),256.18)</f>
        <v>256.18</v>
      </c>
      <c r="E698" s="141">
        <f ca="1">IFERROR(__xludf.DUMMYFUNCTION("""COMPUTED_VALUE"""),253.33)</f>
        <v>253.33</v>
      </c>
      <c r="F698" s="141">
        <f ca="1">IFERROR(__xludf.DUMMYFUNCTION("""COMPUTED_VALUE"""),255.63)</f>
        <v>255.63</v>
      </c>
      <c r="G698" s="143">
        <f ca="1">IFERROR(__xludf.DUMMYFUNCTION("""COMPUTED_VALUE"""),40059432)</f>
        <v>40059432</v>
      </c>
      <c r="H698" s="26"/>
    </row>
    <row r="699" spans="1:8" ht="17.25" customHeight="1" x14ac:dyDescent="0.2">
      <c r="A699" s="26"/>
      <c r="B699" s="139">
        <f ca="1">IFERROR(__xludf.DUMMYFUNCTION("""COMPUTED_VALUE"""),46114.6666666666)</f>
        <v>46114.666666666599</v>
      </c>
      <c r="C699" s="141">
        <f ca="1">IFERROR(__xludf.DUMMYFUNCTION("""COMPUTED_VALUE"""),254.2)</f>
        <v>254.2</v>
      </c>
      <c r="D699" s="141">
        <f ca="1">IFERROR(__xludf.DUMMYFUNCTION("""COMPUTED_VALUE"""),256.13)</f>
        <v>256.13</v>
      </c>
      <c r="E699" s="141">
        <f ca="1">IFERROR(__xludf.DUMMYFUNCTION("""COMPUTED_VALUE"""),250.65)</f>
        <v>250.65</v>
      </c>
      <c r="F699" s="141">
        <f ca="1">IFERROR(__xludf.DUMMYFUNCTION("""COMPUTED_VALUE"""),255.92)</f>
        <v>255.92</v>
      </c>
      <c r="G699" s="143">
        <f ca="1">IFERROR(__xludf.DUMMYFUNCTION("""COMPUTED_VALUE"""),31289370)</f>
        <v>31289370</v>
      </c>
      <c r="H699" s="26"/>
    </row>
    <row r="700" spans="1:8" ht="17.25" customHeight="1" x14ac:dyDescent="0.2">
      <c r="A700" s="26"/>
      <c r="B700" s="139">
        <f ca="1">IFERROR(__xludf.DUMMYFUNCTION("""COMPUTED_VALUE"""),46118.6666666666)</f>
        <v>46118.666666666599</v>
      </c>
      <c r="C700" s="141">
        <f ca="1">IFERROR(__xludf.DUMMYFUNCTION("""COMPUTED_VALUE"""),256.51)</f>
        <v>256.51</v>
      </c>
      <c r="D700" s="141">
        <f ca="1">IFERROR(__xludf.DUMMYFUNCTION("""COMPUTED_VALUE"""),262.16)</f>
        <v>262.16000000000003</v>
      </c>
      <c r="E700" s="141">
        <f ca="1">IFERROR(__xludf.DUMMYFUNCTION("""COMPUTED_VALUE"""),256.46)</f>
        <v>256.45999999999998</v>
      </c>
      <c r="F700" s="141">
        <f ca="1">IFERROR(__xludf.DUMMYFUNCTION("""COMPUTED_VALUE"""),258.86)</f>
        <v>258.86</v>
      </c>
      <c r="G700" s="143">
        <f ca="1">IFERROR(__xludf.DUMMYFUNCTION("""COMPUTED_VALUE"""),29329911)</f>
        <v>29329911</v>
      </c>
      <c r="H700" s="26"/>
    </row>
    <row r="701" spans="1:8" ht="17.25" customHeight="1" x14ac:dyDescent="0.2">
      <c r="A701" s="26"/>
      <c r="B701" s="139">
        <f ca="1">IFERROR(__xludf.DUMMYFUNCTION("""COMPUTED_VALUE"""),46119.6666666666)</f>
        <v>46119.666666666599</v>
      </c>
      <c r="C701" s="141">
        <f ca="1">IFERROR(__xludf.DUMMYFUNCTION("""COMPUTED_VALUE"""),256.15)</f>
        <v>256.14999999999998</v>
      </c>
      <c r="D701" s="141">
        <f ca="1">IFERROR(__xludf.DUMMYFUNCTION("""COMPUTED_VALUE"""),256.2)</f>
        <v>256.2</v>
      </c>
      <c r="E701" s="141">
        <f ca="1">IFERROR(__xludf.DUMMYFUNCTION("""COMPUTED_VALUE"""),245.7)</f>
        <v>245.7</v>
      </c>
      <c r="F701" s="141">
        <f ca="1">IFERROR(__xludf.DUMMYFUNCTION("""COMPUTED_VALUE"""),253.5)</f>
        <v>253.5</v>
      </c>
      <c r="G701" s="143">
        <f ca="1">IFERROR(__xludf.DUMMYFUNCTION("""COMPUTED_VALUE"""),62148009)</f>
        <v>62148009</v>
      </c>
      <c r="H701" s="26"/>
    </row>
    <row r="702" spans="1:8" ht="17.25" customHeight="1" x14ac:dyDescent="0.2">
      <c r="A702" s="26"/>
      <c r="B702" s="139">
        <f ca="1">IFERROR(__xludf.DUMMYFUNCTION("""COMPUTED_VALUE"""),46120.6666666666)</f>
        <v>46120.666666666599</v>
      </c>
      <c r="C702" s="141">
        <f ca="1">IFERROR(__xludf.DUMMYFUNCTION("""COMPUTED_VALUE"""),258.45)</f>
        <v>258.45</v>
      </c>
      <c r="D702" s="141">
        <f ca="1">IFERROR(__xludf.DUMMYFUNCTION("""COMPUTED_VALUE"""),259.75)</f>
        <v>259.75</v>
      </c>
      <c r="E702" s="141">
        <f ca="1">IFERROR(__xludf.DUMMYFUNCTION("""COMPUTED_VALUE"""),256.53)</f>
        <v>256.52999999999997</v>
      </c>
      <c r="F702" s="141">
        <f ca="1">IFERROR(__xludf.DUMMYFUNCTION("""COMPUTED_VALUE"""),258.9)</f>
        <v>258.89999999999998</v>
      </c>
      <c r="G702" s="143">
        <f ca="1">IFERROR(__xludf.DUMMYFUNCTION("""COMPUTED_VALUE"""),41032773)</f>
        <v>41032773</v>
      </c>
      <c r="H702" s="26"/>
    </row>
    <row r="703" spans="1:8" ht="17.25" customHeight="1" x14ac:dyDescent="0.2">
      <c r="A703" s="26"/>
      <c r="B703" s="139">
        <f ca="1">IFERROR(__xludf.DUMMYFUNCTION("""COMPUTED_VALUE"""),46121.6666666666)</f>
        <v>46121.666666666599</v>
      </c>
      <c r="C703" s="141">
        <f ca="1">IFERROR(__xludf.DUMMYFUNCTION("""COMPUTED_VALUE"""),259)</f>
        <v>259</v>
      </c>
      <c r="D703" s="141">
        <f ca="1">IFERROR(__xludf.DUMMYFUNCTION("""COMPUTED_VALUE"""),261.12)</f>
        <v>261.12</v>
      </c>
      <c r="E703" s="141">
        <f ca="1">IFERROR(__xludf.DUMMYFUNCTION("""COMPUTED_VALUE"""),256.07)</f>
        <v>256.07</v>
      </c>
      <c r="F703" s="141">
        <f ca="1">IFERROR(__xludf.DUMMYFUNCTION("""COMPUTED_VALUE"""),260.49)</f>
        <v>260.49</v>
      </c>
      <c r="G703" s="143">
        <f ca="1">IFERROR(__xludf.DUMMYFUNCTION("""COMPUTED_VALUE"""),28121574)</f>
        <v>28121574</v>
      </c>
      <c r="H703" s="26"/>
    </row>
    <row r="704" spans="1:8" ht="17.25" customHeight="1" x14ac:dyDescent="0.2">
      <c r="A704" s="26"/>
      <c r="B704" s="139">
        <f ca="1">IFERROR(__xludf.DUMMYFUNCTION("""COMPUTED_VALUE"""),46122.6666666666)</f>
        <v>46122.666666666599</v>
      </c>
      <c r="C704" s="141">
        <f ca="1">IFERROR(__xludf.DUMMYFUNCTION("""COMPUTED_VALUE"""),259.98)</f>
        <v>259.98</v>
      </c>
      <c r="D704" s="141">
        <f ca="1">IFERROR(__xludf.DUMMYFUNCTION("""COMPUTED_VALUE"""),262.19)</f>
        <v>262.19</v>
      </c>
      <c r="E704" s="141">
        <f ca="1">IFERROR(__xludf.DUMMYFUNCTION("""COMPUTED_VALUE"""),259.02)</f>
        <v>259.02</v>
      </c>
      <c r="F704" s="141">
        <f ca="1">IFERROR(__xludf.DUMMYFUNCTION("""COMPUTED_VALUE"""),260.48)</f>
        <v>260.48</v>
      </c>
      <c r="G704" s="143">
        <f ca="1">IFERROR(__xludf.DUMMYFUNCTION("""COMPUTED_VALUE"""),31291474)</f>
        <v>31291474</v>
      </c>
      <c r="H704" s="26"/>
    </row>
    <row r="705" spans="1:8" ht="17.25" customHeight="1" x14ac:dyDescent="0.2">
      <c r="A705" s="26"/>
      <c r="B705" s="139">
        <f ca="1">IFERROR(__xludf.DUMMYFUNCTION("""COMPUTED_VALUE"""),46125.6666666666)</f>
        <v>46125.666666666599</v>
      </c>
      <c r="C705" s="141">
        <f ca="1">IFERROR(__xludf.DUMMYFUNCTION("""COMPUTED_VALUE"""),259.73)</f>
        <v>259.73</v>
      </c>
      <c r="D705" s="141">
        <f ca="1">IFERROR(__xludf.DUMMYFUNCTION("""COMPUTED_VALUE"""),260.18)</f>
        <v>260.18</v>
      </c>
      <c r="E705" s="141">
        <f ca="1">IFERROR(__xludf.DUMMYFUNCTION("""COMPUTED_VALUE"""),256.66)</f>
        <v>256.66000000000003</v>
      </c>
      <c r="F705" s="141">
        <f ca="1">IFERROR(__xludf.DUMMYFUNCTION("""COMPUTED_VALUE"""),259.2)</f>
        <v>259.2</v>
      </c>
      <c r="G705" s="143">
        <f ca="1">IFERROR(__xludf.DUMMYFUNCTION("""COMPUTED_VALUE"""),36234698)</f>
        <v>36234698</v>
      </c>
      <c r="H705" s="26"/>
    </row>
    <row r="706" spans="1:8" ht="17.25" customHeight="1" x14ac:dyDescent="0.2">
      <c r="A706" s="26"/>
      <c r="B706" s="139">
        <f ca="1">IFERROR(__xludf.DUMMYFUNCTION("""COMPUTED_VALUE"""),46126.6666666666)</f>
        <v>46126.666666666599</v>
      </c>
      <c r="C706" s="141">
        <f ca="1">IFERROR(__xludf.DUMMYFUNCTION("""COMPUTED_VALUE"""),259.25)</f>
        <v>259.25</v>
      </c>
      <c r="D706" s="141">
        <f ca="1">IFERROR(__xludf.DUMMYFUNCTION("""COMPUTED_VALUE"""),261.93)</f>
        <v>261.93</v>
      </c>
      <c r="E706" s="141">
        <f ca="1">IFERROR(__xludf.DUMMYFUNCTION("""COMPUTED_VALUE"""),257.19)</f>
        <v>257.19</v>
      </c>
      <c r="F706" s="141">
        <f ca="1">IFERROR(__xludf.DUMMYFUNCTION("""COMPUTED_VALUE"""),258.83)</f>
        <v>258.83</v>
      </c>
      <c r="G706" s="143">
        <f ca="1">IFERROR(__xludf.DUMMYFUNCTION("""COMPUTED_VALUE"""),48370710)</f>
        <v>48370710</v>
      </c>
      <c r="H706" s="26"/>
    </row>
    <row r="707" spans="1:8" ht="17.25" customHeight="1" x14ac:dyDescent="0.2">
      <c r="A707" s="26"/>
      <c r="B707" s="139">
        <f ca="1">IFERROR(__xludf.DUMMYFUNCTION("""COMPUTED_VALUE"""),46127.6666666666)</f>
        <v>46127.666666666599</v>
      </c>
      <c r="C707" s="141">
        <f ca="1">IFERROR(__xludf.DUMMYFUNCTION("""COMPUTED_VALUE"""),258.16)</f>
        <v>258.16000000000003</v>
      </c>
      <c r="D707" s="141">
        <f ca="1">IFERROR(__xludf.DUMMYFUNCTION("""COMPUTED_VALUE"""),266.56)</f>
        <v>266.56</v>
      </c>
      <c r="E707" s="141">
        <f ca="1">IFERROR(__xludf.DUMMYFUNCTION("""COMPUTED_VALUE"""),257.81)</f>
        <v>257.81</v>
      </c>
      <c r="F707" s="141">
        <f ca="1">IFERROR(__xludf.DUMMYFUNCTION("""COMPUTED_VALUE"""),266.43)</f>
        <v>266.43</v>
      </c>
      <c r="G707" s="143">
        <f ca="1">IFERROR(__xludf.DUMMYFUNCTION("""COMPUTED_VALUE"""),49913511)</f>
        <v>49913511</v>
      </c>
      <c r="H707" s="26"/>
    </row>
    <row r="708" spans="1:8" ht="17.25" customHeight="1" x14ac:dyDescent="0.2">
      <c r="A708" s="26"/>
      <c r="B708" s="139">
        <f ca="1">IFERROR(__xludf.DUMMYFUNCTION("""COMPUTED_VALUE"""),46128.6666666666)</f>
        <v>46128.666666666599</v>
      </c>
      <c r="C708" s="141">
        <f ca="1">IFERROR(__xludf.DUMMYFUNCTION("""COMPUTED_VALUE"""),266.8)</f>
        <v>266.8</v>
      </c>
      <c r="D708" s="141">
        <f ca="1">IFERROR(__xludf.DUMMYFUNCTION("""COMPUTED_VALUE"""),267.16)</f>
        <v>267.16000000000003</v>
      </c>
      <c r="E708" s="141">
        <f ca="1">IFERROR(__xludf.DUMMYFUNCTION("""COMPUTED_VALUE"""),261.27)</f>
        <v>261.27</v>
      </c>
      <c r="F708" s="141">
        <f ca="1">IFERROR(__xludf.DUMMYFUNCTION("""COMPUTED_VALUE"""),263.4)</f>
        <v>263.39999999999998</v>
      </c>
      <c r="G708" s="143">
        <f ca="1">IFERROR(__xludf.DUMMYFUNCTION("""COMPUTED_VALUE"""),43323112)</f>
        <v>43323112</v>
      </c>
      <c r="H708" s="26"/>
    </row>
    <row r="709" spans="1:8" ht="17.25" customHeight="1" x14ac:dyDescent="0.2">
      <c r="A709" s="26"/>
      <c r="B709" s="139">
        <f ca="1">IFERROR(__xludf.DUMMYFUNCTION("""COMPUTED_VALUE"""),46129.6666666666)</f>
        <v>46129.666666666599</v>
      </c>
      <c r="C709" s="141">
        <f ca="1">IFERROR(__xludf.DUMMYFUNCTION("""COMPUTED_VALUE"""),266.96)</f>
        <v>266.95999999999998</v>
      </c>
      <c r="D709" s="141">
        <f ca="1">IFERROR(__xludf.DUMMYFUNCTION("""COMPUTED_VALUE"""),272.3)</f>
        <v>272.3</v>
      </c>
      <c r="E709" s="141">
        <f ca="1">IFERROR(__xludf.DUMMYFUNCTION("""COMPUTED_VALUE"""),266.72)</f>
        <v>266.72000000000003</v>
      </c>
      <c r="F709" s="141">
        <f ca="1">IFERROR(__xludf.DUMMYFUNCTION("""COMPUTED_VALUE"""),270.23)</f>
        <v>270.23</v>
      </c>
      <c r="G709" s="143">
        <f ca="1">IFERROR(__xludf.DUMMYFUNCTION("""COMPUTED_VALUE"""),61436228)</f>
        <v>61436228</v>
      </c>
      <c r="H709" s="26"/>
    </row>
    <row r="710" spans="1:8" ht="17.25" customHeight="1" x14ac:dyDescent="0.2">
      <c r="A710" s="26"/>
      <c r="B710" s="139">
        <f ca="1">IFERROR(__xludf.DUMMYFUNCTION("""COMPUTED_VALUE"""),46132.6666666666)</f>
        <v>46132.666666666599</v>
      </c>
      <c r="C710" s="141">
        <f ca="1">IFERROR(__xludf.DUMMYFUNCTION("""COMPUTED_VALUE"""),270.33)</f>
        <v>270.33</v>
      </c>
      <c r="D710" s="141">
        <f ca="1">IFERROR(__xludf.DUMMYFUNCTION("""COMPUTED_VALUE"""),274.27)</f>
        <v>274.27</v>
      </c>
      <c r="E710" s="141">
        <f ca="1">IFERROR(__xludf.DUMMYFUNCTION("""COMPUTED_VALUE"""),270.29)</f>
        <v>270.29000000000002</v>
      </c>
      <c r="F710" s="141">
        <f ca="1">IFERROR(__xludf.DUMMYFUNCTION("""COMPUTED_VALUE"""),273.05)</f>
        <v>273.05</v>
      </c>
      <c r="G710" s="143">
        <f ca="1">IFERROR(__xludf.DUMMYFUNCTION("""COMPUTED_VALUE"""),36590170)</f>
        <v>36590170</v>
      </c>
      <c r="H710" s="26"/>
    </row>
    <row r="711" spans="1:8" ht="17.25" customHeight="1" x14ac:dyDescent="0.2">
      <c r="A711" s="26"/>
      <c r="B711" s="139">
        <f ca="1">IFERROR(__xludf.DUMMYFUNCTION("""COMPUTED_VALUE"""),46133.6666666666)</f>
        <v>46133.666666666599</v>
      </c>
      <c r="C711" s="141">
        <f ca="1">IFERROR(__xludf.DUMMYFUNCTION("""COMPUTED_VALUE"""),271.5)</f>
        <v>271.5</v>
      </c>
      <c r="D711" s="141">
        <f ca="1">IFERROR(__xludf.DUMMYFUNCTION("""COMPUTED_VALUE"""),272.8)</f>
        <v>272.8</v>
      </c>
      <c r="E711" s="141">
        <f ca="1">IFERROR(__xludf.DUMMYFUNCTION("""COMPUTED_VALUE"""),265.4)</f>
        <v>265.39999999999998</v>
      </c>
      <c r="F711" s="141">
        <f ca="1">IFERROR(__xludf.DUMMYFUNCTION("""COMPUTED_VALUE"""),266.17)</f>
        <v>266.17</v>
      </c>
      <c r="G711" s="143">
        <f ca="1">IFERROR(__xludf.DUMMYFUNCTION("""COMPUTED_VALUE"""),50209756)</f>
        <v>50209756</v>
      </c>
      <c r="H711" s="26"/>
    </row>
    <row r="712" spans="1:8" ht="17.25" customHeight="1" x14ac:dyDescent="0.2">
      <c r="A712" s="26"/>
      <c r="B712" s="139">
        <f ca="1">IFERROR(__xludf.DUMMYFUNCTION("""COMPUTED_VALUE"""),46134.6666666666)</f>
        <v>46134.666666666599</v>
      </c>
      <c r="C712" s="141">
        <f ca="1">IFERROR(__xludf.DUMMYFUNCTION("""COMPUTED_VALUE"""),267.82)</f>
        <v>267.82</v>
      </c>
      <c r="D712" s="141">
        <f ca="1">IFERROR(__xludf.DUMMYFUNCTION("""COMPUTED_VALUE"""),273.74)</f>
        <v>273.74</v>
      </c>
      <c r="E712" s="141">
        <f ca="1">IFERROR(__xludf.DUMMYFUNCTION("""COMPUTED_VALUE"""),266.87)</f>
        <v>266.87</v>
      </c>
      <c r="F712" s="141">
        <f ca="1">IFERROR(__xludf.DUMMYFUNCTION("""COMPUTED_VALUE"""),273.17)</f>
        <v>273.17</v>
      </c>
      <c r="G712" s="143">
        <f ca="1">IFERROR(__xludf.DUMMYFUNCTION("""COMPUTED_VALUE"""),43249205)</f>
        <v>43249205</v>
      </c>
      <c r="H712" s="26"/>
    </row>
    <row r="713" spans="1:8" ht="17.25" customHeight="1" x14ac:dyDescent="0.2">
      <c r="A713" s="26"/>
      <c r="B713" s="139">
        <f ca="1">IFERROR(__xludf.DUMMYFUNCTION("""COMPUTED_VALUE"""),46135.6666666666)</f>
        <v>46135.666666666599</v>
      </c>
      <c r="C713" s="141">
        <f ca="1">IFERROR(__xludf.DUMMYFUNCTION("""COMPUTED_VALUE"""),275.05)</f>
        <v>275.05</v>
      </c>
      <c r="D713" s="141">
        <f ca="1">IFERROR(__xludf.DUMMYFUNCTION("""COMPUTED_VALUE"""),275.77)</f>
        <v>275.77</v>
      </c>
      <c r="E713" s="141">
        <f ca="1">IFERROR(__xludf.DUMMYFUNCTION("""COMPUTED_VALUE"""),271.65)</f>
        <v>271.64999999999998</v>
      </c>
      <c r="F713" s="141">
        <f ca="1">IFERROR(__xludf.DUMMYFUNCTION("""COMPUTED_VALUE"""),273.43)</f>
        <v>273.43</v>
      </c>
      <c r="G713" s="143">
        <f ca="1">IFERROR(__xludf.DUMMYFUNCTION("""COMPUTED_VALUE"""),33399639)</f>
        <v>33399639</v>
      </c>
      <c r="H713" s="26"/>
    </row>
    <row r="714" spans="1:8" ht="17.25" customHeight="1" x14ac:dyDescent="0.2">
      <c r="A714" s="26"/>
      <c r="B714" s="139">
        <f ca="1">IFERROR(__xludf.DUMMYFUNCTION("""COMPUTED_VALUE"""),46136.6666666666)</f>
        <v>46136.666666666599</v>
      </c>
      <c r="C714" s="141">
        <f ca="1">IFERROR(__xludf.DUMMYFUNCTION("""COMPUTED_VALUE"""),272.76)</f>
        <v>272.76</v>
      </c>
      <c r="D714" s="141">
        <f ca="1">IFERROR(__xludf.DUMMYFUNCTION("""COMPUTED_VALUE"""),273.06)</f>
        <v>273.06</v>
      </c>
      <c r="E714" s="141">
        <f ca="1">IFERROR(__xludf.DUMMYFUNCTION("""COMPUTED_VALUE"""),269.65)</f>
        <v>269.64999999999998</v>
      </c>
      <c r="F714" s="141">
        <f ca="1">IFERROR(__xludf.DUMMYFUNCTION("""COMPUTED_VALUE"""),271.06)</f>
        <v>271.06</v>
      </c>
      <c r="G714" s="143">
        <f ca="1">IFERROR(__xludf.DUMMYFUNCTION("""COMPUTED_VALUE"""),38157110)</f>
        <v>38157110</v>
      </c>
      <c r="H714" s="26"/>
    </row>
    <row r="715" spans="1:8" ht="17.25" customHeight="1" x14ac:dyDescent="0.2">
      <c r="A715" s="26"/>
      <c r="B715" s="139">
        <f ca="1">IFERROR(__xludf.DUMMYFUNCTION("""COMPUTED_VALUE"""),46139.6666666666)</f>
        <v>46139.666666666599</v>
      </c>
      <c r="C715" s="141">
        <f ca="1">IFERROR(__xludf.DUMMYFUNCTION("""COMPUTED_VALUE"""),266.09)</f>
        <v>266.08999999999997</v>
      </c>
      <c r="D715" s="141">
        <f ca="1">IFERROR(__xludf.DUMMYFUNCTION("""COMPUTED_VALUE"""),268.36)</f>
        <v>268.36</v>
      </c>
      <c r="E715" s="141">
        <f ca="1">IFERROR(__xludf.DUMMYFUNCTION("""COMPUTED_VALUE"""),265.07)</f>
        <v>265.07</v>
      </c>
      <c r="F715" s="141">
        <f ca="1">IFERROR(__xludf.DUMMYFUNCTION("""COMPUTED_VALUE"""),267.61)</f>
        <v>267.61</v>
      </c>
      <c r="G715" s="143">
        <f ca="1">IFERROR(__xludf.DUMMYFUNCTION("""COMPUTED_VALUE"""),41466763)</f>
        <v>41466763</v>
      </c>
      <c r="H715" s="26"/>
    </row>
    <row r="716" spans="1:8" ht="17.25" customHeight="1" x14ac:dyDescent="0.2">
      <c r="A716" s="26"/>
      <c r="B716" s="139">
        <f ca="1">IFERROR(__xludf.DUMMYFUNCTION("""COMPUTED_VALUE"""),46140.6666666666)</f>
        <v>46140.666666666599</v>
      </c>
      <c r="C716" s="141">
        <f ca="1">IFERROR(__xludf.DUMMYFUNCTION("""COMPUTED_VALUE"""),272.33)</f>
        <v>272.33</v>
      </c>
      <c r="D716" s="141">
        <f ca="1">IFERROR(__xludf.DUMMYFUNCTION("""COMPUTED_VALUE"""),273.23)</f>
        <v>273.23</v>
      </c>
      <c r="E716" s="141">
        <f ca="1">IFERROR(__xludf.DUMMYFUNCTION("""COMPUTED_VALUE"""),268.66)</f>
        <v>268.66000000000003</v>
      </c>
      <c r="F716" s="141">
        <f ca="1">IFERROR(__xludf.DUMMYFUNCTION("""COMPUTED_VALUE"""),270.71)</f>
        <v>270.70999999999998</v>
      </c>
      <c r="G716" s="143">
        <f ca="1">IFERROR(__xludf.DUMMYFUNCTION("""COMPUTED_VALUE"""),40018940)</f>
        <v>40018940</v>
      </c>
      <c r="H716" s="26"/>
    </row>
    <row r="717" spans="1:8" ht="17.25" customHeight="1" x14ac:dyDescent="0.2">
      <c r="A717" s="26"/>
      <c r="B717" s="139">
        <f ca="1">IFERROR(__xludf.DUMMYFUNCTION("""COMPUTED_VALUE"""),46141.6666666666)</f>
        <v>46141.666666666599</v>
      </c>
      <c r="C717" s="141">
        <f ca="1">IFERROR(__xludf.DUMMYFUNCTION("""COMPUTED_VALUE"""),267.55)</f>
        <v>267.55</v>
      </c>
      <c r="D717" s="141">
        <f ca="1">IFERROR(__xludf.DUMMYFUNCTION("""COMPUTED_VALUE"""),271.04)</f>
        <v>271.04000000000002</v>
      </c>
      <c r="E717" s="141">
        <f ca="1">IFERROR(__xludf.DUMMYFUNCTION("""COMPUTED_VALUE"""),267.04)</f>
        <v>267.04000000000002</v>
      </c>
      <c r="F717" s="141">
        <f ca="1">IFERROR(__xludf.DUMMYFUNCTION("""COMPUTED_VALUE"""),270.17)</f>
        <v>270.17</v>
      </c>
      <c r="G717" s="143">
        <f ca="1">IFERROR(__xludf.DUMMYFUNCTION("""COMPUTED_VALUE"""),30047870)</f>
        <v>30047870</v>
      </c>
      <c r="H717" s="26"/>
    </row>
    <row r="718" spans="1:8" ht="17.25" customHeight="1" x14ac:dyDescent="0.2">
      <c r="A718" s="26"/>
      <c r="B718" s="139">
        <f ca="1">IFERROR(__xludf.DUMMYFUNCTION("""COMPUTED_VALUE"""),46142.6666666666)</f>
        <v>46142.666666666599</v>
      </c>
      <c r="C718" s="141">
        <f ca="1">IFERROR(__xludf.DUMMYFUNCTION("""COMPUTED_VALUE"""),270.5)</f>
        <v>270.5</v>
      </c>
      <c r="D718" s="141">
        <f ca="1">IFERROR(__xludf.DUMMYFUNCTION("""COMPUTED_VALUE"""),276)</f>
        <v>276</v>
      </c>
      <c r="E718" s="141">
        <f ca="1">IFERROR(__xludf.DUMMYFUNCTION("""COMPUTED_VALUE"""),268.14)</f>
        <v>268.14</v>
      </c>
      <c r="F718" s="141">
        <f ca="1">IFERROR(__xludf.DUMMYFUNCTION("""COMPUTED_VALUE"""),271.35)</f>
        <v>271.35000000000002</v>
      </c>
      <c r="G718" s="143">
        <f ca="1">IFERROR(__xludf.DUMMYFUNCTION("""COMPUTED_VALUE"""),91848231)</f>
        <v>91848231</v>
      </c>
      <c r="H718" s="26"/>
    </row>
    <row r="719" spans="1:8" ht="17.25" customHeight="1" x14ac:dyDescent="0.2">
      <c r="A719" s="26"/>
      <c r="B719" s="139">
        <f ca="1">IFERROR(__xludf.DUMMYFUNCTION("""COMPUTED_VALUE"""),46143.6666666666)</f>
        <v>46143.666666666599</v>
      </c>
      <c r="C719" s="141">
        <f ca="1">IFERROR(__xludf.DUMMYFUNCTION("""COMPUTED_VALUE"""),278.86)</f>
        <v>278.86</v>
      </c>
      <c r="D719" s="141">
        <f ca="1">IFERROR(__xludf.DUMMYFUNCTION("""COMPUTED_VALUE"""),287.22)</f>
        <v>287.22000000000003</v>
      </c>
      <c r="E719" s="141">
        <f ca="1">IFERROR(__xludf.DUMMYFUNCTION("""COMPUTED_VALUE"""),278.37)</f>
        <v>278.37</v>
      </c>
      <c r="F719" s="141">
        <f ca="1">IFERROR(__xludf.DUMMYFUNCTION("""COMPUTED_VALUE"""),280.14)</f>
        <v>280.14</v>
      </c>
      <c r="G719" s="143">
        <f ca="1">IFERROR(__xludf.DUMMYFUNCTION("""COMPUTED_VALUE"""),79915442)</f>
        <v>79915442</v>
      </c>
      <c r="H719" s="26"/>
    </row>
    <row r="720" spans="1:8" ht="17.25" customHeight="1" x14ac:dyDescent="0.2">
      <c r="A720" s="26"/>
      <c r="B720" s="139">
        <f ca="1">IFERROR(__xludf.DUMMYFUNCTION("""COMPUTED_VALUE"""),46146.6666666666)</f>
        <v>46146.666666666599</v>
      </c>
      <c r="C720" s="141">
        <f ca="1">IFERROR(__xludf.DUMMYFUNCTION("""COMPUTED_VALUE"""),279.65)</f>
        <v>279.64999999999998</v>
      </c>
      <c r="D720" s="141">
        <f ca="1">IFERROR(__xludf.DUMMYFUNCTION("""COMPUTED_VALUE"""),280.63)</f>
        <v>280.63</v>
      </c>
      <c r="E720" s="141">
        <f ca="1">IFERROR(__xludf.DUMMYFUNCTION("""COMPUTED_VALUE"""),274.86)</f>
        <v>274.86</v>
      </c>
      <c r="F720" s="141">
        <f ca="1">IFERROR(__xludf.DUMMYFUNCTION("""COMPUTED_VALUE"""),276.83)</f>
        <v>276.83</v>
      </c>
      <c r="G720" s="143">
        <f ca="1">IFERROR(__xludf.DUMMYFUNCTION("""COMPUTED_VALUE"""),46668401)</f>
        <v>46668401</v>
      </c>
      <c r="H720" s="26"/>
    </row>
    <row r="721" spans="1:8" ht="17.25" customHeight="1" x14ac:dyDescent="0.2">
      <c r="A721" s="26"/>
      <c r="B721" s="139">
        <f ca="1">IFERROR(__xludf.DUMMYFUNCTION("""COMPUTED_VALUE"""),46147.6666666666)</f>
        <v>46147.666666666599</v>
      </c>
      <c r="C721" s="141">
        <f ca="1">IFERROR(__xludf.DUMMYFUNCTION("""COMPUTED_VALUE"""),276.93)</f>
        <v>276.93</v>
      </c>
      <c r="D721" s="141">
        <f ca="1">IFERROR(__xludf.DUMMYFUNCTION("""COMPUTED_VALUE"""),284.57)</f>
        <v>284.57</v>
      </c>
      <c r="E721" s="141">
        <f ca="1">IFERROR(__xludf.DUMMYFUNCTION("""COMPUTED_VALUE"""),276.5)</f>
        <v>276.5</v>
      </c>
      <c r="F721" s="141">
        <f ca="1">IFERROR(__xludf.DUMMYFUNCTION("""COMPUTED_VALUE"""),284.18)</f>
        <v>284.18</v>
      </c>
      <c r="G721" s="143">
        <f ca="1">IFERROR(__xludf.DUMMYFUNCTION("""COMPUTED_VALUE"""),49311712)</f>
        <v>49311712</v>
      </c>
      <c r="H721" s="26"/>
    </row>
    <row r="722" spans="1:8" ht="17.25" customHeight="1" x14ac:dyDescent="0.2">
      <c r="A722" s="26"/>
      <c r="B722" s="139">
        <f ca="1">IFERROR(__xludf.DUMMYFUNCTION("""COMPUTED_VALUE"""),46148.6666666666)</f>
        <v>46148.666666666599</v>
      </c>
      <c r="C722" s="141">
        <f ca="1">IFERROR(__xludf.DUMMYFUNCTION("""COMPUTED_VALUE"""),281.92)</f>
        <v>281.92</v>
      </c>
      <c r="D722" s="141">
        <f ca="1">IFERROR(__xludf.DUMMYFUNCTION("""COMPUTED_VALUE"""),288.03)</f>
        <v>288.02999999999997</v>
      </c>
      <c r="E722" s="141">
        <f ca="1">IFERROR(__xludf.DUMMYFUNCTION("""COMPUTED_VALUE"""),281.07)</f>
        <v>281.07</v>
      </c>
      <c r="F722" s="141">
        <f ca="1">IFERROR(__xludf.DUMMYFUNCTION("""COMPUTED_VALUE"""),287.51)</f>
        <v>287.51</v>
      </c>
      <c r="G722" s="143">
        <f ca="1">IFERROR(__xludf.DUMMYFUNCTION("""COMPUTED_VALUE"""),58336072)</f>
        <v>58336072</v>
      </c>
      <c r="H722" s="26"/>
    </row>
    <row r="723" spans="1:8" ht="17.25" customHeight="1" x14ac:dyDescent="0.2">
      <c r="A723" s="26"/>
      <c r="B723" s="139">
        <f ca="1">IFERROR(__xludf.DUMMYFUNCTION("""COMPUTED_VALUE"""),46149.6666666666)</f>
        <v>46149.666666666599</v>
      </c>
      <c r="C723" s="141">
        <f ca="1">IFERROR(__xludf.DUMMYFUNCTION("""COMPUTED_VALUE"""),289.27)</f>
        <v>289.27</v>
      </c>
      <c r="D723" s="141">
        <f ca="1">IFERROR(__xludf.DUMMYFUNCTION("""COMPUTED_VALUE"""),292.13)</f>
        <v>292.13</v>
      </c>
      <c r="E723" s="141">
        <f ca="1">IFERROR(__xludf.DUMMYFUNCTION("""COMPUTED_VALUE"""),285.78)</f>
        <v>285.77999999999997</v>
      </c>
      <c r="F723" s="141">
        <f ca="1">IFERROR(__xludf.DUMMYFUNCTION("""COMPUTED_VALUE"""),287.44)</f>
        <v>287.44</v>
      </c>
      <c r="G723" s="143">
        <f ca="1">IFERROR(__xludf.DUMMYFUNCTION("""COMPUTED_VALUE"""),45224301)</f>
        <v>45224301</v>
      </c>
      <c r="H723" s="26"/>
    </row>
    <row r="724" spans="1:8" ht="17.25" customHeight="1" x14ac:dyDescent="0.2">
      <c r="A724" s="26"/>
      <c r="B724" s="139">
        <f ca="1">IFERROR(__xludf.DUMMYFUNCTION("""COMPUTED_VALUE"""),46150.6666666666)</f>
        <v>46150.666666666599</v>
      </c>
      <c r="C724" s="141">
        <f ca="1">IFERROR(__xludf.DUMMYFUNCTION("""COMPUTED_VALUE"""),290.01)</f>
        <v>290.01</v>
      </c>
      <c r="D724" s="141">
        <f ca="1">IFERROR(__xludf.DUMMYFUNCTION("""COMPUTED_VALUE"""),294.76)</f>
        <v>294.76</v>
      </c>
      <c r="E724" s="141">
        <f ca="1">IFERROR(__xludf.DUMMYFUNCTION("""COMPUTED_VALUE"""),290)</f>
        <v>290</v>
      </c>
      <c r="F724" s="141">
        <f ca="1">IFERROR(__xludf.DUMMYFUNCTION("""COMPUTED_VALUE"""),293.32)</f>
        <v>293.32</v>
      </c>
      <c r="G724" s="143">
        <f ca="1">IFERROR(__xludf.DUMMYFUNCTION("""COMPUTED_VALUE"""),52692761)</f>
        <v>52692761</v>
      </c>
      <c r="H724" s="26"/>
    </row>
    <row r="725" spans="1:8" ht="17.25" customHeight="1" x14ac:dyDescent="0.2">
      <c r="A725" s="26"/>
      <c r="B725" s="139">
        <f ca="1">IFERROR(__xludf.DUMMYFUNCTION("""COMPUTED_VALUE"""),46153.6666666666)</f>
        <v>46153.666666666599</v>
      </c>
      <c r="C725" s="141">
        <f ca="1">IFERROR(__xludf.DUMMYFUNCTION("""COMPUTED_VALUE"""),291.98)</f>
        <v>291.98</v>
      </c>
      <c r="D725" s="141">
        <f ca="1">IFERROR(__xludf.DUMMYFUNCTION("""COMPUTED_VALUE"""),293.88)</f>
        <v>293.88</v>
      </c>
      <c r="E725" s="141">
        <f ca="1">IFERROR(__xludf.DUMMYFUNCTION("""COMPUTED_VALUE"""),290.23)</f>
        <v>290.23</v>
      </c>
      <c r="F725" s="141">
        <f ca="1">IFERROR(__xludf.DUMMYFUNCTION("""COMPUTED_VALUE"""),292.68)</f>
        <v>292.68</v>
      </c>
      <c r="G725" s="143">
        <f ca="1">IFERROR(__xludf.DUMMYFUNCTION("""COMPUTED_VALUE"""),42247286)</f>
        <v>42247286</v>
      </c>
      <c r="H725" s="26"/>
    </row>
    <row r="726" spans="1:8" ht="17.25" customHeight="1" x14ac:dyDescent="0.2">
      <c r="A726" s="26"/>
      <c r="B726" s="139">
        <f ca="1">IFERROR(__xludf.DUMMYFUNCTION("""COMPUTED_VALUE"""),46154.6666666666)</f>
        <v>46154.666666666599</v>
      </c>
      <c r="C726" s="141">
        <f ca="1">IFERROR(__xludf.DUMMYFUNCTION("""COMPUTED_VALUE"""),292.56)</f>
        <v>292.56</v>
      </c>
      <c r="D726" s="141">
        <f ca="1">IFERROR(__xludf.DUMMYFUNCTION("""COMPUTED_VALUE"""),295.27)</f>
        <v>295.27</v>
      </c>
      <c r="E726" s="141">
        <f ca="1">IFERROR(__xludf.DUMMYFUNCTION("""COMPUTED_VALUE"""),292.56)</f>
        <v>292.56</v>
      </c>
      <c r="F726" s="141">
        <f ca="1">IFERROR(__xludf.DUMMYFUNCTION("""COMPUTED_VALUE"""),294.8)</f>
        <v>294.8</v>
      </c>
      <c r="G726" s="143">
        <f ca="1">IFERROR(__xludf.DUMMYFUNCTION("""COMPUTED_VALUE"""),45748129)</f>
        <v>45748129</v>
      </c>
      <c r="H726" s="26"/>
    </row>
    <row r="727" spans="1:8" ht="17.25" customHeight="1" x14ac:dyDescent="0.2">
      <c r="A727" s="26"/>
      <c r="B727" s="139">
        <f ca="1">IFERROR(__xludf.DUMMYFUNCTION("""COMPUTED_VALUE"""),46155.6666666666)</f>
        <v>46155.666666666599</v>
      </c>
      <c r="C727" s="141">
        <f ca="1">IFERROR(__xludf.DUMMYFUNCTION("""COMPUTED_VALUE"""),293.5)</f>
        <v>293.5</v>
      </c>
      <c r="D727" s="141">
        <f ca="1">IFERROR(__xludf.DUMMYFUNCTION("""COMPUTED_VALUE"""),300.92)</f>
        <v>300.92</v>
      </c>
      <c r="E727" s="141">
        <f ca="1">IFERROR(__xludf.DUMMYFUNCTION("""COMPUTED_VALUE"""),293.5)</f>
        <v>293.5</v>
      </c>
      <c r="F727" s="141">
        <f ca="1">IFERROR(__xludf.DUMMYFUNCTION("""COMPUTED_VALUE"""),298.87)</f>
        <v>298.87</v>
      </c>
      <c r="G727" s="143">
        <f ca="1">IFERROR(__xludf.DUMMYFUNCTION("""COMPUTED_VALUE"""),52684260)</f>
        <v>52684260</v>
      </c>
      <c r="H727" s="26"/>
    </row>
    <row r="728" spans="1:8" ht="17.25" customHeight="1" x14ac:dyDescent="0.2">
      <c r="A728" s="26"/>
      <c r="B728" s="139">
        <f ca="1">IFERROR(__xludf.DUMMYFUNCTION("""COMPUTED_VALUE"""),46156.6666666666)</f>
        <v>46156.666666666599</v>
      </c>
      <c r="C728" s="141">
        <f ca="1">IFERROR(__xludf.DUMMYFUNCTION("""COMPUTED_VALUE"""),299.82)</f>
        <v>299.82</v>
      </c>
      <c r="D728" s="141">
        <f ca="1">IFERROR(__xludf.DUMMYFUNCTION("""COMPUTED_VALUE"""),300.45)</f>
        <v>300.45</v>
      </c>
      <c r="E728" s="141">
        <f ca="1">IFERROR(__xludf.DUMMYFUNCTION("""COMPUTED_VALUE"""),295.38)</f>
        <v>295.38</v>
      </c>
      <c r="F728" s="141">
        <f ca="1">IFERROR(__xludf.DUMMYFUNCTION("""COMPUTED_VALUE"""),298.21)</f>
        <v>298.20999999999998</v>
      </c>
      <c r="G728" s="143">
        <f ca="1">IFERROR(__xludf.DUMMYFUNCTION("""COMPUTED_VALUE"""),35324922)</f>
        <v>35324922</v>
      </c>
      <c r="H728" s="26"/>
    </row>
    <row r="729" spans="1:8" ht="17.25" customHeight="1" x14ac:dyDescent="0.2">
      <c r="A729" s="26"/>
      <c r="B729" s="139">
        <f ca="1">IFERROR(__xludf.DUMMYFUNCTION("""COMPUTED_VALUE"""),46157.6666666666)</f>
        <v>46157.666666666599</v>
      </c>
      <c r="C729" s="141">
        <f ca="1">IFERROR(__xludf.DUMMYFUNCTION("""COMPUTED_VALUE"""),297.9)</f>
        <v>297.89999999999998</v>
      </c>
      <c r="D729" s="141">
        <f ca="1">IFERROR(__xludf.DUMMYFUNCTION("""COMPUTED_VALUE"""),303.2)</f>
        <v>303.2</v>
      </c>
      <c r="E729" s="141">
        <f ca="1">IFERROR(__xludf.DUMMYFUNCTION("""COMPUTED_VALUE"""),296.52)</f>
        <v>296.52</v>
      </c>
      <c r="F729" s="141">
        <f ca="1">IFERROR(__xludf.DUMMYFUNCTION("""COMPUTED_VALUE"""),300.23)</f>
        <v>300.23</v>
      </c>
      <c r="G729" s="143">
        <f ca="1">IFERROR(__xludf.DUMMYFUNCTION("""COMPUTED_VALUE"""),54862836)</f>
        <v>54862836</v>
      </c>
      <c r="H729" s="26"/>
    </row>
    <row r="730" spans="1:8" ht="17.25" customHeight="1" x14ac:dyDescent="0.2">
      <c r="A730" s="26"/>
      <c r="B730" s="139">
        <f ca="1">IFERROR(__xludf.DUMMYFUNCTION("""COMPUTED_VALUE"""),46160.6666666666)</f>
        <v>46160.666666666599</v>
      </c>
      <c r="C730" s="141">
        <f ca="1">IFERROR(__xludf.DUMMYFUNCTION("""COMPUTED_VALUE"""),300.24)</f>
        <v>300.24</v>
      </c>
      <c r="D730" s="141">
        <f ca="1">IFERROR(__xludf.DUMMYFUNCTION("""COMPUTED_VALUE"""),300.66)</f>
        <v>300.66000000000003</v>
      </c>
      <c r="E730" s="141">
        <f ca="1">IFERROR(__xludf.DUMMYFUNCTION("""COMPUTED_VALUE"""),294.91)</f>
        <v>294.91000000000003</v>
      </c>
      <c r="F730" s="141">
        <f ca="1">IFERROR(__xludf.DUMMYFUNCTION("""COMPUTED_VALUE"""),297.84)</f>
        <v>297.83999999999997</v>
      </c>
      <c r="G730" s="143">
        <f ca="1">IFERROR(__xludf.DUMMYFUNCTION("""COMPUTED_VALUE"""),34482960)</f>
        <v>34482960</v>
      </c>
      <c r="H730" s="26"/>
    </row>
    <row r="731" spans="1:8" ht="17.25" customHeight="1" x14ac:dyDescent="0.2">
      <c r="A731" s="26"/>
      <c r="B731" s="139">
        <f ca="1">IFERROR(__xludf.DUMMYFUNCTION("""COMPUTED_VALUE"""),46161.6666666666)</f>
        <v>46161.666666666599</v>
      </c>
      <c r="C731" s="141">
        <f ca="1">IFERROR(__xludf.DUMMYFUNCTION("""COMPUTED_VALUE"""),296.97)</f>
        <v>296.97000000000003</v>
      </c>
      <c r="D731" s="141">
        <f ca="1">IFERROR(__xludf.DUMMYFUNCTION("""COMPUTED_VALUE"""),300.51)</f>
        <v>300.51</v>
      </c>
      <c r="E731" s="141">
        <f ca="1">IFERROR(__xludf.DUMMYFUNCTION("""COMPUTED_VALUE"""),296.35)</f>
        <v>296.35000000000002</v>
      </c>
      <c r="F731" s="141">
        <f ca="1">IFERROR(__xludf.DUMMYFUNCTION("""COMPUTED_VALUE"""),298.97)</f>
        <v>298.97000000000003</v>
      </c>
      <c r="G731" s="143">
        <f ca="1">IFERROR(__xludf.DUMMYFUNCTION("""COMPUTED_VALUE"""),42243562)</f>
        <v>42243562</v>
      </c>
      <c r="H731" s="26"/>
    </row>
    <row r="732" spans="1:8" ht="17.25" customHeight="1" x14ac:dyDescent="0.2">
      <c r="A732" s="26"/>
      <c r="B732" s="139">
        <f ca="1">IFERROR(__xludf.DUMMYFUNCTION("""COMPUTED_VALUE"""),46162.6666666666)</f>
        <v>46162.666666666599</v>
      </c>
      <c r="C732" s="141">
        <f ca="1">IFERROR(__xludf.DUMMYFUNCTION("""COMPUTED_VALUE"""),298.18)</f>
        <v>298.18</v>
      </c>
      <c r="D732" s="141">
        <f ca="1">IFERROR(__xludf.DUMMYFUNCTION("""COMPUTED_VALUE"""),302.8)</f>
        <v>302.8</v>
      </c>
      <c r="E732" s="141">
        <f ca="1">IFERROR(__xludf.DUMMYFUNCTION("""COMPUTED_VALUE"""),298.08)</f>
        <v>298.08</v>
      </c>
      <c r="F732" s="141">
        <f ca="1">IFERROR(__xludf.DUMMYFUNCTION("""COMPUTED_VALUE"""),302.25)</f>
        <v>302.25</v>
      </c>
      <c r="G732" s="143">
        <f ca="1">IFERROR(__xludf.DUMMYFUNCTION("""COMPUTED_VALUE"""),38229844)</f>
        <v>38229844</v>
      </c>
      <c r="H732" s="26"/>
    </row>
    <row r="733" spans="1:8" ht="17.25" customHeight="1" x14ac:dyDescent="0.2">
      <c r="A733" s="26"/>
      <c r="B733" s="139">
        <f ca="1">IFERROR(__xludf.DUMMYFUNCTION("""COMPUTED_VALUE"""),46163.6666666666)</f>
        <v>46163.666666666599</v>
      </c>
      <c r="C733" s="141">
        <f ca="1">IFERROR(__xludf.DUMMYFUNCTION("""COMPUTED_VALUE"""),301.06)</f>
        <v>301.06</v>
      </c>
      <c r="D733" s="141">
        <f ca="1">IFERROR(__xludf.DUMMYFUNCTION("""COMPUTED_VALUE"""),305.54)</f>
        <v>305.54000000000002</v>
      </c>
      <c r="E733" s="141">
        <f ca="1">IFERROR(__xludf.DUMMYFUNCTION("""COMPUTED_VALUE"""),300.4)</f>
        <v>300.39999999999998</v>
      </c>
      <c r="F733" s="141">
        <f ca="1">IFERROR(__xludf.DUMMYFUNCTION("""COMPUTED_VALUE"""),304.99)</f>
        <v>304.99</v>
      </c>
      <c r="G733" s="143">
        <f ca="1">IFERROR(__xludf.DUMMYFUNCTION("""COMPUTED_VALUE"""),42965127)</f>
        <v>42965127</v>
      </c>
      <c r="H733" s="26"/>
    </row>
    <row r="734" spans="1:8" ht="17.25" customHeight="1" x14ac:dyDescent="0.2">
      <c r="A734" s="26"/>
      <c r="B734" s="139">
        <f ca="1">IFERROR(__xludf.DUMMYFUNCTION("""COMPUTED_VALUE"""),46164.6666666666)</f>
        <v>46164.666666666599</v>
      </c>
      <c r="C734" s="141">
        <f ca="1">IFERROR(__xludf.DUMMYFUNCTION("""COMPUTED_VALUE"""),306.12)</f>
        <v>306.12</v>
      </c>
      <c r="D734" s="141">
        <f ca="1">IFERROR(__xludf.DUMMYFUNCTION("""COMPUTED_VALUE"""),311.4)</f>
        <v>311.39999999999998</v>
      </c>
      <c r="E734" s="141">
        <f ca="1">IFERROR(__xludf.DUMMYFUNCTION("""COMPUTED_VALUE"""),305.84)</f>
        <v>305.83999999999997</v>
      </c>
      <c r="F734" s="141">
        <f ca="1">IFERROR(__xludf.DUMMYFUNCTION("""COMPUTED_VALUE"""),308.82)</f>
        <v>308.82</v>
      </c>
      <c r="G734" s="143">
        <f ca="1">IFERROR(__xludf.DUMMYFUNCTION("""COMPUTED_VALUE"""),43670224)</f>
        <v>43670224</v>
      </c>
      <c r="H734" s="26"/>
    </row>
    <row r="735" spans="1:8" ht="17.25" customHeight="1" x14ac:dyDescent="0.2">
      <c r="A735" s="26"/>
      <c r="B735" s="139">
        <f ca="1">IFERROR(__xludf.DUMMYFUNCTION("""COMPUTED_VALUE"""),46168.6666666666)</f>
        <v>46168.666666666599</v>
      </c>
      <c r="C735" s="141">
        <f ca="1">IFERROR(__xludf.DUMMYFUNCTION("""COMPUTED_VALUE"""),309.56)</f>
        <v>309.56</v>
      </c>
      <c r="D735" s="141">
        <f ca="1">IFERROR(__xludf.DUMMYFUNCTION("""COMPUTED_VALUE"""),311.82)</f>
        <v>311.82</v>
      </c>
      <c r="E735" s="141">
        <f ca="1">IFERROR(__xludf.DUMMYFUNCTION("""COMPUTED_VALUE"""),307.67)</f>
        <v>307.67</v>
      </c>
      <c r="F735" s="141">
        <f ca="1">IFERROR(__xludf.DUMMYFUNCTION("""COMPUTED_VALUE"""),308.33)</f>
        <v>308.33</v>
      </c>
      <c r="G735" s="143">
        <f ca="1">IFERROR(__xludf.DUMMYFUNCTION("""COMPUTED_VALUE"""),48000494)</f>
        <v>48000494</v>
      </c>
      <c r="H735" s="26"/>
    </row>
    <row r="736" spans="1:8" ht="17.25" customHeight="1" x14ac:dyDescent="0.2">
      <c r="A736" s="26"/>
      <c r="B736" s="139">
        <f ca="1">IFERROR(__xludf.DUMMYFUNCTION("""COMPUTED_VALUE"""),46169.6666666666)</f>
        <v>46169.666666666599</v>
      </c>
      <c r="C736" s="141">
        <f ca="1">IFERROR(__xludf.DUMMYFUNCTION("""COMPUTED_VALUE"""),308.33)</f>
        <v>308.33</v>
      </c>
      <c r="D736" s="141">
        <f ca="1">IFERROR(__xludf.DUMMYFUNCTION("""COMPUTED_VALUE"""),313.26)</f>
        <v>313.26</v>
      </c>
      <c r="E736" s="141">
        <f ca="1">IFERROR(__xludf.DUMMYFUNCTION("""COMPUTED_VALUE"""),308.3)</f>
        <v>308.3</v>
      </c>
      <c r="F736" s="141">
        <f ca="1">IFERROR(__xludf.DUMMYFUNCTION("""COMPUTED_VALUE"""),310.85)</f>
        <v>310.85000000000002</v>
      </c>
      <c r="G736" s="143">
        <f ca="1">IFERROR(__xludf.DUMMYFUNCTION("""COMPUTED_VALUE"""),50430920)</f>
        <v>50430920</v>
      </c>
      <c r="H736" s="26"/>
    </row>
    <row r="737" spans="1:8" ht="17.25" customHeight="1" x14ac:dyDescent="0.2">
      <c r="A737" s="26"/>
      <c r="B737" s="139">
        <f ca="1">IFERROR(__xludf.DUMMYFUNCTION("""COMPUTED_VALUE"""),46170.6666666666)</f>
        <v>46170.666666666599</v>
      </c>
      <c r="C737" s="141">
        <f ca="1">IFERROR(__xludf.DUMMYFUNCTION("""COMPUTED_VALUE"""),310.68)</f>
        <v>310.68</v>
      </c>
      <c r="D737" s="141">
        <f ca="1">IFERROR(__xludf.DUMMYFUNCTION("""COMPUTED_VALUE"""),312.8)</f>
        <v>312.8</v>
      </c>
      <c r="E737" s="141">
        <f ca="1">IFERROR(__xludf.DUMMYFUNCTION("""COMPUTED_VALUE"""),309.57)</f>
        <v>309.57</v>
      </c>
      <c r="F737" s="141">
        <f ca="1">IFERROR(__xludf.DUMMYFUNCTION("""COMPUTED_VALUE"""),312.51)</f>
        <v>312.51</v>
      </c>
      <c r="G737" s="143">
        <f ca="1">IFERROR(__xludf.DUMMYFUNCTION("""COMPUTED_VALUE"""),48220390)</f>
        <v>48220390</v>
      </c>
      <c r="H737" s="26"/>
    </row>
    <row r="738" spans="1:8" ht="17.25" customHeight="1" x14ac:dyDescent="0.2">
      <c r="A738" s="26"/>
      <c r="B738" s="139">
        <f ca="1">IFERROR(__xludf.DUMMYFUNCTION("""COMPUTED_VALUE"""),46171.6666666666)</f>
        <v>46171.666666666599</v>
      </c>
      <c r="C738" s="141">
        <f ca="1">IFERROR(__xludf.DUMMYFUNCTION("""COMPUTED_VALUE"""),311.77)</f>
        <v>311.77</v>
      </c>
      <c r="D738" s="141">
        <f ca="1">IFERROR(__xludf.DUMMYFUNCTION("""COMPUTED_VALUE"""),315)</f>
        <v>315</v>
      </c>
      <c r="E738" s="141">
        <f ca="1">IFERROR(__xludf.DUMMYFUNCTION("""COMPUTED_VALUE"""),309.53)</f>
        <v>309.52999999999997</v>
      </c>
      <c r="F738" s="141">
        <f ca="1">IFERROR(__xludf.DUMMYFUNCTION("""COMPUTED_VALUE"""),312.06)</f>
        <v>312.06</v>
      </c>
      <c r="G738" s="143">
        <f ca="1">IFERROR(__xludf.DUMMYFUNCTION("""COMPUTED_VALUE"""),70026753)</f>
        <v>70026753</v>
      </c>
      <c r="H738" s="26"/>
    </row>
    <row r="739" spans="1:8" ht="17.25" customHeight="1" x14ac:dyDescent="0.2">
      <c r="A739" s="26"/>
      <c r="B739" s="139">
        <f ca="1">IFERROR(__xludf.DUMMYFUNCTION("""COMPUTED_VALUE"""),46174.6666666666)</f>
        <v>46174.666666666599</v>
      </c>
      <c r="C739" s="141">
        <f ca="1">IFERROR(__xludf.DUMMYFUNCTION("""COMPUTED_VALUE"""),309.63)</f>
        <v>309.63</v>
      </c>
      <c r="D739" s="141">
        <f ca="1">IFERROR(__xludf.DUMMYFUNCTION("""COMPUTED_VALUE"""),310.94)</f>
        <v>310.94</v>
      </c>
      <c r="E739" s="141">
        <f ca="1">IFERROR(__xludf.DUMMYFUNCTION("""COMPUTED_VALUE"""),305.02)</f>
        <v>305.02</v>
      </c>
      <c r="F739" s="141">
        <f ca="1">IFERROR(__xludf.DUMMYFUNCTION("""COMPUTED_VALUE"""),306.31)</f>
        <v>306.31</v>
      </c>
      <c r="G739" s="143">
        <f ca="1">IFERROR(__xludf.DUMMYFUNCTION("""COMPUTED_VALUE"""),48849934)</f>
        <v>48849934</v>
      </c>
      <c r="H739" s="26"/>
    </row>
    <row r="740" spans="1:8" ht="17.25" customHeight="1" x14ac:dyDescent="0.2">
      <c r="A740" s="26"/>
      <c r="B740" s="139">
        <f ca="1">IFERROR(__xludf.DUMMYFUNCTION("""COMPUTED_VALUE"""),46175.6666666666)</f>
        <v>46175.666666666599</v>
      </c>
      <c r="C740" s="141">
        <f ca="1">IFERROR(__xludf.DUMMYFUNCTION("""COMPUTED_VALUE"""),307.46)</f>
        <v>307.45999999999998</v>
      </c>
      <c r="D740" s="141">
        <f ca="1">IFERROR(__xludf.DUMMYFUNCTION("""COMPUTED_VALUE"""),315.45)</f>
        <v>315.45</v>
      </c>
      <c r="E740" s="141">
        <f ca="1">IFERROR(__xludf.DUMMYFUNCTION("""COMPUTED_VALUE"""),306.69)</f>
        <v>306.69</v>
      </c>
      <c r="F740" s="141">
        <f ca="1">IFERROR(__xludf.DUMMYFUNCTION("""COMPUTED_VALUE"""),315.2)</f>
        <v>315.2</v>
      </c>
      <c r="G740" s="143">
        <f ca="1">IFERROR(__xludf.DUMMYFUNCTION("""COMPUTED_VALUE"""),44534716)</f>
        <v>44534716</v>
      </c>
      <c r="H740" s="26"/>
    </row>
    <row r="741" spans="1:8" ht="17.25" customHeight="1" x14ac:dyDescent="0.2">
      <c r="A741" s="26"/>
      <c r="B741" s="139">
        <f ca="1">IFERROR(__xludf.DUMMYFUNCTION("""COMPUTED_VALUE"""),46176.6666666666)</f>
        <v>46176.666666666599</v>
      </c>
      <c r="C741" s="141">
        <f ca="1">IFERROR(__xludf.DUMMYFUNCTION("""COMPUTED_VALUE"""),314.18)</f>
        <v>314.18</v>
      </c>
      <c r="D741" s="141">
        <f ca="1">IFERROR(__xludf.DUMMYFUNCTION("""COMPUTED_VALUE"""),316.94)</f>
        <v>316.94</v>
      </c>
      <c r="E741" s="141">
        <f ca="1">IFERROR(__xludf.DUMMYFUNCTION("""COMPUTED_VALUE"""),308.85)</f>
        <v>308.85000000000002</v>
      </c>
      <c r="F741" s="141">
        <f ca="1">IFERROR(__xludf.DUMMYFUNCTION("""COMPUTED_VALUE"""),310.26)</f>
        <v>310.26</v>
      </c>
      <c r="G741" s="143">
        <f ca="1">IFERROR(__xludf.DUMMYFUNCTION("""COMPUTED_VALUE"""),50836705)</f>
        <v>50836705</v>
      </c>
      <c r="H741" s="26"/>
    </row>
    <row r="742" spans="1:8" ht="17.25" customHeight="1" x14ac:dyDescent="0.2">
      <c r="A742" s="26"/>
      <c r="B742" s="139">
        <f ca="1">IFERROR(__xludf.DUMMYFUNCTION("""COMPUTED_VALUE"""),46177.6666666666)</f>
        <v>46177.666666666599</v>
      </c>
      <c r="C742" s="141">
        <f ca="1">IFERROR(__xludf.DUMMYFUNCTION("""COMPUTED_VALUE"""),313.23)</f>
        <v>313.23</v>
      </c>
      <c r="D742" s="141">
        <f ca="1">IFERROR(__xludf.DUMMYFUNCTION("""COMPUTED_VALUE"""),313.54)</f>
        <v>313.54000000000002</v>
      </c>
      <c r="E742" s="141">
        <f ca="1">IFERROR(__xludf.DUMMYFUNCTION("""COMPUTED_VALUE"""),309.65)</f>
        <v>309.64999999999998</v>
      </c>
      <c r="F742" s="141">
        <f ca="1">IFERROR(__xludf.DUMMYFUNCTION("""COMPUTED_VALUE"""),311.23)</f>
        <v>311.23</v>
      </c>
      <c r="G742" s="143">
        <f ca="1">IFERROR(__xludf.DUMMYFUNCTION("""COMPUTED_VALUE"""),44869134)</f>
        <v>44869134</v>
      </c>
      <c r="H742" s="26"/>
    </row>
    <row r="743" spans="1:8" ht="17.25" customHeight="1" x14ac:dyDescent="0.2">
      <c r="A743" s="26"/>
      <c r="B743" s="139">
        <f ca="1">IFERROR(__xludf.DUMMYFUNCTION("""COMPUTED_VALUE"""),46178.6666666666)</f>
        <v>46178.666666666599</v>
      </c>
      <c r="C743" s="141">
        <f ca="1">IFERROR(__xludf.DUMMYFUNCTION("""COMPUTED_VALUE"""),312.86)</f>
        <v>312.86</v>
      </c>
      <c r="D743" s="141">
        <f ca="1">IFERROR(__xludf.DUMMYFUNCTION("""COMPUTED_VALUE"""),315.17)</f>
        <v>315.17</v>
      </c>
      <c r="E743" s="141">
        <f ca="1">IFERROR(__xludf.DUMMYFUNCTION("""COMPUTED_VALUE"""),307.15)</f>
        <v>307.14999999999998</v>
      </c>
      <c r="F743" s="141">
        <f ca="1">IFERROR(__xludf.DUMMYFUNCTION("""COMPUTED_VALUE"""),307.34)</f>
        <v>307.33999999999997</v>
      </c>
      <c r="G743" s="143">
        <f ca="1">IFERROR(__xludf.DUMMYFUNCTION("""COMPUTED_VALUE"""),65310503)</f>
        <v>65310503</v>
      </c>
      <c r="H743" s="26"/>
    </row>
    <row r="744" spans="1:8" ht="17.25" customHeight="1" x14ac:dyDescent="0.2">
      <c r="A744" s="26"/>
      <c r="B744" s="139">
        <f ca="1">IFERROR(__xludf.DUMMYFUNCTION("""COMPUTED_VALUE"""),46181.6666666666)</f>
        <v>46181.666666666599</v>
      </c>
      <c r="C744" s="141">
        <f ca="1">IFERROR(__xludf.DUMMYFUNCTION("""COMPUTED_VALUE"""),308.74)</f>
        <v>308.74</v>
      </c>
      <c r="D744" s="141">
        <f ca="1">IFERROR(__xludf.DUMMYFUNCTION("""COMPUTED_VALUE"""),317.4)</f>
        <v>317.39999999999998</v>
      </c>
      <c r="E744" s="141">
        <f ca="1">IFERROR(__xludf.DUMMYFUNCTION("""COMPUTED_VALUE"""),301.17)</f>
        <v>301.17</v>
      </c>
      <c r="F744" s="141">
        <f ca="1">IFERROR(__xludf.DUMMYFUNCTION("""COMPUTED_VALUE"""),301.54)</f>
        <v>301.54000000000002</v>
      </c>
      <c r="G744" s="143">
        <f ca="1">IFERROR(__xludf.DUMMYFUNCTION("""COMPUTED_VALUE"""),77949082)</f>
        <v>77949082</v>
      </c>
      <c r="H744" s="26"/>
    </row>
    <row r="745" spans="1:8" ht="17.25" customHeight="1" x14ac:dyDescent="0.2">
      <c r="A745" s="26"/>
      <c r="B745" s="139">
        <f ca="1">IFERROR(__xludf.DUMMYFUNCTION("""COMPUTED_VALUE"""),46182.6666666666)</f>
        <v>46182.666666666599</v>
      </c>
      <c r="C745" s="141">
        <f ca="1">IFERROR(__xludf.DUMMYFUNCTION("""COMPUTED_VALUE"""),300.27)</f>
        <v>300.27</v>
      </c>
      <c r="D745" s="141">
        <f ca="1">IFERROR(__xludf.DUMMYFUNCTION("""COMPUTED_VALUE"""),300.75)</f>
        <v>300.75</v>
      </c>
      <c r="E745" s="141">
        <f ca="1">IFERROR(__xludf.DUMMYFUNCTION("""COMPUTED_VALUE"""),287.78)</f>
        <v>287.77999999999997</v>
      </c>
      <c r="F745" s="141">
        <f ca="1">IFERROR(__xludf.DUMMYFUNCTION("""COMPUTED_VALUE"""),290.55)</f>
        <v>290.55</v>
      </c>
      <c r="G745" s="143">
        <f ca="1">IFERROR(__xludf.DUMMYFUNCTION("""COMPUTED_VALUE"""),70108848)</f>
        <v>70108848</v>
      </c>
      <c r="H745" s="26"/>
    </row>
    <row r="746" spans="1:8" ht="17.25" customHeight="1" x14ac:dyDescent="0.2">
      <c r="A746" s="26"/>
      <c r="B746" s="139">
        <f ca="1">IFERROR(__xludf.DUMMYFUNCTION("""COMPUTED_VALUE"""),46183.6666666666)</f>
        <v>46183.666666666599</v>
      </c>
      <c r="C746" s="141">
        <f ca="1">IFERROR(__xludf.DUMMYFUNCTION("""COMPUTED_VALUE"""),290.74)</f>
        <v>290.74</v>
      </c>
      <c r="D746" s="141">
        <f ca="1">IFERROR(__xludf.DUMMYFUNCTION("""COMPUTED_VALUE"""),294.75)</f>
        <v>294.75</v>
      </c>
      <c r="E746" s="141">
        <f ca="1">IFERROR(__xludf.DUMMYFUNCTION("""COMPUTED_VALUE"""),287.38)</f>
        <v>287.38</v>
      </c>
      <c r="F746" s="141">
        <f ca="1">IFERROR(__xludf.DUMMYFUNCTION("""COMPUTED_VALUE"""),291.58)</f>
        <v>291.58</v>
      </c>
      <c r="G746" s="143">
        <f ca="1">IFERROR(__xludf.DUMMYFUNCTION("""COMPUTED_VALUE"""),52793266)</f>
        <v>52793266</v>
      </c>
      <c r="H746" s="26"/>
    </row>
    <row r="747" spans="1:8" ht="17.25" customHeight="1" x14ac:dyDescent="0.2">
      <c r="A747" s="26"/>
      <c r="B747" s="139">
        <f ca="1">IFERROR(__xludf.DUMMYFUNCTION("""COMPUTED_VALUE"""),46184.6666666666)</f>
        <v>46184.666666666599</v>
      </c>
      <c r="C747" s="141">
        <f ca="1">IFERROR(__xludf.DUMMYFUNCTION("""COMPUTED_VALUE"""),293.72)</f>
        <v>293.72000000000003</v>
      </c>
      <c r="D747" s="141">
        <f ca="1">IFERROR(__xludf.DUMMYFUNCTION("""COMPUTED_VALUE"""),297)</f>
        <v>297</v>
      </c>
      <c r="E747" s="141">
        <f ca="1">IFERROR(__xludf.DUMMYFUNCTION("""COMPUTED_VALUE"""),289.59)</f>
        <v>289.58999999999997</v>
      </c>
      <c r="F747" s="141">
        <f ca="1">IFERROR(__xludf.DUMMYFUNCTION("""COMPUTED_VALUE"""),295.63)</f>
        <v>295.63</v>
      </c>
      <c r="G747" s="143">
        <f ca="1">IFERROR(__xludf.DUMMYFUNCTION("""COMPUTED_VALUE"""),42572498)</f>
        <v>42572498</v>
      </c>
      <c r="H747" s="26"/>
    </row>
    <row r="748" spans="1:8" ht="17.25" customHeight="1" x14ac:dyDescent="0.2">
      <c r="A748" s="26"/>
      <c r="B748" s="139">
        <f ca="1">IFERROR(__xludf.DUMMYFUNCTION("""COMPUTED_VALUE"""),46185.6666666666)</f>
        <v>46185.666666666599</v>
      </c>
      <c r="C748" s="141">
        <f ca="1">IFERROR(__xludf.DUMMYFUNCTION("""COMPUTED_VALUE"""),296.03)</f>
        <v>296.02999999999997</v>
      </c>
      <c r="D748" s="141">
        <f ca="1">IFERROR(__xludf.DUMMYFUNCTION("""COMPUTED_VALUE"""),297.14)</f>
        <v>297.14</v>
      </c>
      <c r="E748" s="141">
        <f ca="1">IFERROR(__xludf.DUMMYFUNCTION("""COMPUTED_VALUE"""),289.62)</f>
        <v>289.62</v>
      </c>
      <c r="F748" s="141">
        <f ca="1">IFERROR(__xludf.DUMMYFUNCTION("""COMPUTED_VALUE"""),291.13)</f>
        <v>291.13</v>
      </c>
      <c r="G748" s="143">
        <f ca="1">IFERROR(__xludf.DUMMYFUNCTION("""COMPUTED_VALUE"""),38784790)</f>
        <v>38784790</v>
      </c>
      <c r="H748" s="26"/>
    </row>
    <row r="749" spans="1:8" ht="17.25" customHeight="1" x14ac:dyDescent="0.2">
      <c r="A749" s="26"/>
      <c r="B749" s="139">
        <f ca="1">IFERROR(__xludf.DUMMYFUNCTION("""COMPUTED_VALUE"""),46188.6666666666)</f>
        <v>46188.666666666599</v>
      </c>
      <c r="C749" s="141">
        <f ca="1">IFERROR(__xludf.DUMMYFUNCTION("""COMPUTED_VALUE"""),294.12)</f>
        <v>294.12</v>
      </c>
      <c r="D749" s="141">
        <f ca="1">IFERROR(__xludf.DUMMYFUNCTION("""COMPUTED_VALUE"""),297.78)</f>
        <v>297.77999999999997</v>
      </c>
      <c r="E749" s="141">
        <f ca="1">IFERROR(__xludf.DUMMYFUNCTION("""COMPUTED_VALUE"""),291.7)</f>
        <v>291.7</v>
      </c>
      <c r="F749" s="141">
        <f ca="1">IFERROR(__xludf.DUMMYFUNCTION("""COMPUTED_VALUE"""),296.42)</f>
        <v>296.42</v>
      </c>
      <c r="G749" s="143">
        <f ca="1">IFERROR(__xludf.DUMMYFUNCTION("""COMPUTED_VALUE"""),45732573)</f>
        <v>45732573</v>
      </c>
      <c r="H749" s="26"/>
    </row>
    <row r="750" spans="1:8" ht="17.25" customHeight="1" x14ac:dyDescent="0.2">
      <c r="A750" s="26"/>
      <c r="B750" s="139">
        <f ca="1">IFERROR(__xludf.DUMMYFUNCTION("""COMPUTED_VALUE"""),46189.6666666666)</f>
        <v>46189.666666666599</v>
      </c>
      <c r="C750" s="141">
        <f ca="1">IFERROR(__xludf.DUMMYFUNCTION("""COMPUTED_VALUE"""),295.25)</f>
        <v>295.25</v>
      </c>
      <c r="D750" s="141">
        <f ca="1">IFERROR(__xludf.DUMMYFUNCTION("""COMPUTED_VALUE"""),300.48)</f>
        <v>300.48</v>
      </c>
      <c r="E750" s="141">
        <f ca="1">IFERROR(__xludf.DUMMYFUNCTION("""COMPUTED_VALUE"""),293.97)</f>
        <v>293.97000000000003</v>
      </c>
      <c r="F750" s="141">
        <f ca="1">IFERROR(__xludf.DUMMYFUNCTION("""COMPUTED_VALUE"""),299.24)</f>
        <v>299.24</v>
      </c>
      <c r="G750" s="143">
        <f ca="1">IFERROR(__xludf.DUMMYFUNCTION("""COMPUTED_VALUE"""),39874404)</f>
        <v>39874404</v>
      </c>
      <c r="H750" s="26"/>
    </row>
    <row r="751" spans="1:8" ht="17.25" customHeight="1" x14ac:dyDescent="0.2">
      <c r="A751" s="26"/>
      <c r="B751" s="139">
        <f ca="1">IFERROR(__xludf.DUMMYFUNCTION("""COMPUTED_VALUE"""),46190.6666666666)</f>
        <v>46190.666666666599</v>
      </c>
      <c r="C751" s="141">
        <f ca="1">IFERROR(__xludf.DUMMYFUNCTION("""COMPUTED_VALUE"""),300.85)</f>
        <v>300.85000000000002</v>
      </c>
      <c r="D751" s="141">
        <f ca="1">IFERROR(__xludf.DUMMYFUNCTION("""COMPUTED_VALUE"""),302.07)</f>
        <v>302.07</v>
      </c>
      <c r="E751" s="141">
        <f ca="1">IFERROR(__xludf.DUMMYFUNCTION("""COMPUTED_VALUE"""),294.36)</f>
        <v>294.36</v>
      </c>
      <c r="F751" s="141">
        <f ca="1">IFERROR(__xludf.DUMMYFUNCTION("""COMPUTED_VALUE"""),295.95)</f>
        <v>295.95</v>
      </c>
      <c r="G751" s="143">
        <f ca="1">IFERROR(__xludf.DUMMYFUNCTION("""COMPUTED_VALUE"""),42745060)</f>
        <v>42745060</v>
      </c>
      <c r="H751" s="26"/>
    </row>
    <row r="752" spans="1:8" ht="17.25" customHeight="1" x14ac:dyDescent="0.2">
      <c r="A752" s="26"/>
      <c r="B752" s="139">
        <f ca="1">IFERROR(__xludf.DUMMYFUNCTION("""COMPUTED_VALUE"""),46191.6666666666)</f>
        <v>46191.666666666599</v>
      </c>
      <c r="C752" s="141">
        <f ca="1">IFERROR(__xludf.DUMMYFUNCTION("""COMPUTED_VALUE"""),298.11)</f>
        <v>298.11</v>
      </c>
      <c r="D752" s="141">
        <f ca="1">IFERROR(__xludf.DUMMYFUNCTION("""COMPUTED_VALUE"""),300.57)</f>
        <v>300.57</v>
      </c>
      <c r="E752" s="141">
        <f ca="1">IFERROR(__xludf.DUMMYFUNCTION("""COMPUTED_VALUE"""),295.62)</f>
        <v>295.62</v>
      </c>
      <c r="F752" s="141">
        <f ca="1">IFERROR(__xludf.DUMMYFUNCTION("""COMPUTED_VALUE"""),298.01)</f>
        <v>298.01</v>
      </c>
      <c r="G752" s="143">
        <f ca="1">IFERROR(__xludf.DUMMYFUNCTION("""COMPUTED_VALUE"""),85962202)</f>
        <v>85962202</v>
      </c>
      <c r="H752" s="26"/>
    </row>
    <row r="753" spans="1:8" ht="17.25" customHeight="1" x14ac:dyDescent="0.2">
      <c r="A753" s="26"/>
      <c r="B753" s="139">
        <f ca="1">IFERROR(__xludf.DUMMYFUNCTION("""COMPUTED_VALUE"""),46195.6666666666)</f>
        <v>46195.666666666599</v>
      </c>
      <c r="C753" s="141">
        <f ca="1">IFERROR(__xludf.DUMMYFUNCTION("""COMPUTED_VALUE"""),297.31)</f>
        <v>297.31</v>
      </c>
      <c r="D753" s="141">
        <f ca="1">IFERROR(__xludf.DUMMYFUNCTION("""COMPUTED_VALUE"""),302.42)</f>
        <v>302.42</v>
      </c>
      <c r="E753" s="141">
        <f ca="1">IFERROR(__xludf.DUMMYFUNCTION("""COMPUTED_VALUE"""),296.76)</f>
        <v>296.76</v>
      </c>
      <c r="F753" s="141">
        <f ca="1">IFERROR(__xludf.DUMMYFUNCTION("""COMPUTED_VALUE"""),297.01)</f>
        <v>297.01</v>
      </c>
      <c r="G753" s="143">
        <f ca="1">IFERROR(__xludf.DUMMYFUNCTION("""COMPUTED_VALUE"""),44879915)</f>
        <v>44879915</v>
      </c>
      <c r="H753" s="26"/>
    </row>
    <row r="754" spans="1:8" ht="17.25" customHeight="1" x14ac:dyDescent="0.2">
      <c r="A754" s="26"/>
      <c r="B754" s="139">
        <f ca="1">IFERROR(__xludf.DUMMYFUNCTION("""COMPUTED_VALUE"""),46196.6666666666)</f>
        <v>46196.666666666599</v>
      </c>
      <c r="C754" s="141">
        <f ca="1">IFERROR(__xludf.DUMMYFUNCTION("""COMPUTED_VALUE"""),297.54)</f>
        <v>297.54000000000002</v>
      </c>
      <c r="D754" s="141">
        <f ca="1">IFERROR(__xludf.DUMMYFUNCTION("""COMPUTED_VALUE"""),301.64)</f>
        <v>301.64</v>
      </c>
      <c r="E754" s="141">
        <f ca="1">IFERROR(__xludf.DUMMYFUNCTION("""COMPUTED_VALUE"""),294.18)</f>
        <v>294.18</v>
      </c>
      <c r="F754" s="141">
        <f ca="1">IFERROR(__xludf.DUMMYFUNCTION("""COMPUTED_VALUE"""),294.3)</f>
        <v>294.3</v>
      </c>
      <c r="G754" s="143">
        <f ca="1">IFERROR(__xludf.DUMMYFUNCTION("""COMPUTED_VALUE"""),52010930)</f>
        <v>52010930</v>
      </c>
      <c r="H754" s="26"/>
    </row>
    <row r="755" spans="1:8" ht="17.25" customHeight="1" x14ac:dyDescent="0.2">
      <c r="A755" s="26"/>
      <c r="B755" s="139">
        <f ca="1">IFERROR(__xludf.DUMMYFUNCTION("""COMPUTED_VALUE"""),46197.6666666666)</f>
        <v>46197.666666666599</v>
      </c>
      <c r="C755" s="141">
        <f ca="1">IFERROR(__xludf.DUMMYFUNCTION("""COMPUTED_VALUE"""),295.36)</f>
        <v>295.36</v>
      </c>
      <c r="D755" s="141">
        <f ca="1">IFERROR(__xludf.DUMMYFUNCTION("""COMPUTED_VALUE"""),299.7)</f>
        <v>299.7</v>
      </c>
      <c r="E755" s="141">
        <f ca="1">IFERROR(__xludf.DUMMYFUNCTION("""COMPUTED_VALUE"""),292.94)</f>
        <v>292.94</v>
      </c>
      <c r="F755" s="141">
        <f ca="1">IFERROR(__xludf.DUMMYFUNCTION("""COMPUTED_VALUE"""),293.08)</f>
        <v>293.08</v>
      </c>
      <c r="G755" s="143">
        <f ca="1">IFERROR(__xludf.DUMMYFUNCTION("""COMPUTED_VALUE"""),53081860)</f>
        <v>53081860</v>
      </c>
      <c r="H755" s="26"/>
    </row>
    <row r="756" spans="1:8" ht="17.25" customHeight="1" x14ac:dyDescent="0.2">
      <c r="A756" s="26"/>
      <c r="B756" s="139">
        <f ca="1">IFERROR(__xludf.DUMMYFUNCTION("""COMPUTED_VALUE"""),46198.6666666666)</f>
        <v>46198.666666666599</v>
      </c>
      <c r="C756" s="141">
        <f ca="1">IFERROR(__xludf.DUMMYFUNCTION("""COMPUTED_VALUE"""),287.4)</f>
        <v>287.39999999999998</v>
      </c>
      <c r="D756" s="141">
        <f ca="1">IFERROR(__xludf.DUMMYFUNCTION("""COMPUTED_VALUE"""),288.8)</f>
        <v>288.8</v>
      </c>
      <c r="E756" s="141">
        <f ca="1">IFERROR(__xludf.DUMMYFUNCTION("""COMPUTED_VALUE"""),273.75)</f>
        <v>273.75</v>
      </c>
      <c r="F756" s="141">
        <f ca="1">IFERROR(__xludf.DUMMYFUNCTION("""COMPUTED_VALUE"""),275.15)</f>
        <v>275.14999999999998</v>
      </c>
      <c r="G756" s="143">
        <f ca="1">IFERROR(__xludf.DUMMYFUNCTION("""COMPUTED_VALUE"""),107253660)</f>
        <v>107253660</v>
      </c>
      <c r="H756" s="26"/>
    </row>
    <row r="757" spans="1:8" ht="17.25" customHeight="1" x14ac:dyDescent="0.2">
      <c r="A757" s="26"/>
      <c r="B757" s="139">
        <f ca="1">IFERROR(__xludf.DUMMYFUNCTION("""COMPUTED_VALUE"""),46199.6666666666)</f>
        <v>46199.666666666599</v>
      </c>
      <c r="C757" s="141">
        <f ca="1">IFERROR(__xludf.DUMMYFUNCTION("""COMPUTED_VALUE"""),275)</f>
        <v>275</v>
      </c>
      <c r="D757" s="141">
        <f ca="1">IFERROR(__xludf.DUMMYFUNCTION("""COMPUTED_VALUE"""),285.95)</f>
        <v>285.95</v>
      </c>
      <c r="E757" s="141">
        <f ca="1">IFERROR(__xludf.DUMMYFUNCTION("""COMPUTED_VALUE"""),274.21)</f>
        <v>274.20999999999998</v>
      </c>
      <c r="F757" s="141">
        <f ca="1">IFERROR(__xludf.DUMMYFUNCTION("""COMPUTED_VALUE"""),283.78)</f>
        <v>283.77999999999997</v>
      </c>
      <c r="G757" s="143">
        <f ca="1">IFERROR(__xludf.DUMMYFUNCTION("""COMPUTED_VALUE"""),261775450)</f>
        <v>261775450</v>
      </c>
      <c r="H757" s="26"/>
    </row>
    <row r="758" spans="1:8" ht="17.25" customHeight="1" x14ac:dyDescent="0.2">
      <c r="A758" s="26"/>
      <c r="B758" s="139">
        <f ca="1">IFERROR(__xludf.DUMMYFUNCTION("""COMPUTED_VALUE"""),46202.6666666666)</f>
        <v>46202.666666666599</v>
      </c>
      <c r="C758" s="141">
        <f ca="1">IFERROR(__xludf.DUMMYFUNCTION("""COMPUTED_VALUE"""),286.73)</f>
        <v>286.73</v>
      </c>
      <c r="D758" s="141">
        <f ca="1">IFERROR(__xludf.DUMMYFUNCTION("""COMPUTED_VALUE"""),288.37)</f>
        <v>288.37</v>
      </c>
      <c r="E758" s="141">
        <f ca="1">IFERROR(__xludf.DUMMYFUNCTION("""COMPUTED_VALUE"""),279.85)</f>
        <v>279.85000000000002</v>
      </c>
      <c r="F758" s="141">
        <f ca="1">IFERROR(__xludf.DUMMYFUNCTION("""COMPUTED_VALUE"""),281.74)</f>
        <v>281.74</v>
      </c>
      <c r="G758" s="143">
        <f ca="1">IFERROR(__xludf.DUMMYFUNCTION("""COMPUTED_VALUE"""),66427002)</f>
        <v>66427002</v>
      </c>
      <c r="H758" s="26"/>
    </row>
    <row r="759" spans="1:8" ht="17.25" customHeight="1" x14ac:dyDescent="0.2">
      <c r="A759" s="26"/>
      <c r="B759" s="139">
        <f ca="1">IFERROR(__xludf.DUMMYFUNCTION("""COMPUTED_VALUE"""),46203.6666666666)</f>
        <v>46203.666666666599</v>
      </c>
      <c r="C759" s="141">
        <f ca="1">IFERROR(__xludf.DUMMYFUNCTION("""COMPUTED_VALUE"""),281.17)</f>
        <v>281.17</v>
      </c>
      <c r="D759" s="141">
        <f ca="1">IFERROR(__xludf.DUMMYFUNCTION("""COMPUTED_VALUE"""),289.94)</f>
        <v>289.94</v>
      </c>
      <c r="E759" s="141">
        <f ca="1">IFERROR(__xludf.DUMMYFUNCTION("""COMPUTED_VALUE"""),280.7)</f>
        <v>280.7</v>
      </c>
      <c r="F759" s="141">
        <f ca="1">IFERROR(__xludf.DUMMYFUNCTION("""COMPUTED_VALUE"""),289.36)</f>
        <v>289.36</v>
      </c>
      <c r="G759" s="143">
        <f ca="1">IFERROR(__xludf.DUMMYFUNCTION("""COMPUTED_VALUE"""),65100156)</f>
        <v>65100156</v>
      </c>
      <c r="H759" s="26"/>
    </row>
    <row r="760" spans="1:8" ht="17.25" customHeight="1" x14ac:dyDescent="0.2">
      <c r="A760" s="26"/>
      <c r="B760" s="139">
        <f ca="1">IFERROR(__xludf.DUMMYFUNCTION("""COMPUTED_VALUE"""),46204.6666666666)</f>
        <v>46204.666666666599</v>
      </c>
      <c r="C760" s="141">
        <f ca="1">IFERROR(__xludf.DUMMYFUNCTION("""COMPUTED_VALUE"""),293.44)</f>
        <v>293.44</v>
      </c>
      <c r="D760" s="141">
        <f ca="1">IFERROR(__xludf.DUMMYFUNCTION("""COMPUTED_VALUE"""),296.59)</f>
        <v>296.58999999999997</v>
      </c>
      <c r="E760" s="141">
        <f ca="1">IFERROR(__xludf.DUMMYFUNCTION("""COMPUTED_VALUE"""),289.2)</f>
        <v>289.2</v>
      </c>
      <c r="F760" s="141">
        <f ca="1">IFERROR(__xludf.DUMMYFUNCTION("""COMPUTED_VALUE"""),294.38)</f>
        <v>294.38</v>
      </c>
      <c r="G760" s="143">
        <f ca="1">IFERROR(__xludf.DUMMYFUNCTION("""COMPUTED_VALUE"""),50164232)</f>
        <v>50164232</v>
      </c>
      <c r="H760" s="26"/>
    </row>
    <row r="761" spans="1:8" ht="17.25" customHeight="1" x14ac:dyDescent="0.2">
      <c r="A761" s="26"/>
      <c r="B761" s="139">
        <f ca="1">IFERROR(__xludf.DUMMYFUNCTION("""COMPUTED_VALUE"""),46205.6666666666)</f>
        <v>46205.666666666599</v>
      </c>
      <c r="C761" s="141">
        <f ca="1">IFERROR(__xludf.DUMMYFUNCTION("""COMPUTED_VALUE"""),294.12)</f>
        <v>294.12</v>
      </c>
      <c r="D761" s="141">
        <f ca="1">IFERROR(__xludf.DUMMYFUNCTION("""COMPUTED_VALUE"""),309.42)</f>
        <v>309.42</v>
      </c>
      <c r="E761" s="141">
        <f ca="1">IFERROR(__xludf.DUMMYFUNCTION("""COMPUTED_VALUE"""),293.68)</f>
        <v>293.68</v>
      </c>
      <c r="F761" s="141">
        <f ca="1">IFERROR(__xludf.DUMMYFUNCTION("""COMPUTED_VALUE"""),308.63)</f>
        <v>308.63</v>
      </c>
      <c r="G761" s="143">
        <f ca="1">IFERROR(__xludf.DUMMYFUNCTION("""COMPUTED_VALUE"""),75400626)</f>
        <v>75400626</v>
      </c>
      <c r="H761" s="26"/>
    </row>
    <row r="762" spans="1:8" ht="17.25" customHeight="1" x14ac:dyDescent="0.2">
      <c r="A762" s="26"/>
      <c r="B762" s="139">
        <f ca="1">IFERROR(__xludf.DUMMYFUNCTION("""COMPUTED_VALUE"""),46209.6666666666)</f>
        <v>46209.666666666599</v>
      </c>
      <c r="C762" s="141">
        <f ca="1">IFERROR(__xludf.DUMMYFUNCTION("""COMPUTED_VALUE"""),307.36)</f>
        <v>307.36</v>
      </c>
      <c r="D762" s="141">
        <f ca="1">IFERROR(__xludf.DUMMYFUNCTION("""COMPUTED_VALUE"""),314.2)</f>
        <v>314.2</v>
      </c>
      <c r="E762" s="141">
        <f ca="1">IFERROR(__xludf.DUMMYFUNCTION("""COMPUTED_VALUE"""),307)</f>
        <v>307</v>
      </c>
      <c r="F762" s="141">
        <f ca="1">IFERROR(__xludf.DUMMYFUNCTION("""COMPUTED_VALUE"""),312.66)</f>
        <v>312.66000000000003</v>
      </c>
      <c r="G762" s="143">
        <f ca="1">IFERROR(__xludf.DUMMYFUNCTION("""COMPUTED_VALUE"""),53589978)</f>
        <v>53589978</v>
      </c>
      <c r="H762" s="26"/>
    </row>
    <row r="763" spans="1:8" ht="17.25" customHeight="1" x14ac:dyDescent="0.2">
      <c r="A763" s="26"/>
      <c r="B763" s="139">
        <f ca="1">IFERROR(__xludf.DUMMYFUNCTION("""COMPUTED_VALUE"""),46210.6666666666)</f>
        <v>46210.666666666599</v>
      </c>
      <c r="C763" s="141">
        <f ca="1">IFERROR(__xludf.DUMMYFUNCTION("""COMPUTED_VALUE"""),315.29)</f>
        <v>315.29000000000002</v>
      </c>
      <c r="D763" s="141">
        <f ca="1">IFERROR(__xludf.DUMMYFUNCTION("""COMPUTED_VALUE"""),315.48)</f>
        <v>315.48</v>
      </c>
      <c r="E763" s="141">
        <f ca="1">IFERROR(__xludf.DUMMYFUNCTION("""COMPUTED_VALUE"""),310.15)</f>
        <v>310.14999999999998</v>
      </c>
      <c r="F763" s="141">
        <f ca="1">IFERROR(__xludf.DUMMYFUNCTION("""COMPUTED_VALUE"""),310.66)</f>
        <v>310.66000000000003</v>
      </c>
      <c r="G763" s="143">
        <f ca="1">IFERROR(__xludf.DUMMYFUNCTION("""COMPUTED_VALUE"""),42490003)</f>
        <v>42490003</v>
      </c>
      <c r="H763" s="26"/>
    </row>
    <row r="764" spans="1:8" ht="17.25" customHeight="1" x14ac:dyDescent="0.2">
      <c r="A764" s="26"/>
      <c r="B764" s="139">
        <f ca="1">IFERROR(__xludf.DUMMYFUNCTION("""COMPUTED_VALUE"""),46211.6666666666)</f>
        <v>46211.666666666599</v>
      </c>
      <c r="C764" s="141">
        <f ca="1">IFERROR(__xludf.DUMMYFUNCTION("""COMPUTED_VALUE"""),311.91)</f>
        <v>311.91000000000003</v>
      </c>
      <c r="D764" s="141">
        <f ca="1">IFERROR(__xludf.DUMMYFUNCTION("""COMPUTED_VALUE"""),314.82)</f>
        <v>314.82</v>
      </c>
      <c r="E764" s="141">
        <f ca="1">IFERROR(__xludf.DUMMYFUNCTION("""COMPUTED_VALUE"""),307.05)</f>
        <v>307.05</v>
      </c>
      <c r="F764" s="141">
        <f ca="1">IFERROR(__xludf.DUMMYFUNCTION("""COMPUTED_VALUE"""),313.39)</f>
        <v>313.39</v>
      </c>
      <c r="G764" s="143">
        <f ca="1">IFERROR(__xludf.DUMMYFUNCTION("""COMPUTED_VALUE"""),41323480)</f>
        <v>41323480</v>
      </c>
      <c r="H764" s="26"/>
    </row>
    <row r="765" spans="1:8" ht="17.25" customHeight="1" x14ac:dyDescent="0.2">
      <c r="A765" s="26"/>
      <c r="B765" s="139">
        <f ca="1">IFERROR(__xludf.DUMMYFUNCTION("""COMPUTED_VALUE"""),46212.6666666666)</f>
        <v>46212.666666666599</v>
      </c>
      <c r="C765" s="141">
        <f ca="1">IFERROR(__xludf.DUMMYFUNCTION("""COMPUTED_VALUE"""),310.51)</f>
        <v>310.51</v>
      </c>
      <c r="D765" s="141">
        <f ca="1">IFERROR(__xludf.DUMMYFUNCTION("""COMPUTED_VALUE"""),316.53)</f>
        <v>316.52999999999997</v>
      </c>
      <c r="E765" s="141">
        <f ca="1">IFERROR(__xludf.DUMMYFUNCTION("""COMPUTED_VALUE"""),308.16)</f>
        <v>308.16000000000003</v>
      </c>
      <c r="F765" s="141">
        <f ca="1">IFERROR(__xludf.DUMMYFUNCTION("""COMPUTED_VALUE"""),316.22)</f>
        <v>316.22000000000003</v>
      </c>
      <c r="G765" s="143">
        <f ca="1">IFERROR(__xludf.DUMMYFUNCTION("""COMPUTED_VALUE"""),48124490)</f>
        <v>48124490</v>
      </c>
      <c r="H765" s="26"/>
    </row>
    <row r="766" spans="1:8" ht="17.25" customHeight="1" x14ac:dyDescent="0.2">
      <c r="A766" s="26"/>
      <c r="B766" s="139">
        <f ca="1">IFERROR(__xludf.DUMMYFUNCTION("""COMPUTED_VALUE"""),46213.6666666666)</f>
        <v>46213.666666666599</v>
      </c>
      <c r="C766" s="141">
        <f ca="1">IFERROR(__xludf.DUMMYFUNCTION("""COMPUTED_VALUE"""),314.72)</f>
        <v>314.72000000000003</v>
      </c>
      <c r="D766" s="141">
        <f ca="1">IFERROR(__xludf.DUMMYFUNCTION("""COMPUTED_VALUE"""),316.91)</f>
        <v>316.91000000000003</v>
      </c>
      <c r="E766" s="141">
        <f ca="1">IFERROR(__xludf.DUMMYFUNCTION("""COMPUTED_VALUE"""),312.17)</f>
        <v>312.17</v>
      </c>
      <c r="F766" s="141">
        <f ca="1">IFERROR(__xludf.DUMMYFUNCTION("""COMPUTED_VALUE"""),315.32)</f>
        <v>315.32</v>
      </c>
      <c r="G766" s="143">
        <f ca="1">IFERROR(__xludf.DUMMYFUNCTION("""COMPUTED_VALUE"""),34132322)</f>
        <v>34132322</v>
      </c>
      <c r="H766" s="26"/>
    </row>
    <row r="767" spans="1:8" ht="17.25" customHeight="1" x14ac:dyDescent="0.2">
      <c r="A767" s="26"/>
      <c r="B767" s="139">
        <f ca="1">IFERROR(__xludf.DUMMYFUNCTION("""COMPUTED_VALUE"""),46216.6666666666)</f>
        <v>46216.666666666599</v>
      </c>
      <c r="C767" s="141">
        <f ca="1">IFERROR(__xludf.DUMMYFUNCTION("""COMPUTED_VALUE"""),317.02)</f>
        <v>317.02</v>
      </c>
      <c r="D767" s="141">
        <f ca="1">IFERROR(__xludf.DUMMYFUNCTION("""COMPUTED_VALUE"""),323.45)</f>
        <v>323.45</v>
      </c>
      <c r="E767" s="141">
        <f ca="1">IFERROR(__xludf.DUMMYFUNCTION("""COMPUTED_VALUE"""),315.78)</f>
        <v>315.77999999999997</v>
      </c>
      <c r="F767" s="141">
        <f ca="1">IFERROR(__xludf.DUMMYFUNCTION("""COMPUTED_VALUE"""),317.31)</f>
        <v>317.31</v>
      </c>
      <c r="G767" s="143">
        <f ca="1">IFERROR(__xludf.DUMMYFUNCTION("""COMPUTED_VALUE"""),43257804)</f>
        <v>43257804</v>
      </c>
      <c r="H767" s="26"/>
    </row>
    <row r="768" spans="1:8" ht="17.25" customHeight="1" x14ac:dyDescent="0.2">
      <c r="A768" s="26"/>
      <c r="B768" s="139">
        <f ca="1">IFERROR(__xludf.DUMMYFUNCTION("""COMPUTED_VALUE"""),46217.6666666666)</f>
        <v>46217.666666666599</v>
      </c>
      <c r="C768" s="141">
        <f ca="1">IFERROR(__xludf.DUMMYFUNCTION("""COMPUTED_VALUE"""),313.76)</f>
        <v>313.76</v>
      </c>
      <c r="D768" s="141">
        <f ca="1">IFERROR(__xludf.DUMMYFUNCTION("""COMPUTED_VALUE"""),316.19)</f>
        <v>316.19</v>
      </c>
      <c r="E768" s="141">
        <f ca="1">IFERROR(__xludf.DUMMYFUNCTION("""COMPUTED_VALUE"""),311.91)</f>
        <v>311.91000000000003</v>
      </c>
      <c r="F768" s="141">
        <f ca="1">IFERROR(__xludf.DUMMYFUNCTION("""COMPUTED_VALUE"""),314.86)</f>
        <v>314.86</v>
      </c>
      <c r="G768" s="143">
        <f ca="1">IFERROR(__xludf.DUMMYFUNCTION("""COMPUTED_VALUE"""),36336830)</f>
        <v>36336830</v>
      </c>
      <c r="H768" s="26"/>
    </row>
    <row r="769" spans="1:8" ht="17.25" customHeight="1" x14ac:dyDescent="0.2">
      <c r="A769" s="26"/>
      <c r="B769" s="139">
        <f ca="1">IFERROR(__xludf.DUMMYFUNCTION("""COMPUTED_VALUE"""),46218.6666666666)</f>
        <v>46218.666666666599</v>
      </c>
      <c r="C769" s="141">
        <f ca="1">IFERROR(__xludf.DUMMYFUNCTION("""COMPUTED_VALUE"""),317.62)</f>
        <v>317.62</v>
      </c>
      <c r="D769" s="141">
        <f ca="1">IFERROR(__xludf.DUMMYFUNCTION("""COMPUTED_VALUE"""),328.73)</f>
        <v>328.73</v>
      </c>
      <c r="E769" s="141">
        <f ca="1">IFERROR(__xludf.DUMMYFUNCTION("""COMPUTED_VALUE"""),317.32)</f>
        <v>317.32</v>
      </c>
      <c r="F769" s="141">
        <f ca="1">IFERROR(__xludf.DUMMYFUNCTION("""COMPUTED_VALUE"""),327.5)</f>
        <v>327.5</v>
      </c>
      <c r="G769" s="143">
        <f ca="1">IFERROR(__xludf.DUMMYFUNCTION("""COMPUTED_VALUE"""),60957644)</f>
        <v>60957644</v>
      </c>
      <c r="H769" s="26"/>
    </row>
    <row r="770" spans="1:8" ht="17.25" customHeight="1" x14ac:dyDescent="0.2">
      <c r="A770" s="26"/>
      <c r="B770" s="139">
        <f ca="1">IFERROR(__xludf.DUMMYFUNCTION("""COMPUTED_VALUE"""),46219.6666666666)</f>
        <v>46219.666666666599</v>
      </c>
      <c r="C770" s="141">
        <f ca="1">IFERROR(__xludf.DUMMYFUNCTION("""COMPUTED_VALUE"""),328.01)</f>
        <v>328.01</v>
      </c>
      <c r="D770" s="141">
        <f ca="1">IFERROR(__xludf.DUMMYFUNCTION("""COMPUTED_VALUE"""),334.68)</f>
        <v>334.68</v>
      </c>
      <c r="E770" s="141">
        <f ca="1">IFERROR(__xludf.DUMMYFUNCTION("""COMPUTED_VALUE"""),326.79)</f>
        <v>326.79000000000002</v>
      </c>
      <c r="F770" s="141">
        <f ca="1">IFERROR(__xludf.DUMMYFUNCTION("""COMPUTED_VALUE"""),333.26)</f>
        <v>333.26</v>
      </c>
      <c r="G770" s="143">
        <f ca="1">IFERROR(__xludf.DUMMYFUNCTION("""COMPUTED_VALUE"""),62970617)</f>
        <v>62970617</v>
      </c>
      <c r="H770" s="26"/>
    </row>
    <row r="771" spans="1:8" ht="17.25" customHeight="1" x14ac:dyDescent="0.2">
      <c r="A771" s="26"/>
      <c r="B771" s="139">
        <f ca="1">IFERROR(__xludf.DUMMYFUNCTION("""COMPUTED_VALUE"""),46220.6666666666)</f>
        <v>46220.666666666599</v>
      </c>
      <c r="C771" s="141">
        <f ca="1">IFERROR(__xludf.DUMMYFUNCTION("""COMPUTED_VALUE"""),331.98)</f>
        <v>331.98</v>
      </c>
      <c r="D771" s="141">
        <f ca="1">IFERROR(__xludf.DUMMYFUNCTION("""COMPUTED_VALUE"""),334.99)</f>
        <v>334.99</v>
      </c>
      <c r="E771" s="141">
        <f ca="1">IFERROR(__xludf.DUMMYFUNCTION("""COMPUTED_VALUE"""),329)</f>
        <v>329</v>
      </c>
      <c r="F771" s="141">
        <f ca="1">IFERROR(__xludf.DUMMYFUNCTION("""COMPUTED_VALUE"""),333.74)</f>
        <v>333.74</v>
      </c>
      <c r="G771" s="143">
        <f ca="1">IFERROR(__xludf.DUMMYFUNCTION("""COMPUTED_VALUE"""),63407059)</f>
        <v>63407059</v>
      </c>
      <c r="H771" s="26"/>
    </row>
    <row r="772" spans="1:8" ht="17.25" customHeight="1" x14ac:dyDescent="0.2">
      <c r="A772" s="26"/>
      <c r="B772" s="139">
        <f ca="1">IFERROR(__xludf.DUMMYFUNCTION("""COMPUTED_VALUE"""),46223.6666666666)</f>
        <v>46223.666666666599</v>
      </c>
      <c r="C772" s="141">
        <f ca="1">IFERROR(__xludf.DUMMYFUNCTION("""COMPUTED_VALUE"""),333.51)</f>
        <v>333.51</v>
      </c>
      <c r="D772" s="141">
        <f ca="1">IFERROR(__xludf.DUMMYFUNCTION("""COMPUTED_VALUE"""),333.71)</f>
        <v>333.71</v>
      </c>
      <c r="E772" s="141">
        <f ca="1">IFERROR(__xludf.DUMMYFUNCTION("""COMPUTED_VALUE"""),323.68)</f>
        <v>323.68</v>
      </c>
      <c r="F772" s="141">
        <f ca="1">IFERROR(__xludf.DUMMYFUNCTION("""COMPUTED_VALUE"""),326.59)</f>
        <v>326.58999999999997</v>
      </c>
      <c r="G772" s="143">
        <f ca="1">IFERROR(__xludf.DUMMYFUNCTION("""COMPUTED_VALUE"""),53468008)</f>
        <v>53468008</v>
      </c>
      <c r="H772" s="26"/>
    </row>
    <row r="773" spans="1:8" ht="17.25" customHeight="1" x14ac:dyDescent="0.2">
      <c r="A773" s="26"/>
      <c r="B773" s="139">
        <f ca="1">IFERROR(__xludf.DUMMYFUNCTION("""COMPUTED_VALUE"""),46224.6666666666)</f>
        <v>46224.666666666599</v>
      </c>
      <c r="C773" s="141">
        <f ca="1">IFERROR(__xludf.DUMMYFUNCTION("""COMPUTED_VALUE"""),323.13)</f>
        <v>323.13</v>
      </c>
      <c r="D773" s="141">
        <f ca="1">IFERROR(__xludf.DUMMYFUNCTION("""COMPUTED_VALUE"""),329.6)</f>
        <v>329.6</v>
      </c>
      <c r="E773" s="141">
        <f ca="1">IFERROR(__xludf.DUMMYFUNCTION("""COMPUTED_VALUE"""),322.22)</f>
        <v>322.22000000000003</v>
      </c>
      <c r="F773" s="141">
        <f ca="1">IFERROR(__xludf.DUMMYFUNCTION("""COMPUTED_VALUE"""),327.74)</f>
        <v>327.74</v>
      </c>
      <c r="G773" s="143">
        <f ca="1">IFERROR(__xludf.DUMMYFUNCTION("""COMPUTED_VALUE"""),41338918)</f>
        <v>41338918</v>
      </c>
      <c r="H773" s="26"/>
    </row>
    <row r="774" spans="1:8" ht="17.25" customHeight="1" x14ac:dyDescent="0.2">
      <c r="A774" s="26"/>
      <c r="B774" s="139">
        <f ca="1">IFERROR(__xludf.DUMMYFUNCTION("""COMPUTED_VALUE"""),46225.6666666666)</f>
        <v>46225.666666666599</v>
      </c>
      <c r="C774" s="141">
        <f ca="1">IFERROR(__xludf.DUMMYFUNCTION("""COMPUTED_VALUE"""),327.87)</f>
        <v>327.87</v>
      </c>
      <c r="D774" s="141">
        <f ca="1">IFERROR(__xludf.DUMMYFUNCTION("""COMPUTED_VALUE"""),329)</f>
        <v>329</v>
      </c>
      <c r="E774" s="141">
        <f ca="1">IFERROR(__xludf.DUMMYFUNCTION("""COMPUTED_VALUE"""),323.34)</f>
        <v>323.33999999999997</v>
      </c>
      <c r="F774" s="141">
        <f ca="1">IFERROR(__xludf.DUMMYFUNCTION("""COMPUTED_VALUE"""),325.89)</f>
        <v>325.89</v>
      </c>
      <c r="G774" s="143">
        <f ca="1">IFERROR(__xludf.DUMMYFUNCTION("""COMPUTED_VALUE"""),38755930)</f>
        <v>38755930</v>
      </c>
      <c r="H774" s="26"/>
    </row>
    <row r="775" spans="1:8" ht="17.25" customHeight="1" x14ac:dyDescent="0.2">
      <c r="A775" s="26"/>
      <c r="B775" s="139">
        <f ca="1">IFERROR(__xludf.DUMMYFUNCTION("""COMPUTED_VALUE"""),46226.6666666666)</f>
        <v>46226.666666666599</v>
      </c>
      <c r="C775" s="141">
        <f ca="1">IFERROR(__xludf.DUMMYFUNCTION("""COMPUTED_VALUE"""),321.73)</f>
        <v>321.73</v>
      </c>
      <c r="D775" s="141">
        <f ca="1">IFERROR(__xludf.DUMMYFUNCTION("""COMPUTED_VALUE"""),323.3)</f>
        <v>323.3</v>
      </c>
      <c r="E775" s="141">
        <f ca="1">IFERROR(__xludf.DUMMYFUNCTION("""COMPUTED_VALUE"""),319.35)</f>
        <v>319.35000000000002</v>
      </c>
      <c r="F775" s="141">
        <f ca="1">IFERROR(__xludf.DUMMYFUNCTION("""COMPUTED_VALUE"""),321.66)</f>
        <v>321.66000000000003</v>
      </c>
      <c r="G775" s="143">
        <f ca="1">IFERROR(__xludf.DUMMYFUNCTION("""COMPUTED_VALUE"""),40840779)</f>
        <v>40840779</v>
      </c>
      <c r="H775" s="26"/>
    </row>
    <row r="776" spans="1:8" ht="17.25" customHeight="1" x14ac:dyDescent="0.2">
      <c r="A776" s="26"/>
      <c r="B776" s="139">
        <f ca="1">IFERROR(__xludf.DUMMYFUNCTION("""COMPUTED_VALUE"""),46227.6666666666)</f>
        <v>46227.666666666599</v>
      </c>
      <c r="C776" s="141">
        <f ca="1">IFERROR(__xludf.DUMMYFUNCTION("""COMPUTED_VALUE"""),321.79)</f>
        <v>321.79000000000002</v>
      </c>
      <c r="D776" s="141">
        <f ca="1">IFERROR(__xludf.DUMMYFUNCTION("""COMPUTED_VALUE"""),334.37)</f>
        <v>334.37</v>
      </c>
      <c r="E776" s="141">
        <f ca="1">IFERROR(__xludf.DUMMYFUNCTION("""COMPUTED_VALUE"""),321.62)</f>
        <v>321.62</v>
      </c>
      <c r="F776" s="141">
        <f ca="1">IFERROR(__xludf.DUMMYFUNCTION("""COMPUTED_VALUE"""),333.02)</f>
        <v>333.02</v>
      </c>
      <c r="G776" s="143">
        <f ca="1">IFERROR(__xludf.DUMMYFUNCTION("""COMPUTED_VALUE"""),47489416)</f>
        <v>47489416</v>
      </c>
      <c r="H776" s="26"/>
    </row>
    <row r="777" spans="1:8" ht="17.25" customHeight="1" x14ac:dyDescent="0.2">
      <c r="A777" s="26"/>
      <c r="B777" s="139">
        <f ca="1">IFERROR(__xludf.DUMMYFUNCTION("""COMPUTED_VALUE"""),46230.6666666666)</f>
        <v>46230.666666666599</v>
      </c>
      <c r="C777" s="141">
        <f ca="1">IFERROR(__xludf.DUMMYFUNCTION("""COMPUTED_VALUE"""),334.54)</f>
        <v>334.54</v>
      </c>
      <c r="D777" s="141">
        <f ca="1">IFERROR(__xludf.DUMMYFUNCTION("""COMPUTED_VALUE"""),339.57)</f>
        <v>339.57</v>
      </c>
      <c r="E777" s="141">
        <f ca="1">IFERROR(__xludf.DUMMYFUNCTION("""COMPUTED_VALUE"""),334.02)</f>
        <v>334.02</v>
      </c>
      <c r="F777" s="141">
        <f ca="1">IFERROR(__xludf.DUMMYFUNCTION("""COMPUTED_VALUE"""),336.91)</f>
        <v>336.91</v>
      </c>
      <c r="G777" s="143">
        <f ca="1">IFERROR(__xludf.DUMMYFUNCTION("""COMPUTED_VALUE"""),49604297)</f>
        <v>49604297</v>
      </c>
      <c r="H777" s="26"/>
    </row>
    <row r="778" spans="1:8" ht="17.25" customHeight="1" x14ac:dyDescent="0.2">
      <c r="A778" s="26"/>
      <c r="B778" s="139">
        <f ca="1">IFERROR(__xludf.DUMMYFUNCTION("""COMPUTED_VALUE"""),46231.6666666666)</f>
        <v>46231.666666666599</v>
      </c>
      <c r="C778" s="141">
        <f ca="1">IFERROR(__xludf.DUMMYFUNCTION("""COMPUTED_VALUE"""),340.03)</f>
        <v>340.03</v>
      </c>
      <c r="D778" s="141">
        <f ca="1">IFERROR(__xludf.DUMMYFUNCTION("""COMPUTED_VALUE"""),342.89)</f>
        <v>342.89</v>
      </c>
      <c r="E778" s="141">
        <f ca="1">IFERROR(__xludf.DUMMYFUNCTION("""COMPUTED_VALUE"""),335.6)</f>
        <v>335.6</v>
      </c>
      <c r="F778" s="141">
        <f ca="1">IFERROR(__xludf.DUMMYFUNCTION("""COMPUTED_VALUE"""),340.08)</f>
        <v>340.08</v>
      </c>
      <c r="G778" s="143">
        <f ca="1">IFERROR(__xludf.DUMMYFUNCTION("""COMPUTED_VALUE"""),51859043)</f>
        <v>51859043</v>
      </c>
      <c r="H778" s="26"/>
    </row>
    <row r="779" spans="1:8" ht="17.25" customHeight="1" x14ac:dyDescent="0.2">
      <c r="A779" s="26"/>
      <c r="B779" s="139">
        <f ca="1">IFERROR(__xludf.DUMMYFUNCTION("""COMPUTED_VALUE"""),46232.6666666666)</f>
        <v>46232.666666666599</v>
      </c>
      <c r="C779" s="141">
        <f ca="1">IFERROR(__xludf.DUMMYFUNCTION("""COMPUTED_VALUE"""),339.73)</f>
        <v>339.73</v>
      </c>
      <c r="D779" s="141">
        <f ca="1">IFERROR(__xludf.DUMMYFUNCTION("""COMPUTED_VALUE"""),344.57)</f>
        <v>344.57</v>
      </c>
      <c r="E779" s="141">
        <f ca="1">IFERROR(__xludf.DUMMYFUNCTION("""COMPUTED_VALUE"""),337.35)</f>
        <v>337.35</v>
      </c>
      <c r="F779" s="141">
        <f ca="1">IFERROR(__xludf.DUMMYFUNCTION("""COMPUTED_VALUE"""),338.19)</f>
        <v>338.19</v>
      </c>
      <c r="G779" s="143">
        <f ca="1">IFERROR(__xludf.DUMMYFUNCTION("""COMPUTED_VALUE"""),55263399)</f>
        <v>55263399</v>
      </c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01" priority="5" operator="lessThan">
      <formula>0</formula>
    </cfRule>
    <cfRule type="cellIs" dxfId="100" priority="6" operator="greaterThan">
      <formula>0</formula>
    </cfRule>
  </conditionalFormatting>
  <conditionalFormatting sqref="F28:F1000">
    <cfRule type="expression" dxfId="99" priority="1">
      <formula>AND(F28=MAX(F$28:F$1000),F28&gt;0)</formula>
    </cfRule>
    <cfRule type="expression" dxfId="98" priority="2">
      <formula>AND(F28=MIN(F$28:F$1000),F28&gt;0)</formula>
    </cfRule>
  </conditionalFormatting>
  <conditionalFormatting sqref="F29:F1000">
    <cfRule type="expression" dxfId="97" priority="3">
      <formula>F29&gt;F27</formula>
    </cfRule>
    <cfRule type="expression" dxfId="96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900-000000000000}">
      <formula1>"1 Month,3 Months,6 Months,12 Months,36 Months"</formula1>
    </dataValidation>
  </dataValidations>
  <hyperlinks>
    <hyperlink ref="G2" r:id="rId1" xr:uid="{00000000-0004-0000-0900-000000000000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146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IFERROR(__xludf.DUMMYFUNCTION("GOOGLEFINANCE(B18,""name"")"),"Invesco DB Commodity Index Tracking Fund")</f>
        <v>Invesco DB Commodity Index Tracking Fund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IFERROR(__xludf.DUMMYFUNCTION("GOOGLEFINANCE(B18,""price"")"),29.42)</f>
        <v>29.42</v>
      </c>
      <c r="C10" s="322"/>
      <c r="D10" s="100">
        <f ca="1">IFERROR(__xludf.DUMMYFUNCTION("IFERROR(GOOGLEFINANCE(B18,""change""),""-"")"),0.82)</f>
        <v>0.82</v>
      </c>
      <c r="E10" s="103">
        <f ca="1">IFERROR(__xludf.DUMMYFUNCTION("IFERROR(GOOGLEFINANCE(B18,""changepct"")/100,""-"")"),0.0287)</f>
        <v>2.87E-2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IFERROR(__xludf.DUMMYFUNCTION("IFERROR(GOOGLEFINANCE(B18,""marketcap""),""-"")"),2753712007)</f>
        <v>2753712007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dbc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IFERROR(__xludf.DUMMYFUNCTION("""COMPUTED_VALUE"""),22.59)</f>
        <v>22.59</v>
      </c>
      <c r="D28" s="141">
        <f ca="1">IFERROR(__xludf.DUMMYFUNCTION("""COMPUTED_VALUE"""),22.75)</f>
        <v>22.75</v>
      </c>
      <c r="E28" s="141">
        <f ca="1">IFERROR(__xludf.DUMMYFUNCTION("""COMPUTED_VALUE"""),22.44)</f>
        <v>22.44</v>
      </c>
      <c r="F28" s="141">
        <f ca="1">IFERROR(__xludf.DUMMYFUNCTION("""COMPUTED_VALUE"""),22.64)</f>
        <v>22.64</v>
      </c>
      <c r="G28" s="143">
        <f ca="1">IFERROR(__xludf.DUMMYFUNCTION("""COMPUTED_VALUE"""),1038818)</f>
        <v>1038818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IFERROR(__xludf.DUMMYFUNCTION("""COMPUTED_VALUE"""),22.45)</f>
        <v>22.45</v>
      </c>
      <c r="D29" s="141">
        <f ca="1">IFERROR(__xludf.DUMMYFUNCTION("""COMPUTED_VALUE"""),22.52)</f>
        <v>22.52</v>
      </c>
      <c r="E29" s="141">
        <f ca="1">IFERROR(__xludf.DUMMYFUNCTION("""COMPUTED_VALUE"""),22.36)</f>
        <v>22.36</v>
      </c>
      <c r="F29" s="141">
        <f ca="1">IFERROR(__xludf.DUMMYFUNCTION("""COMPUTED_VALUE"""),22.45)</f>
        <v>22.45</v>
      </c>
      <c r="G29" s="143">
        <f ca="1">IFERROR(__xludf.DUMMYFUNCTION("""COMPUTED_VALUE"""),656768)</f>
        <v>656768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IFERROR(__xludf.DUMMYFUNCTION("""COMPUTED_VALUE"""),22.45)</f>
        <v>22.45</v>
      </c>
      <c r="D30" s="141">
        <f ca="1">IFERROR(__xludf.DUMMYFUNCTION("""COMPUTED_VALUE"""),22.45)</f>
        <v>22.45</v>
      </c>
      <c r="E30" s="141">
        <f ca="1">IFERROR(__xludf.DUMMYFUNCTION("""COMPUTED_VALUE"""),22.06)</f>
        <v>22.06</v>
      </c>
      <c r="F30" s="141">
        <f ca="1">IFERROR(__xludf.DUMMYFUNCTION("""COMPUTED_VALUE"""),22.09)</f>
        <v>22.09</v>
      </c>
      <c r="G30" s="143">
        <f ca="1">IFERROR(__xludf.DUMMYFUNCTION("""COMPUTED_VALUE"""),505937)</f>
        <v>505937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IFERROR(__xludf.DUMMYFUNCTION("""COMPUTED_VALUE"""),21.94)</f>
        <v>21.94</v>
      </c>
      <c r="D31" s="141">
        <f ca="1">IFERROR(__xludf.DUMMYFUNCTION("""COMPUTED_VALUE"""),22.12)</f>
        <v>22.12</v>
      </c>
      <c r="E31" s="141">
        <f ca="1">IFERROR(__xludf.DUMMYFUNCTION("""COMPUTED_VALUE"""),21.91)</f>
        <v>21.91</v>
      </c>
      <c r="F31" s="141">
        <f ca="1">IFERROR(__xludf.DUMMYFUNCTION("""COMPUTED_VALUE"""),22.01)</f>
        <v>22.01</v>
      </c>
      <c r="G31" s="143">
        <f ca="1">IFERROR(__xludf.DUMMYFUNCTION("""COMPUTED_VALUE"""),558276)</f>
        <v>558276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IFERROR(__xludf.DUMMYFUNCTION("""COMPUTED_VALUE"""),21.94)</f>
        <v>21.94</v>
      </c>
      <c r="D32" s="141">
        <f ca="1">IFERROR(__xludf.DUMMYFUNCTION("""COMPUTED_VALUE"""),21.96)</f>
        <v>21.96</v>
      </c>
      <c r="E32" s="141">
        <f ca="1">IFERROR(__xludf.DUMMYFUNCTION("""COMPUTED_VALUE"""),21.82)</f>
        <v>21.82</v>
      </c>
      <c r="F32" s="141">
        <f ca="1">IFERROR(__xludf.DUMMYFUNCTION("""COMPUTED_VALUE"""),21.82)</f>
        <v>21.82</v>
      </c>
      <c r="G32" s="143">
        <f ca="1">IFERROR(__xludf.DUMMYFUNCTION("""COMPUTED_VALUE"""),225270)</f>
        <v>225270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IFERROR(__xludf.DUMMYFUNCTION("""COMPUTED_VALUE"""),22.04)</f>
        <v>22.04</v>
      </c>
      <c r="D33" s="141">
        <f ca="1">IFERROR(__xludf.DUMMYFUNCTION("""COMPUTED_VALUE"""),22.12)</f>
        <v>22.12</v>
      </c>
      <c r="E33" s="141">
        <f ca="1">IFERROR(__xludf.DUMMYFUNCTION("""COMPUTED_VALUE"""),21.72)</f>
        <v>21.72</v>
      </c>
      <c r="F33" s="141">
        <f ca="1">IFERROR(__xludf.DUMMYFUNCTION("""COMPUTED_VALUE"""),21.77)</f>
        <v>21.77</v>
      </c>
      <c r="G33" s="143">
        <f ca="1">IFERROR(__xludf.DUMMYFUNCTION("""COMPUTED_VALUE"""),530074)</f>
        <v>530074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IFERROR(__xludf.DUMMYFUNCTION("""COMPUTED_VALUE"""),21.89)</f>
        <v>21.89</v>
      </c>
      <c r="D34" s="141">
        <f ca="1">IFERROR(__xludf.DUMMYFUNCTION("""COMPUTED_VALUE"""),21.96)</f>
        <v>21.96</v>
      </c>
      <c r="E34" s="141">
        <f ca="1">IFERROR(__xludf.DUMMYFUNCTION("""COMPUTED_VALUE"""),21.83)</f>
        <v>21.83</v>
      </c>
      <c r="F34" s="141">
        <f ca="1">IFERROR(__xludf.DUMMYFUNCTION("""COMPUTED_VALUE"""),21.84)</f>
        <v>21.84</v>
      </c>
      <c r="G34" s="143">
        <f ca="1">IFERROR(__xludf.DUMMYFUNCTION("""COMPUTED_VALUE"""),332836)</f>
        <v>332836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IFERROR(__xludf.DUMMYFUNCTION("""COMPUTED_VALUE"""),21.91)</f>
        <v>21.91</v>
      </c>
      <c r="D35" s="141">
        <f ca="1">IFERROR(__xludf.DUMMYFUNCTION("""COMPUTED_VALUE"""),22)</f>
        <v>22</v>
      </c>
      <c r="E35" s="141">
        <f ca="1">IFERROR(__xludf.DUMMYFUNCTION("""COMPUTED_VALUE"""),21.76)</f>
        <v>21.76</v>
      </c>
      <c r="F35" s="141">
        <f ca="1">IFERROR(__xludf.DUMMYFUNCTION("""COMPUTED_VALUE"""),21.84)</f>
        <v>21.84</v>
      </c>
      <c r="G35" s="143">
        <f ca="1">IFERROR(__xludf.DUMMYFUNCTION("""COMPUTED_VALUE"""),536670)</f>
        <v>536670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IFERROR(__xludf.DUMMYFUNCTION("""COMPUTED_VALUE"""),21.84)</f>
        <v>21.84</v>
      </c>
      <c r="D36" s="141">
        <f ca="1">IFERROR(__xludf.DUMMYFUNCTION("""COMPUTED_VALUE"""),21.91)</f>
        <v>21.91</v>
      </c>
      <c r="E36" s="141">
        <f ca="1">IFERROR(__xludf.DUMMYFUNCTION("""COMPUTED_VALUE"""),21.79)</f>
        <v>21.79</v>
      </c>
      <c r="F36" s="141">
        <f ca="1">IFERROR(__xludf.DUMMYFUNCTION("""COMPUTED_VALUE"""),21.87)</f>
        <v>21.87</v>
      </c>
      <c r="G36" s="143">
        <f ca="1">IFERROR(__xludf.DUMMYFUNCTION("""COMPUTED_VALUE"""),220765)</f>
        <v>220765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IFERROR(__xludf.DUMMYFUNCTION("""COMPUTED_VALUE"""),21.82)</f>
        <v>21.82</v>
      </c>
      <c r="D37" s="141">
        <f ca="1">IFERROR(__xludf.DUMMYFUNCTION("""COMPUTED_VALUE"""),21.83)</f>
        <v>21.83</v>
      </c>
      <c r="E37" s="141">
        <f ca="1">IFERROR(__xludf.DUMMYFUNCTION("""COMPUTED_VALUE"""),21.76)</f>
        <v>21.76</v>
      </c>
      <c r="F37" s="141">
        <f ca="1">IFERROR(__xludf.DUMMYFUNCTION("""COMPUTED_VALUE"""),21.78)</f>
        <v>21.78</v>
      </c>
      <c r="G37" s="143">
        <f ca="1">IFERROR(__xludf.DUMMYFUNCTION("""COMPUTED_VALUE"""),201064)</f>
        <v>201064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IFERROR(__xludf.DUMMYFUNCTION("""COMPUTED_VALUE"""),21.81)</f>
        <v>21.81</v>
      </c>
      <c r="D38" s="141">
        <f ca="1">IFERROR(__xludf.DUMMYFUNCTION("""COMPUTED_VALUE"""),21.82)</f>
        <v>21.82</v>
      </c>
      <c r="E38" s="141">
        <f ca="1">IFERROR(__xludf.DUMMYFUNCTION("""COMPUTED_VALUE"""),21.62)</f>
        <v>21.62</v>
      </c>
      <c r="F38" s="141">
        <f ca="1">IFERROR(__xludf.DUMMYFUNCTION("""COMPUTED_VALUE"""),21.75)</f>
        <v>21.75</v>
      </c>
      <c r="G38" s="143">
        <f ca="1">IFERROR(__xludf.DUMMYFUNCTION("""COMPUTED_VALUE"""),527123)</f>
        <v>527123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IFERROR(__xludf.DUMMYFUNCTION("""COMPUTED_VALUE"""),21.79)</f>
        <v>21.79</v>
      </c>
      <c r="D39" s="141">
        <f ca="1">IFERROR(__xludf.DUMMYFUNCTION("""COMPUTED_VALUE"""),21.85)</f>
        <v>21.85</v>
      </c>
      <c r="E39" s="141">
        <f ca="1">IFERROR(__xludf.DUMMYFUNCTION("""COMPUTED_VALUE"""),21.73)</f>
        <v>21.73</v>
      </c>
      <c r="F39" s="141">
        <f ca="1">IFERROR(__xludf.DUMMYFUNCTION("""COMPUTED_VALUE"""),21.84)</f>
        <v>21.84</v>
      </c>
      <c r="G39" s="143">
        <f ca="1">IFERROR(__xludf.DUMMYFUNCTION("""COMPUTED_VALUE"""),394348)</f>
        <v>394348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IFERROR(__xludf.DUMMYFUNCTION("""COMPUTED_VALUE"""),21.71)</f>
        <v>21.71</v>
      </c>
      <c r="D40" s="141">
        <f ca="1">IFERROR(__xludf.DUMMYFUNCTION("""COMPUTED_VALUE"""),21.83)</f>
        <v>21.83</v>
      </c>
      <c r="E40" s="141">
        <f ca="1">IFERROR(__xludf.DUMMYFUNCTION("""COMPUTED_VALUE"""),21.71)</f>
        <v>21.71</v>
      </c>
      <c r="F40" s="141">
        <f ca="1">IFERROR(__xludf.DUMMYFUNCTION("""COMPUTED_VALUE"""),21.77)</f>
        <v>21.77</v>
      </c>
      <c r="G40" s="143">
        <f ca="1">IFERROR(__xludf.DUMMYFUNCTION("""COMPUTED_VALUE"""),192706)</f>
        <v>192706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IFERROR(__xludf.DUMMYFUNCTION("""COMPUTED_VALUE"""),21.65)</f>
        <v>21.65</v>
      </c>
      <c r="D41" s="141">
        <f ca="1">IFERROR(__xludf.DUMMYFUNCTION("""COMPUTED_VALUE"""),21.86)</f>
        <v>21.86</v>
      </c>
      <c r="E41" s="141">
        <f ca="1">IFERROR(__xludf.DUMMYFUNCTION("""COMPUTED_VALUE"""),21.61)</f>
        <v>21.61</v>
      </c>
      <c r="F41" s="141">
        <f ca="1">IFERROR(__xludf.DUMMYFUNCTION("""COMPUTED_VALUE"""),21.79)</f>
        <v>21.79</v>
      </c>
      <c r="G41" s="143">
        <f ca="1">IFERROR(__xludf.DUMMYFUNCTION("""COMPUTED_VALUE"""),658691)</f>
        <v>658691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IFERROR(__xludf.DUMMYFUNCTION("""COMPUTED_VALUE"""),21.7)</f>
        <v>21.7</v>
      </c>
      <c r="D42" s="141">
        <f ca="1">IFERROR(__xludf.DUMMYFUNCTION("""COMPUTED_VALUE"""),21.71)</f>
        <v>21.71</v>
      </c>
      <c r="E42" s="141">
        <f ca="1">IFERROR(__xludf.DUMMYFUNCTION("""COMPUTED_VALUE"""),21.59)</f>
        <v>21.59</v>
      </c>
      <c r="F42" s="141">
        <f ca="1">IFERROR(__xludf.DUMMYFUNCTION("""COMPUTED_VALUE"""),21.62)</f>
        <v>21.62</v>
      </c>
      <c r="G42" s="143">
        <f ca="1">IFERROR(__xludf.DUMMYFUNCTION("""COMPUTED_VALUE"""),379662)</f>
        <v>379662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IFERROR(__xludf.DUMMYFUNCTION("""COMPUTED_VALUE"""),21.77)</f>
        <v>21.77</v>
      </c>
      <c r="D43" s="141">
        <f ca="1">IFERROR(__xludf.DUMMYFUNCTION("""COMPUTED_VALUE"""),21.87)</f>
        <v>21.87</v>
      </c>
      <c r="E43" s="141">
        <f ca="1">IFERROR(__xludf.DUMMYFUNCTION("""COMPUTED_VALUE"""),21.75)</f>
        <v>21.75</v>
      </c>
      <c r="F43" s="141">
        <f ca="1">IFERROR(__xludf.DUMMYFUNCTION("""COMPUTED_VALUE"""),21.86)</f>
        <v>21.86</v>
      </c>
      <c r="G43" s="143">
        <f ca="1">IFERROR(__xludf.DUMMYFUNCTION("""COMPUTED_VALUE"""),444106)</f>
        <v>444106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IFERROR(__xludf.DUMMYFUNCTION("""COMPUTED_VALUE"""),21.86)</f>
        <v>21.86</v>
      </c>
      <c r="D44" s="141">
        <f ca="1">IFERROR(__xludf.DUMMYFUNCTION("""COMPUTED_VALUE"""),22.02)</f>
        <v>22.02</v>
      </c>
      <c r="E44" s="141">
        <f ca="1">IFERROR(__xludf.DUMMYFUNCTION("""COMPUTED_VALUE"""),21.83)</f>
        <v>21.83</v>
      </c>
      <c r="F44" s="141">
        <f ca="1">IFERROR(__xludf.DUMMYFUNCTION("""COMPUTED_VALUE"""),21.99)</f>
        <v>21.99</v>
      </c>
      <c r="G44" s="143">
        <f ca="1">IFERROR(__xludf.DUMMYFUNCTION("""COMPUTED_VALUE"""),545995)</f>
        <v>545995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IFERROR(__xludf.DUMMYFUNCTION("""COMPUTED_VALUE"""),21.97)</f>
        <v>21.97</v>
      </c>
      <c r="D45" s="141">
        <f ca="1">IFERROR(__xludf.DUMMYFUNCTION("""COMPUTED_VALUE"""),22.12)</f>
        <v>22.12</v>
      </c>
      <c r="E45" s="141">
        <f ca="1">IFERROR(__xludf.DUMMYFUNCTION("""COMPUTED_VALUE"""),21.97)</f>
        <v>21.97</v>
      </c>
      <c r="F45" s="141">
        <f ca="1">IFERROR(__xludf.DUMMYFUNCTION("""COMPUTED_VALUE"""),22.08)</f>
        <v>22.08</v>
      </c>
      <c r="G45" s="143">
        <f ca="1">IFERROR(__xludf.DUMMYFUNCTION("""COMPUTED_VALUE"""),252190)</f>
        <v>252190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IFERROR(__xludf.DUMMYFUNCTION("""COMPUTED_VALUE"""),22.13)</f>
        <v>22.13</v>
      </c>
      <c r="D46" s="141">
        <f ca="1">IFERROR(__xludf.DUMMYFUNCTION("""COMPUTED_VALUE"""),22.26)</f>
        <v>22.26</v>
      </c>
      <c r="E46" s="141">
        <f ca="1">IFERROR(__xludf.DUMMYFUNCTION("""COMPUTED_VALUE"""),22.11)</f>
        <v>22.11</v>
      </c>
      <c r="F46" s="141">
        <f ca="1">IFERROR(__xludf.DUMMYFUNCTION("""COMPUTED_VALUE"""),22.19)</f>
        <v>22.19</v>
      </c>
      <c r="G46" s="143">
        <f ca="1">IFERROR(__xludf.DUMMYFUNCTION("""COMPUTED_VALUE"""),162394)</f>
        <v>162394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IFERROR(__xludf.DUMMYFUNCTION("""COMPUTED_VALUE"""),22.05)</f>
        <v>22.05</v>
      </c>
      <c r="D47" s="141">
        <f ca="1">IFERROR(__xludf.DUMMYFUNCTION("""COMPUTED_VALUE"""),22.12)</f>
        <v>22.12</v>
      </c>
      <c r="E47" s="141">
        <f ca="1">IFERROR(__xludf.DUMMYFUNCTION("""COMPUTED_VALUE"""),21.99)</f>
        <v>21.99</v>
      </c>
      <c r="F47" s="141">
        <f ca="1">IFERROR(__xludf.DUMMYFUNCTION("""COMPUTED_VALUE"""),22.02)</f>
        <v>22.02</v>
      </c>
      <c r="G47" s="143">
        <f ca="1">IFERROR(__xludf.DUMMYFUNCTION("""COMPUTED_VALUE"""),236283)</f>
        <v>236283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IFERROR(__xludf.DUMMYFUNCTION("""COMPUTED_VALUE"""),22)</f>
        <v>22</v>
      </c>
      <c r="D48" s="141">
        <f ca="1">IFERROR(__xludf.DUMMYFUNCTION("""COMPUTED_VALUE"""),22.1)</f>
        <v>22.1</v>
      </c>
      <c r="E48" s="141">
        <f ca="1">IFERROR(__xludf.DUMMYFUNCTION("""COMPUTED_VALUE"""),21.98)</f>
        <v>21.98</v>
      </c>
      <c r="F48" s="141">
        <f ca="1">IFERROR(__xludf.DUMMYFUNCTION("""COMPUTED_VALUE"""),22.04)</f>
        <v>22.04</v>
      </c>
      <c r="G48" s="143">
        <f ca="1">IFERROR(__xludf.DUMMYFUNCTION("""COMPUTED_VALUE"""),565613)</f>
        <v>565613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IFERROR(__xludf.DUMMYFUNCTION("""COMPUTED_VALUE"""),22.06)</f>
        <v>22.06</v>
      </c>
      <c r="D49" s="141">
        <f ca="1">IFERROR(__xludf.DUMMYFUNCTION("""COMPUTED_VALUE"""),22.25)</f>
        <v>22.25</v>
      </c>
      <c r="E49" s="141">
        <f ca="1">IFERROR(__xludf.DUMMYFUNCTION("""COMPUTED_VALUE"""),21.99)</f>
        <v>21.99</v>
      </c>
      <c r="F49" s="141">
        <f ca="1">IFERROR(__xludf.DUMMYFUNCTION("""COMPUTED_VALUE"""),22.18)</f>
        <v>22.18</v>
      </c>
      <c r="G49" s="143">
        <f ca="1">IFERROR(__xludf.DUMMYFUNCTION("""COMPUTED_VALUE"""),146967)</f>
        <v>146967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IFERROR(__xludf.DUMMYFUNCTION("""COMPUTED_VALUE"""),22.23)</f>
        <v>22.23</v>
      </c>
      <c r="D50" s="141">
        <f ca="1">IFERROR(__xludf.DUMMYFUNCTION("""COMPUTED_VALUE"""),22.23)</f>
        <v>22.23</v>
      </c>
      <c r="E50" s="141">
        <f ca="1">IFERROR(__xludf.DUMMYFUNCTION("""COMPUTED_VALUE"""),22.15)</f>
        <v>22.15</v>
      </c>
      <c r="F50" s="141">
        <f ca="1">IFERROR(__xludf.DUMMYFUNCTION("""COMPUTED_VALUE"""),22.21)</f>
        <v>22.21</v>
      </c>
      <c r="G50" s="143">
        <f ca="1">IFERROR(__xludf.DUMMYFUNCTION("""COMPUTED_VALUE"""),447521)</f>
        <v>447521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IFERROR(__xludf.DUMMYFUNCTION("""COMPUTED_VALUE"""),22.42)</f>
        <v>22.42</v>
      </c>
      <c r="D51" s="141">
        <f ca="1">IFERROR(__xludf.DUMMYFUNCTION("""COMPUTED_VALUE"""),22.59)</f>
        <v>22.59</v>
      </c>
      <c r="E51" s="141">
        <f ca="1">IFERROR(__xludf.DUMMYFUNCTION("""COMPUTED_VALUE"""),22.34)</f>
        <v>22.34</v>
      </c>
      <c r="F51" s="141">
        <f ca="1">IFERROR(__xludf.DUMMYFUNCTION("""COMPUTED_VALUE"""),22.57)</f>
        <v>22.57</v>
      </c>
      <c r="G51" s="143">
        <f ca="1">IFERROR(__xludf.DUMMYFUNCTION("""COMPUTED_VALUE"""),630083)</f>
        <v>630083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IFERROR(__xludf.DUMMYFUNCTION("""COMPUTED_VALUE"""),22.5)</f>
        <v>22.5</v>
      </c>
      <c r="D52" s="141">
        <f ca="1">IFERROR(__xludf.DUMMYFUNCTION("""COMPUTED_VALUE"""),22.52)</f>
        <v>22.52</v>
      </c>
      <c r="E52" s="141">
        <f ca="1">IFERROR(__xludf.DUMMYFUNCTION("""COMPUTED_VALUE"""),22.34)</f>
        <v>22.34</v>
      </c>
      <c r="F52" s="141">
        <f ca="1">IFERROR(__xludf.DUMMYFUNCTION("""COMPUTED_VALUE"""),22.37)</f>
        <v>22.37</v>
      </c>
      <c r="G52" s="143">
        <f ca="1">IFERROR(__xludf.DUMMYFUNCTION("""COMPUTED_VALUE"""),820084)</f>
        <v>820084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IFERROR(__xludf.DUMMYFUNCTION("""COMPUTED_VALUE"""),22.2)</f>
        <v>22.2</v>
      </c>
      <c r="D53" s="141">
        <f ca="1">IFERROR(__xludf.DUMMYFUNCTION("""COMPUTED_VALUE"""),22.25)</f>
        <v>22.25</v>
      </c>
      <c r="E53" s="141">
        <f ca="1">IFERROR(__xludf.DUMMYFUNCTION("""COMPUTED_VALUE"""),22.14)</f>
        <v>22.14</v>
      </c>
      <c r="F53" s="141">
        <f ca="1">IFERROR(__xludf.DUMMYFUNCTION("""COMPUTED_VALUE"""),22.21)</f>
        <v>22.21</v>
      </c>
      <c r="G53" s="143">
        <f ca="1">IFERROR(__xludf.DUMMYFUNCTION("""COMPUTED_VALUE"""),414410)</f>
        <v>414410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IFERROR(__xludf.DUMMYFUNCTION("""COMPUTED_VALUE"""),22.14)</f>
        <v>22.14</v>
      </c>
      <c r="D54" s="141">
        <f ca="1">IFERROR(__xludf.DUMMYFUNCTION("""COMPUTED_VALUE"""),22.14)</f>
        <v>22.14</v>
      </c>
      <c r="E54" s="141">
        <f ca="1">IFERROR(__xludf.DUMMYFUNCTION("""COMPUTED_VALUE"""),21.97)</f>
        <v>21.97</v>
      </c>
      <c r="F54" s="141">
        <f ca="1">IFERROR(__xludf.DUMMYFUNCTION("""COMPUTED_VALUE"""),22.03)</f>
        <v>22.03</v>
      </c>
      <c r="G54" s="143">
        <f ca="1">IFERROR(__xludf.DUMMYFUNCTION("""COMPUTED_VALUE"""),419071)</f>
        <v>419071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IFERROR(__xludf.DUMMYFUNCTION("""COMPUTED_VALUE"""),22.2)</f>
        <v>22.2</v>
      </c>
      <c r="D55" s="141">
        <f ca="1">IFERROR(__xludf.DUMMYFUNCTION("""COMPUTED_VALUE"""),22.21)</f>
        <v>22.21</v>
      </c>
      <c r="E55" s="141">
        <f ca="1">IFERROR(__xludf.DUMMYFUNCTION("""COMPUTED_VALUE"""),22.08)</f>
        <v>22.08</v>
      </c>
      <c r="F55" s="141">
        <f ca="1">IFERROR(__xludf.DUMMYFUNCTION("""COMPUTED_VALUE"""),22.18)</f>
        <v>22.18</v>
      </c>
      <c r="G55" s="143">
        <f ca="1">IFERROR(__xludf.DUMMYFUNCTION("""COMPUTED_VALUE"""),316634)</f>
        <v>316634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IFERROR(__xludf.DUMMYFUNCTION("""COMPUTED_VALUE"""),22.32)</f>
        <v>22.32</v>
      </c>
      <c r="D56" s="141">
        <f ca="1">IFERROR(__xludf.DUMMYFUNCTION("""COMPUTED_VALUE"""),22.38)</f>
        <v>22.38</v>
      </c>
      <c r="E56" s="141">
        <f ca="1">IFERROR(__xludf.DUMMYFUNCTION("""COMPUTED_VALUE"""),22.23)</f>
        <v>22.23</v>
      </c>
      <c r="F56" s="141">
        <f ca="1">IFERROR(__xludf.DUMMYFUNCTION("""COMPUTED_VALUE"""),22.24)</f>
        <v>22.24</v>
      </c>
      <c r="G56" s="143">
        <f ca="1">IFERROR(__xludf.DUMMYFUNCTION("""COMPUTED_VALUE"""),252999)</f>
        <v>252999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IFERROR(__xludf.DUMMYFUNCTION("""COMPUTED_VALUE"""),22.28)</f>
        <v>22.28</v>
      </c>
      <c r="D57" s="141">
        <f ca="1">IFERROR(__xludf.DUMMYFUNCTION("""COMPUTED_VALUE"""),22.42)</f>
        <v>22.42</v>
      </c>
      <c r="E57" s="141">
        <f ca="1">IFERROR(__xludf.DUMMYFUNCTION("""COMPUTED_VALUE"""),22.27)</f>
        <v>22.27</v>
      </c>
      <c r="F57" s="141">
        <f ca="1">IFERROR(__xludf.DUMMYFUNCTION("""COMPUTED_VALUE"""),22.39)</f>
        <v>22.39</v>
      </c>
      <c r="G57" s="143">
        <f ca="1">IFERROR(__xludf.DUMMYFUNCTION("""COMPUTED_VALUE"""),282107)</f>
        <v>282107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IFERROR(__xludf.DUMMYFUNCTION("""COMPUTED_VALUE"""),22.18)</f>
        <v>22.18</v>
      </c>
      <c r="D58" s="141">
        <f ca="1">IFERROR(__xludf.DUMMYFUNCTION("""COMPUTED_VALUE"""),22.28)</f>
        <v>22.28</v>
      </c>
      <c r="E58" s="141">
        <f ca="1">IFERROR(__xludf.DUMMYFUNCTION("""COMPUTED_VALUE"""),22.15)</f>
        <v>22.15</v>
      </c>
      <c r="F58" s="141">
        <f ca="1">IFERROR(__xludf.DUMMYFUNCTION("""COMPUTED_VALUE"""),22.22)</f>
        <v>22.22</v>
      </c>
      <c r="G58" s="143">
        <f ca="1">IFERROR(__xludf.DUMMYFUNCTION("""COMPUTED_VALUE"""),251090)</f>
        <v>251090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IFERROR(__xludf.DUMMYFUNCTION("""COMPUTED_VALUE"""),22.39)</f>
        <v>22.39</v>
      </c>
      <c r="D59" s="141">
        <f ca="1">IFERROR(__xludf.DUMMYFUNCTION("""COMPUTED_VALUE"""),22.46)</f>
        <v>22.46</v>
      </c>
      <c r="E59" s="141">
        <f ca="1">IFERROR(__xludf.DUMMYFUNCTION("""COMPUTED_VALUE"""),22.33)</f>
        <v>22.33</v>
      </c>
      <c r="F59" s="141">
        <f ca="1">IFERROR(__xludf.DUMMYFUNCTION("""COMPUTED_VALUE"""),22.35)</f>
        <v>22.35</v>
      </c>
      <c r="G59" s="143">
        <f ca="1">IFERROR(__xludf.DUMMYFUNCTION("""COMPUTED_VALUE"""),300711)</f>
        <v>300711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IFERROR(__xludf.DUMMYFUNCTION("""COMPUTED_VALUE"""),22.5)</f>
        <v>22.5</v>
      </c>
      <c r="D60" s="141">
        <f ca="1">IFERROR(__xludf.DUMMYFUNCTION("""COMPUTED_VALUE"""),22.57)</f>
        <v>22.57</v>
      </c>
      <c r="E60" s="141">
        <f ca="1">IFERROR(__xludf.DUMMYFUNCTION("""COMPUTED_VALUE"""),22.48)</f>
        <v>22.48</v>
      </c>
      <c r="F60" s="141">
        <f ca="1">IFERROR(__xludf.DUMMYFUNCTION("""COMPUTED_VALUE"""),22.55)</f>
        <v>22.55</v>
      </c>
      <c r="G60" s="143">
        <f ca="1">IFERROR(__xludf.DUMMYFUNCTION("""COMPUTED_VALUE"""),267021)</f>
        <v>267021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IFERROR(__xludf.DUMMYFUNCTION("""COMPUTED_VALUE"""),22.69)</f>
        <v>22.69</v>
      </c>
      <c r="D61" s="141">
        <f ca="1">IFERROR(__xludf.DUMMYFUNCTION("""COMPUTED_VALUE"""),22.79)</f>
        <v>22.79</v>
      </c>
      <c r="E61" s="141">
        <f ca="1">IFERROR(__xludf.DUMMYFUNCTION("""COMPUTED_VALUE"""),22.67)</f>
        <v>22.67</v>
      </c>
      <c r="F61" s="141">
        <f ca="1">IFERROR(__xludf.DUMMYFUNCTION("""COMPUTED_VALUE"""),22.78)</f>
        <v>22.78</v>
      </c>
      <c r="G61" s="143">
        <f ca="1">IFERROR(__xludf.DUMMYFUNCTION("""COMPUTED_VALUE"""),195779)</f>
        <v>195779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IFERROR(__xludf.DUMMYFUNCTION("""COMPUTED_VALUE"""),22.71)</f>
        <v>22.71</v>
      </c>
      <c r="D62" s="141">
        <f ca="1">IFERROR(__xludf.DUMMYFUNCTION("""COMPUTED_VALUE"""),22.74)</f>
        <v>22.74</v>
      </c>
      <c r="E62" s="141">
        <f ca="1">IFERROR(__xludf.DUMMYFUNCTION("""COMPUTED_VALUE"""),22.5)</f>
        <v>22.5</v>
      </c>
      <c r="F62" s="141">
        <f ca="1">IFERROR(__xludf.DUMMYFUNCTION("""COMPUTED_VALUE"""),22.54)</f>
        <v>22.54</v>
      </c>
      <c r="G62" s="143">
        <f ca="1">IFERROR(__xludf.DUMMYFUNCTION("""COMPUTED_VALUE"""),448115)</f>
        <v>448115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IFERROR(__xludf.DUMMYFUNCTION("""COMPUTED_VALUE"""),22.55)</f>
        <v>22.55</v>
      </c>
      <c r="D63" s="141">
        <f ca="1">IFERROR(__xludf.DUMMYFUNCTION("""COMPUTED_VALUE"""),22.58)</f>
        <v>22.58</v>
      </c>
      <c r="E63" s="141">
        <f ca="1">IFERROR(__xludf.DUMMYFUNCTION("""COMPUTED_VALUE"""),22.39)</f>
        <v>22.39</v>
      </c>
      <c r="F63" s="141">
        <f ca="1">IFERROR(__xludf.DUMMYFUNCTION("""COMPUTED_VALUE"""),22.44)</f>
        <v>22.44</v>
      </c>
      <c r="G63" s="143">
        <f ca="1">IFERROR(__xludf.DUMMYFUNCTION("""COMPUTED_VALUE"""),190662)</f>
        <v>190662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IFERROR(__xludf.DUMMYFUNCTION("""COMPUTED_VALUE"""),22.35)</f>
        <v>22.35</v>
      </c>
      <c r="D64" s="141">
        <f ca="1">IFERROR(__xludf.DUMMYFUNCTION("""COMPUTED_VALUE"""),22.41)</f>
        <v>22.41</v>
      </c>
      <c r="E64" s="141">
        <f ca="1">IFERROR(__xludf.DUMMYFUNCTION("""COMPUTED_VALUE"""),22.25)</f>
        <v>22.25</v>
      </c>
      <c r="F64" s="141">
        <f ca="1">IFERROR(__xludf.DUMMYFUNCTION("""COMPUTED_VALUE"""),22.26)</f>
        <v>22.26</v>
      </c>
      <c r="G64" s="143">
        <f ca="1">IFERROR(__xludf.DUMMYFUNCTION("""COMPUTED_VALUE"""),205197)</f>
        <v>205197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IFERROR(__xludf.DUMMYFUNCTION("""COMPUTED_VALUE"""),22.17)</f>
        <v>22.17</v>
      </c>
      <c r="D65" s="141">
        <f ca="1">IFERROR(__xludf.DUMMYFUNCTION("""COMPUTED_VALUE"""),22.27)</f>
        <v>22.27</v>
      </c>
      <c r="E65" s="141">
        <f ca="1">IFERROR(__xludf.DUMMYFUNCTION("""COMPUTED_VALUE"""),22.16)</f>
        <v>22.16</v>
      </c>
      <c r="F65" s="141">
        <f ca="1">IFERROR(__xludf.DUMMYFUNCTION("""COMPUTED_VALUE"""),22.26)</f>
        <v>22.26</v>
      </c>
      <c r="G65" s="143">
        <f ca="1">IFERROR(__xludf.DUMMYFUNCTION("""COMPUTED_VALUE"""),325682)</f>
        <v>325682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IFERROR(__xludf.DUMMYFUNCTION("""COMPUTED_VALUE"""),22.34)</f>
        <v>22.34</v>
      </c>
      <c r="D66" s="141">
        <f ca="1">IFERROR(__xludf.DUMMYFUNCTION("""COMPUTED_VALUE"""),22.5)</f>
        <v>22.5</v>
      </c>
      <c r="E66" s="141">
        <f ca="1">IFERROR(__xludf.DUMMYFUNCTION("""COMPUTED_VALUE"""),22.34)</f>
        <v>22.34</v>
      </c>
      <c r="F66" s="141">
        <f ca="1">IFERROR(__xludf.DUMMYFUNCTION("""COMPUTED_VALUE"""),22.49)</f>
        <v>22.49</v>
      </c>
      <c r="G66" s="143">
        <f ca="1">IFERROR(__xludf.DUMMYFUNCTION("""COMPUTED_VALUE"""),318513)</f>
        <v>318513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IFERROR(__xludf.DUMMYFUNCTION("""COMPUTED_VALUE"""),22.56)</f>
        <v>22.56</v>
      </c>
      <c r="D67" s="141">
        <f ca="1">IFERROR(__xludf.DUMMYFUNCTION("""COMPUTED_VALUE"""),22.66)</f>
        <v>22.66</v>
      </c>
      <c r="E67" s="141">
        <f ca="1">IFERROR(__xludf.DUMMYFUNCTION("""COMPUTED_VALUE"""),22.52)</f>
        <v>22.52</v>
      </c>
      <c r="F67" s="141">
        <f ca="1">IFERROR(__xludf.DUMMYFUNCTION("""COMPUTED_VALUE"""),22.64)</f>
        <v>22.64</v>
      </c>
      <c r="G67" s="143">
        <f ca="1">IFERROR(__xludf.DUMMYFUNCTION("""COMPUTED_VALUE"""),309298)</f>
        <v>309298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IFERROR(__xludf.DUMMYFUNCTION("""COMPUTED_VALUE"""),22.65)</f>
        <v>22.65</v>
      </c>
      <c r="D68" s="141">
        <f ca="1">IFERROR(__xludf.DUMMYFUNCTION("""COMPUTED_VALUE"""),22.8)</f>
        <v>22.8</v>
      </c>
      <c r="E68" s="141">
        <f ca="1">IFERROR(__xludf.DUMMYFUNCTION("""COMPUTED_VALUE"""),22.58)</f>
        <v>22.58</v>
      </c>
      <c r="F68" s="141">
        <f ca="1">IFERROR(__xludf.DUMMYFUNCTION("""COMPUTED_VALUE"""),22.8)</f>
        <v>22.8</v>
      </c>
      <c r="G68" s="143">
        <f ca="1">IFERROR(__xludf.DUMMYFUNCTION("""COMPUTED_VALUE"""),1415145)</f>
        <v>1415145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IFERROR(__xludf.DUMMYFUNCTION("""COMPUTED_VALUE"""),22.78)</f>
        <v>22.78</v>
      </c>
      <c r="D69" s="141">
        <f ca="1">IFERROR(__xludf.DUMMYFUNCTION("""COMPUTED_VALUE"""),22.97)</f>
        <v>22.97</v>
      </c>
      <c r="E69" s="141">
        <f ca="1">IFERROR(__xludf.DUMMYFUNCTION("""COMPUTED_VALUE"""),22.76)</f>
        <v>22.76</v>
      </c>
      <c r="F69" s="141">
        <f ca="1">IFERROR(__xludf.DUMMYFUNCTION("""COMPUTED_VALUE"""),22.81)</f>
        <v>22.81</v>
      </c>
      <c r="G69" s="143">
        <f ca="1">IFERROR(__xludf.DUMMYFUNCTION("""COMPUTED_VALUE"""),407553)</f>
        <v>407553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IFERROR(__xludf.DUMMYFUNCTION("""COMPUTED_VALUE"""),22.67)</f>
        <v>22.67</v>
      </c>
      <c r="D70" s="141">
        <f ca="1">IFERROR(__xludf.DUMMYFUNCTION("""COMPUTED_VALUE"""),22.7)</f>
        <v>22.7</v>
      </c>
      <c r="E70" s="141">
        <f ca="1">IFERROR(__xludf.DUMMYFUNCTION("""COMPUTED_VALUE"""),22.59)</f>
        <v>22.59</v>
      </c>
      <c r="F70" s="141">
        <f ca="1">IFERROR(__xludf.DUMMYFUNCTION("""COMPUTED_VALUE"""),22.62)</f>
        <v>22.62</v>
      </c>
      <c r="G70" s="143">
        <f ca="1">IFERROR(__xludf.DUMMYFUNCTION("""COMPUTED_VALUE"""),192203)</f>
        <v>192203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IFERROR(__xludf.DUMMYFUNCTION("""COMPUTED_VALUE"""),22.5)</f>
        <v>22.5</v>
      </c>
      <c r="D71" s="141">
        <f ca="1">IFERROR(__xludf.DUMMYFUNCTION("""COMPUTED_VALUE"""),22.58)</f>
        <v>22.58</v>
      </c>
      <c r="E71" s="141">
        <f ca="1">IFERROR(__xludf.DUMMYFUNCTION("""COMPUTED_VALUE"""),22.47)</f>
        <v>22.47</v>
      </c>
      <c r="F71" s="141">
        <f ca="1">IFERROR(__xludf.DUMMYFUNCTION("""COMPUTED_VALUE"""),22.53)</f>
        <v>22.53</v>
      </c>
      <c r="G71" s="143">
        <f ca="1">IFERROR(__xludf.DUMMYFUNCTION("""COMPUTED_VALUE"""),377478)</f>
        <v>377478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IFERROR(__xludf.DUMMYFUNCTION("""COMPUTED_VALUE"""),22.34)</f>
        <v>22.34</v>
      </c>
      <c r="D72" s="141">
        <f ca="1">IFERROR(__xludf.DUMMYFUNCTION("""COMPUTED_VALUE"""),22.52)</f>
        <v>22.52</v>
      </c>
      <c r="E72" s="141">
        <f ca="1">IFERROR(__xludf.DUMMYFUNCTION("""COMPUTED_VALUE"""),22.3)</f>
        <v>22.3</v>
      </c>
      <c r="F72" s="141">
        <f ca="1">IFERROR(__xludf.DUMMYFUNCTION("""COMPUTED_VALUE"""),22.49)</f>
        <v>22.49</v>
      </c>
      <c r="G72" s="143">
        <f ca="1">IFERROR(__xludf.DUMMYFUNCTION("""COMPUTED_VALUE"""),565696)</f>
        <v>565696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IFERROR(__xludf.DUMMYFUNCTION("""COMPUTED_VALUE"""),22.45)</f>
        <v>22.45</v>
      </c>
      <c r="D73" s="141">
        <f ca="1">IFERROR(__xludf.DUMMYFUNCTION("""COMPUTED_VALUE"""),22.52)</f>
        <v>22.52</v>
      </c>
      <c r="E73" s="141">
        <f ca="1">IFERROR(__xludf.DUMMYFUNCTION("""COMPUTED_VALUE"""),22.28)</f>
        <v>22.28</v>
      </c>
      <c r="F73" s="141">
        <f ca="1">IFERROR(__xludf.DUMMYFUNCTION("""COMPUTED_VALUE"""),22.34)</f>
        <v>22.34</v>
      </c>
      <c r="G73" s="143">
        <f ca="1">IFERROR(__xludf.DUMMYFUNCTION("""COMPUTED_VALUE"""),303270)</f>
        <v>303270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IFERROR(__xludf.DUMMYFUNCTION("""COMPUTED_VALUE"""),22.41)</f>
        <v>22.41</v>
      </c>
      <c r="D74" s="141">
        <f ca="1">IFERROR(__xludf.DUMMYFUNCTION("""COMPUTED_VALUE"""),22.49)</f>
        <v>22.49</v>
      </c>
      <c r="E74" s="141">
        <f ca="1">IFERROR(__xludf.DUMMYFUNCTION("""COMPUTED_VALUE"""),22.39)</f>
        <v>22.39</v>
      </c>
      <c r="F74" s="141">
        <f ca="1">IFERROR(__xludf.DUMMYFUNCTION("""COMPUTED_VALUE"""),22.41)</f>
        <v>22.41</v>
      </c>
      <c r="G74" s="143">
        <f ca="1">IFERROR(__xludf.DUMMYFUNCTION("""COMPUTED_VALUE"""),356980)</f>
        <v>356980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IFERROR(__xludf.DUMMYFUNCTION("""COMPUTED_VALUE"""),22.55)</f>
        <v>22.55</v>
      </c>
      <c r="D75" s="141">
        <f ca="1">IFERROR(__xludf.DUMMYFUNCTION("""COMPUTED_VALUE"""),22.66)</f>
        <v>22.66</v>
      </c>
      <c r="E75" s="141">
        <f ca="1">IFERROR(__xludf.DUMMYFUNCTION("""COMPUTED_VALUE"""),22.55)</f>
        <v>22.55</v>
      </c>
      <c r="F75" s="141">
        <f ca="1">IFERROR(__xludf.DUMMYFUNCTION("""COMPUTED_VALUE"""),22.64)</f>
        <v>22.64</v>
      </c>
      <c r="G75" s="143">
        <f ca="1">IFERROR(__xludf.DUMMYFUNCTION("""COMPUTED_VALUE"""),179613)</f>
        <v>179613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IFERROR(__xludf.DUMMYFUNCTION("""COMPUTED_VALUE"""),22.62)</f>
        <v>22.62</v>
      </c>
      <c r="D76" s="141">
        <f ca="1">IFERROR(__xludf.DUMMYFUNCTION("""COMPUTED_VALUE"""),22.73)</f>
        <v>22.73</v>
      </c>
      <c r="E76" s="141">
        <f ca="1">IFERROR(__xludf.DUMMYFUNCTION("""COMPUTED_VALUE"""),22.57)</f>
        <v>22.57</v>
      </c>
      <c r="F76" s="141">
        <f ca="1">IFERROR(__xludf.DUMMYFUNCTION("""COMPUTED_VALUE"""),22.73)</f>
        <v>22.73</v>
      </c>
      <c r="G76" s="143">
        <f ca="1">IFERROR(__xludf.DUMMYFUNCTION("""COMPUTED_VALUE"""),241765)</f>
        <v>241765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IFERROR(__xludf.DUMMYFUNCTION("""COMPUTED_VALUE"""),22.76)</f>
        <v>22.76</v>
      </c>
      <c r="D77" s="141">
        <f ca="1">IFERROR(__xludf.DUMMYFUNCTION("""COMPUTED_VALUE"""),22.84)</f>
        <v>22.84</v>
      </c>
      <c r="E77" s="141">
        <f ca="1">IFERROR(__xludf.DUMMYFUNCTION("""COMPUTED_VALUE"""),22.73)</f>
        <v>22.73</v>
      </c>
      <c r="F77" s="141">
        <f ca="1">IFERROR(__xludf.DUMMYFUNCTION("""COMPUTED_VALUE"""),22.76)</f>
        <v>22.76</v>
      </c>
      <c r="G77" s="143">
        <f ca="1">IFERROR(__xludf.DUMMYFUNCTION("""COMPUTED_VALUE"""),292551)</f>
        <v>292551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IFERROR(__xludf.DUMMYFUNCTION("""COMPUTED_VALUE"""),22.85)</f>
        <v>22.85</v>
      </c>
      <c r="D78" s="141">
        <f ca="1">IFERROR(__xludf.DUMMYFUNCTION("""COMPUTED_VALUE"""),22.85)</f>
        <v>22.85</v>
      </c>
      <c r="E78" s="141">
        <f ca="1">IFERROR(__xludf.DUMMYFUNCTION("""COMPUTED_VALUE"""),22.52)</f>
        <v>22.52</v>
      </c>
      <c r="F78" s="141">
        <f ca="1">IFERROR(__xludf.DUMMYFUNCTION("""COMPUTED_VALUE"""),22.55)</f>
        <v>22.55</v>
      </c>
      <c r="G78" s="143">
        <f ca="1">IFERROR(__xludf.DUMMYFUNCTION("""COMPUTED_VALUE"""),168419)</f>
        <v>168419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IFERROR(__xludf.DUMMYFUNCTION("""COMPUTED_VALUE"""),22.36)</f>
        <v>22.36</v>
      </c>
      <c r="D79" s="141">
        <f ca="1">IFERROR(__xludf.DUMMYFUNCTION("""COMPUTED_VALUE"""),22.41)</f>
        <v>22.41</v>
      </c>
      <c r="E79" s="141">
        <f ca="1">IFERROR(__xludf.DUMMYFUNCTION("""COMPUTED_VALUE"""),22.04)</f>
        <v>22.04</v>
      </c>
      <c r="F79" s="141">
        <f ca="1">IFERROR(__xludf.DUMMYFUNCTION("""COMPUTED_VALUE"""),22.07)</f>
        <v>22.07</v>
      </c>
      <c r="G79" s="143">
        <f ca="1">IFERROR(__xludf.DUMMYFUNCTION("""COMPUTED_VALUE"""),464290)</f>
        <v>464290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IFERROR(__xludf.DUMMYFUNCTION("""COMPUTED_VALUE"""),22.3)</f>
        <v>22.3</v>
      </c>
      <c r="D80" s="141">
        <f ca="1">IFERROR(__xludf.DUMMYFUNCTION("""COMPUTED_VALUE"""),22.38)</f>
        <v>22.38</v>
      </c>
      <c r="E80" s="141">
        <f ca="1">IFERROR(__xludf.DUMMYFUNCTION("""COMPUTED_VALUE"""),22.23)</f>
        <v>22.23</v>
      </c>
      <c r="F80" s="141">
        <f ca="1">IFERROR(__xludf.DUMMYFUNCTION("""COMPUTED_VALUE"""),22.35)</f>
        <v>22.35</v>
      </c>
      <c r="G80" s="143">
        <f ca="1">IFERROR(__xludf.DUMMYFUNCTION("""COMPUTED_VALUE"""),282742)</f>
        <v>282742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IFERROR(__xludf.DUMMYFUNCTION("""COMPUTED_VALUE"""),22.06)</f>
        <v>22.06</v>
      </c>
      <c r="D81" s="141">
        <f ca="1">IFERROR(__xludf.DUMMYFUNCTION("""COMPUTED_VALUE"""),22.2)</f>
        <v>22.2</v>
      </c>
      <c r="E81" s="141">
        <f ca="1">IFERROR(__xludf.DUMMYFUNCTION("""COMPUTED_VALUE"""),22.02)</f>
        <v>22.02</v>
      </c>
      <c r="F81" s="141">
        <f ca="1">IFERROR(__xludf.DUMMYFUNCTION("""COMPUTED_VALUE"""),22.1)</f>
        <v>22.1</v>
      </c>
      <c r="G81" s="143">
        <f ca="1">IFERROR(__xludf.DUMMYFUNCTION("""COMPUTED_VALUE"""),205307)</f>
        <v>205307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IFERROR(__xludf.DUMMYFUNCTION("""COMPUTED_VALUE"""),22.21)</f>
        <v>22.21</v>
      </c>
      <c r="D82" s="141">
        <f ca="1">IFERROR(__xludf.DUMMYFUNCTION("""COMPUTED_VALUE"""),22.23)</f>
        <v>22.23</v>
      </c>
      <c r="E82" s="141">
        <f ca="1">IFERROR(__xludf.DUMMYFUNCTION("""COMPUTED_VALUE"""),22.1)</f>
        <v>22.1</v>
      </c>
      <c r="F82" s="141">
        <f ca="1">IFERROR(__xludf.DUMMYFUNCTION("""COMPUTED_VALUE"""),22.18)</f>
        <v>22.18</v>
      </c>
      <c r="G82" s="143">
        <f ca="1">IFERROR(__xludf.DUMMYFUNCTION("""COMPUTED_VALUE"""),164516)</f>
        <v>164516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IFERROR(__xludf.DUMMYFUNCTION("""COMPUTED_VALUE"""),22.22)</f>
        <v>22.22</v>
      </c>
      <c r="D83" s="141">
        <f ca="1">IFERROR(__xludf.DUMMYFUNCTION("""COMPUTED_VALUE"""),22.32)</f>
        <v>22.32</v>
      </c>
      <c r="E83" s="141">
        <f ca="1">IFERROR(__xludf.DUMMYFUNCTION("""COMPUTED_VALUE"""),22.09)</f>
        <v>22.09</v>
      </c>
      <c r="F83" s="141">
        <f ca="1">IFERROR(__xludf.DUMMYFUNCTION("""COMPUTED_VALUE"""),22.14)</f>
        <v>22.14</v>
      </c>
      <c r="G83" s="143">
        <f ca="1">IFERROR(__xludf.DUMMYFUNCTION("""COMPUTED_VALUE"""),279238)</f>
        <v>279238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IFERROR(__xludf.DUMMYFUNCTION("""COMPUTED_VALUE"""),22.13)</f>
        <v>22.13</v>
      </c>
      <c r="D84" s="141">
        <f ca="1">IFERROR(__xludf.DUMMYFUNCTION("""COMPUTED_VALUE"""),22.16)</f>
        <v>22.16</v>
      </c>
      <c r="E84" s="141">
        <f ca="1">IFERROR(__xludf.DUMMYFUNCTION("""COMPUTED_VALUE"""),22.04)</f>
        <v>22.04</v>
      </c>
      <c r="F84" s="141">
        <f ca="1">IFERROR(__xludf.DUMMYFUNCTION("""COMPUTED_VALUE"""),22.12)</f>
        <v>22.12</v>
      </c>
      <c r="G84" s="143">
        <f ca="1">IFERROR(__xludf.DUMMYFUNCTION("""COMPUTED_VALUE"""),1650633)</f>
        <v>1650633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IFERROR(__xludf.DUMMYFUNCTION("""COMPUTED_VALUE"""),22.16)</f>
        <v>22.16</v>
      </c>
      <c r="D85" s="141">
        <f ca="1">IFERROR(__xludf.DUMMYFUNCTION("""COMPUTED_VALUE"""),22.34)</f>
        <v>22.34</v>
      </c>
      <c r="E85" s="141">
        <f ca="1">IFERROR(__xludf.DUMMYFUNCTION("""COMPUTED_VALUE"""),22.16)</f>
        <v>22.16</v>
      </c>
      <c r="F85" s="141">
        <f ca="1">IFERROR(__xludf.DUMMYFUNCTION("""COMPUTED_VALUE"""),22.34)</f>
        <v>22.34</v>
      </c>
      <c r="G85" s="143">
        <f ca="1">IFERROR(__xludf.DUMMYFUNCTION("""COMPUTED_VALUE"""),185162)</f>
        <v>185162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IFERROR(__xludf.DUMMYFUNCTION("""COMPUTED_VALUE"""),22.17)</f>
        <v>22.17</v>
      </c>
      <c r="D86" s="141">
        <f ca="1">IFERROR(__xludf.DUMMYFUNCTION("""COMPUTED_VALUE"""),22.21)</f>
        <v>22.21</v>
      </c>
      <c r="E86" s="141">
        <f ca="1">IFERROR(__xludf.DUMMYFUNCTION("""COMPUTED_VALUE"""),21.98)</f>
        <v>21.98</v>
      </c>
      <c r="F86" s="141">
        <f ca="1">IFERROR(__xludf.DUMMYFUNCTION("""COMPUTED_VALUE"""),22.11)</f>
        <v>22.11</v>
      </c>
      <c r="G86" s="143">
        <f ca="1">IFERROR(__xludf.DUMMYFUNCTION("""COMPUTED_VALUE"""),534234)</f>
        <v>534234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IFERROR(__xludf.DUMMYFUNCTION("""COMPUTED_VALUE"""),22.27)</f>
        <v>22.27</v>
      </c>
      <c r="D87" s="141">
        <f ca="1">IFERROR(__xludf.DUMMYFUNCTION("""COMPUTED_VALUE"""),22.52)</f>
        <v>22.52</v>
      </c>
      <c r="E87" s="141">
        <f ca="1">IFERROR(__xludf.DUMMYFUNCTION("""COMPUTED_VALUE"""),22.24)</f>
        <v>22.24</v>
      </c>
      <c r="F87" s="141">
        <f ca="1">IFERROR(__xludf.DUMMYFUNCTION("""COMPUTED_VALUE"""),22.46)</f>
        <v>22.46</v>
      </c>
      <c r="G87" s="143">
        <f ca="1">IFERROR(__xludf.DUMMYFUNCTION("""COMPUTED_VALUE"""),397210)</f>
        <v>397210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IFERROR(__xludf.DUMMYFUNCTION("""COMPUTED_VALUE"""),22.79)</f>
        <v>22.79</v>
      </c>
      <c r="D88" s="141">
        <f ca="1">IFERROR(__xludf.DUMMYFUNCTION("""COMPUTED_VALUE"""),22.96)</f>
        <v>22.96</v>
      </c>
      <c r="E88" s="141">
        <f ca="1">IFERROR(__xludf.DUMMYFUNCTION("""COMPUTED_VALUE"""),22.79)</f>
        <v>22.79</v>
      </c>
      <c r="F88" s="141">
        <f ca="1">IFERROR(__xludf.DUMMYFUNCTION("""COMPUTED_VALUE"""),22.84)</f>
        <v>22.84</v>
      </c>
      <c r="G88" s="143">
        <f ca="1">IFERROR(__xludf.DUMMYFUNCTION("""COMPUTED_VALUE"""),472366)</f>
        <v>472366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IFERROR(__xludf.DUMMYFUNCTION("""COMPUTED_VALUE"""),22.86)</f>
        <v>22.86</v>
      </c>
      <c r="D89" s="141">
        <f ca="1">IFERROR(__xludf.DUMMYFUNCTION("""COMPUTED_VALUE"""),22.96)</f>
        <v>22.96</v>
      </c>
      <c r="E89" s="141">
        <f ca="1">IFERROR(__xludf.DUMMYFUNCTION("""COMPUTED_VALUE"""),22.84)</f>
        <v>22.84</v>
      </c>
      <c r="F89" s="141">
        <f ca="1">IFERROR(__xludf.DUMMYFUNCTION("""COMPUTED_VALUE"""),22.85)</f>
        <v>22.85</v>
      </c>
      <c r="G89" s="143">
        <f ca="1">IFERROR(__xludf.DUMMYFUNCTION("""COMPUTED_VALUE"""),269009)</f>
        <v>269009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IFERROR(__xludf.DUMMYFUNCTION("""COMPUTED_VALUE"""),22.83)</f>
        <v>22.83</v>
      </c>
      <c r="D90" s="141">
        <f ca="1">IFERROR(__xludf.DUMMYFUNCTION("""COMPUTED_VALUE"""),22.89)</f>
        <v>22.89</v>
      </c>
      <c r="E90" s="141">
        <f ca="1">IFERROR(__xludf.DUMMYFUNCTION("""COMPUTED_VALUE"""),22.78)</f>
        <v>22.78</v>
      </c>
      <c r="F90" s="141">
        <f ca="1">IFERROR(__xludf.DUMMYFUNCTION("""COMPUTED_VALUE"""),22.8)</f>
        <v>22.8</v>
      </c>
      <c r="G90" s="143">
        <f ca="1">IFERROR(__xludf.DUMMYFUNCTION("""COMPUTED_VALUE"""),294997)</f>
        <v>294997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IFERROR(__xludf.DUMMYFUNCTION("""COMPUTED_VALUE"""),22.63)</f>
        <v>22.63</v>
      </c>
      <c r="D91" s="141">
        <f ca="1">IFERROR(__xludf.DUMMYFUNCTION("""COMPUTED_VALUE"""),22.7)</f>
        <v>22.7</v>
      </c>
      <c r="E91" s="141">
        <f ca="1">IFERROR(__xludf.DUMMYFUNCTION("""COMPUTED_VALUE"""),22.58)</f>
        <v>22.58</v>
      </c>
      <c r="F91" s="141">
        <f ca="1">IFERROR(__xludf.DUMMYFUNCTION("""COMPUTED_VALUE"""),22.59)</f>
        <v>22.59</v>
      </c>
      <c r="G91" s="143">
        <f ca="1">IFERROR(__xludf.DUMMYFUNCTION("""COMPUTED_VALUE"""),181299)</f>
        <v>181299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IFERROR(__xludf.DUMMYFUNCTION("""COMPUTED_VALUE"""),22.72)</f>
        <v>22.72</v>
      </c>
      <c r="D92" s="141">
        <f ca="1">IFERROR(__xludf.DUMMYFUNCTION("""COMPUTED_VALUE"""),22.85)</f>
        <v>22.85</v>
      </c>
      <c r="E92" s="141">
        <f ca="1">IFERROR(__xludf.DUMMYFUNCTION("""COMPUTED_VALUE"""),22.69)</f>
        <v>22.69</v>
      </c>
      <c r="F92" s="141">
        <f ca="1">IFERROR(__xludf.DUMMYFUNCTION("""COMPUTED_VALUE"""),22.71)</f>
        <v>22.71</v>
      </c>
      <c r="G92" s="143">
        <f ca="1">IFERROR(__xludf.DUMMYFUNCTION("""COMPUTED_VALUE"""),191010)</f>
        <v>191010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IFERROR(__xludf.DUMMYFUNCTION("""COMPUTED_VALUE"""),22.63)</f>
        <v>22.63</v>
      </c>
      <c r="D93" s="141">
        <f ca="1">IFERROR(__xludf.DUMMYFUNCTION("""COMPUTED_VALUE"""),22.79)</f>
        <v>22.79</v>
      </c>
      <c r="E93" s="141">
        <f ca="1">IFERROR(__xludf.DUMMYFUNCTION("""COMPUTED_VALUE"""),22.55)</f>
        <v>22.55</v>
      </c>
      <c r="F93" s="141">
        <f ca="1">IFERROR(__xludf.DUMMYFUNCTION("""COMPUTED_VALUE"""),22.72)</f>
        <v>22.72</v>
      </c>
      <c r="G93" s="143">
        <f ca="1">IFERROR(__xludf.DUMMYFUNCTION("""COMPUTED_VALUE"""),183028)</f>
        <v>183028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IFERROR(__xludf.DUMMYFUNCTION("""COMPUTED_VALUE"""),22.83)</f>
        <v>22.83</v>
      </c>
      <c r="D94" s="141">
        <f ca="1">IFERROR(__xludf.DUMMYFUNCTION("""COMPUTED_VALUE"""),22.9)</f>
        <v>22.9</v>
      </c>
      <c r="E94" s="141">
        <f ca="1">IFERROR(__xludf.DUMMYFUNCTION("""COMPUTED_VALUE"""),22.76)</f>
        <v>22.76</v>
      </c>
      <c r="F94" s="141">
        <f ca="1">IFERROR(__xludf.DUMMYFUNCTION("""COMPUTED_VALUE"""),22.88)</f>
        <v>22.88</v>
      </c>
      <c r="G94" s="143">
        <f ca="1">IFERROR(__xludf.DUMMYFUNCTION("""COMPUTED_VALUE"""),610963)</f>
        <v>610963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IFERROR(__xludf.DUMMYFUNCTION("""COMPUTED_VALUE"""),22.96)</f>
        <v>22.96</v>
      </c>
      <c r="D95" s="141">
        <f ca="1">IFERROR(__xludf.DUMMYFUNCTION("""COMPUTED_VALUE"""),23.07)</f>
        <v>23.07</v>
      </c>
      <c r="E95" s="141">
        <f ca="1">IFERROR(__xludf.DUMMYFUNCTION("""COMPUTED_VALUE"""),22.84)</f>
        <v>22.84</v>
      </c>
      <c r="F95" s="141">
        <f ca="1">IFERROR(__xludf.DUMMYFUNCTION("""COMPUTED_VALUE"""),23.05)</f>
        <v>23.05</v>
      </c>
      <c r="G95" s="143">
        <f ca="1">IFERROR(__xludf.DUMMYFUNCTION("""COMPUTED_VALUE"""),786244)</f>
        <v>786244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IFERROR(__xludf.DUMMYFUNCTION("""COMPUTED_VALUE"""),22.83)</f>
        <v>22.83</v>
      </c>
      <c r="D96" s="141">
        <f ca="1">IFERROR(__xludf.DUMMYFUNCTION("""COMPUTED_VALUE"""),22.97)</f>
        <v>22.97</v>
      </c>
      <c r="E96" s="141">
        <f ca="1">IFERROR(__xludf.DUMMYFUNCTION("""COMPUTED_VALUE"""),22.77)</f>
        <v>22.77</v>
      </c>
      <c r="F96" s="141">
        <f ca="1">IFERROR(__xludf.DUMMYFUNCTION("""COMPUTED_VALUE"""),22.89)</f>
        <v>22.89</v>
      </c>
      <c r="G96" s="143">
        <f ca="1">IFERROR(__xludf.DUMMYFUNCTION("""COMPUTED_VALUE"""),480290)</f>
        <v>480290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IFERROR(__xludf.DUMMYFUNCTION("""COMPUTED_VALUE"""),22.88)</f>
        <v>22.88</v>
      </c>
      <c r="D97" s="141">
        <f ca="1">IFERROR(__xludf.DUMMYFUNCTION("""COMPUTED_VALUE"""),22.99)</f>
        <v>22.99</v>
      </c>
      <c r="E97" s="141">
        <f ca="1">IFERROR(__xludf.DUMMYFUNCTION("""COMPUTED_VALUE"""),22.8)</f>
        <v>22.8</v>
      </c>
      <c r="F97" s="141">
        <f ca="1">IFERROR(__xludf.DUMMYFUNCTION("""COMPUTED_VALUE"""),22.82)</f>
        <v>22.82</v>
      </c>
      <c r="G97" s="143">
        <f ca="1">IFERROR(__xludf.DUMMYFUNCTION("""COMPUTED_VALUE"""),375635)</f>
        <v>375635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IFERROR(__xludf.DUMMYFUNCTION("""COMPUTED_VALUE"""),22.84)</f>
        <v>22.84</v>
      </c>
      <c r="D98" s="141">
        <f ca="1">IFERROR(__xludf.DUMMYFUNCTION("""COMPUTED_VALUE"""),22.88)</f>
        <v>22.88</v>
      </c>
      <c r="E98" s="141">
        <f ca="1">IFERROR(__xludf.DUMMYFUNCTION("""COMPUTED_VALUE"""),22.73)</f>
        <v>22.73</v>
      </c>
      <c r="F98" s="141">
        <f ca="1">IFERROR(__xludf.DUMMYFUNCTION("""COMPUTED_VALUE"""),22.85)</f>
        <v>22.85</v>
      </c>
      <c r="G98" s="143">
        <f ca="1">IFERROR(__xludf.DUMMYFUNCTION("""COMPUTED_VALUE"""),555979)</f>
        <v>555979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IFERROR(__xludf.DUMMYFUNCTION("""COMPUTED_VALUE"""),22.93)</f>
        <v>22.93</v>
      </c>
      <c r="D99" s="141">
        <f ca="1">IFERROR(__xludf.DUMMYFUNCTION("""COMPUTED_VALUE"""),22.94)</f>
        <v>22.94</v>
      </c>
      <c r="E99" s="141">
        <f ca="1">IFERROR(__xludf.DUMMYFUNCTION("""COMPUTED_VALUE"""),22.81)</f>
        <v>22.81</v>
      </c>
      <c r="F99" s="141">
        <f ca="1">IFERROR(__xludf.DUMMYFUNCTION("""COMPUTED_VALUE"""),22.9)</f>
        <v>22.9</v>
      </c>
      <c r="G99" s="143">
        <f ca="1">IFERROR(__xludf.DUMMYFUNCTION("""COMPUTED_VALUE"""),306041)</f>
        <v>306041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IFERROR(__xludf.DUMMYFUNCTION("""COMPUTED_VALUE"""),23.03)</f>
        <v>23.03</v>
      </c>
      <c r="D100" s="141">
        <f ca="1">IFERROR(__xludf.DUMMYFUNCTION("""COMPUTED_VALUE"""),23.16)</f>
        <v>23.16</v>
      </c>
      <c r="E100" s="141">
        <f ca="1">IFERROR(__xludf.DUMMYFUNCTION("""COMPUTED_VALUE"""),22.95)</f>
        <v>22.95</v>
      </c>
      <c r="F100" s="141">
        <f ca="1">IFERROR(__xludf.DUMMYFUNCTION("""COMPUTED_VALUE"""),23.15)</f>
        <v>23.15</v>
      </c>
      <c r="G100" s="143">
        <f ca="1">IFERROR(__xludf.DUMMYFUNCTION("""COMPUTED_VALUE"""),254404)</f>
        <v>254404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IFERROR(__xludf.DUMMYFUNCTION("""COMPUTED_VALUE"""),23.2)</f>
        <v>23.2</v>
      </c>
      <c r="D101" s="141">
        <f ca="1">IFERROR(__xludf.DUMMYFUNCTION("""COMPUTED_VALUE"""),23.32)</f>
        <v>23.32</v>
      </c>
      <c r="E101" s="141">
        <f ca="1">IFERROR(__xludf.DUMMYFUNCTION("""COMPUTED_VALUE"""),23.2)</f>
        <v>23.2</v>
      </c>
      <c r="F101" s="141">
        <f ca="1">IFERROR(__xludf.DUMMYFUNCTION("""COMPUTED_VALUE"""),23.3)</f>
        <v>23.3</v>
      </c>
      <c r="G101" s="143">
        <f ca="1">IFERROR(__xludf.DUMMYFUNCTION("""COMPUTED_VALUE"""),268477)</f>
        <v>268477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IFERROR(__xludf.DUMMYFUNCTION("""COMPUTED_VALUE"""),23.11)</f>
        <v>23.11</v>
      </c>
      <c r="D102" s="141">
        <f ca="1">IFERROR(__xludf.DUMMYFUNCTION("""COMPUTED_VALUE"""),23.13)</f>
        <v>23.13</v>
      </c>
      <c r="E102" s="141">
        <f ca="1">IFERROR(__xludf.DUMMYFUNCTION("""COMPUTED_VALUE"""),23)</f>
        <v>23</v>
      </c>
      <c r="F102" s="141">
        <f ca="1">IFERROR(__xludf.DUMMYFUNCTION("""COMPUTED_VALUE"""),23.04)</f>
        <v>23.04</v>
      </c>
      <c r="G102" s="143">
        <f ca="1">IFERROR(__xludf.DUMMYFUNCTION("""COMPUTED_VALUE"""),808974)</f>
        <v>808974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IFERROR(__xludf.DUMMYFUNCTION("""COMPUTED_VALUE"""),23.09)</f>
        <v>23.09</v>
      </c>
      <c r="D103" s="141">
        <f ca="1">IFERROR(__xludf.DUMMYFUNCTION("""COMPUTED_VALUE"""),23.14)</f>
        <v>23.14</v>
      </c>
      <c r="E103" s="141">
        <f ca="1">IFERROR(__xludf.DUMMYFUNCTION("""COMPUTED_VALUE"""),22.92)</f>
        <v>22.92</v>
      </c>
      <c r="F103" s="141">
        <f ca="1">IFERROR(__xludf.DUMMYFUNCTION("""COMPUTED_VALUE"""),22.92)</f>
        <v>22.92</v>
      </c>
      <c r="G103" s="143">
        <f ca="1">IFERROR(__xludf.DUMMYFUNCTION("""COMPUTED_VALUE"""),291185)</f>
        <v>291185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IFERROR(__xludf.DUMMYFUNCTION("""COMPUTED_VALUE"""),22.95)</f>
        <v>22.95</v>
      </c>
      <c r="D104" s="141">
        <f ca="1">IFERROR(__xludf.DUMMYFUNCTION("""COMPUTED_VALUE"""),23.1)</f>
        <v>23.1</v>
      </c>
      <c r="E104" s="141">
        <f ca="1">IFERROR(__xludf.DUMMYFUNCTION("""COMPUTED_VALUE"""),22.88)</f>
        <v>22.88</v>
      </c>
      <c r="F104" s="141">
        <f ca="1">IFERROR(__xludf.DUMMYFUNCTION("""COMPUTED_VALUE"""),22.97)</f>
        <v>22.97</v>
      </c>
      <c r="G104" s="143">
        <f ca="1">IFERROR(__xludf.DUMMYFUNCTION("""COMPUTED_VALUE"""),787877)</f>
        <v>787877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IFERROR(__xludf.DUMMYFUNCTION("""COMPUTED_VALUE"""),22.95)</f>
        <v>22.95</v>
      </c>
      <c r="D105" s="141">
        <f ca="1">IFERROR(__xludf.DUMMYFUNCTION("""COMPUTED_VALUE"""),23.05)</f>
        <v>23.05</v>
      </c>
      <c r="E105" s="141">
        <f ca="1">IFERROR(__xludf.DUMMYFUNCTION("""COMPUTED_VALUE"""),22.92)</f>
        <v>22.92</v>
      </c>
      <c r="F105" s="141">
        <f ca="1">IFERROR(__xludf.DUMMYFUNCTION("""COMPUTED_VALUE"""),22.94)</f>
        <v>22.94</v>
      </c>
      <c r="G105" s="143">
        <f ca="1">IFERROR(__xludf.DUMMYFUNCTION("""COMPUTED_VALUE"""),353363)</f>
        <v>353363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IFERROR(__xludf.DUMMYFUNCTION("""COMPUTED_VALUE"""),22.97)</f>
        <v>22.97</v>
      </c>
      <c r="D106" s="141">
        <f ca="1">IFERROR(__xludf.DUMMYFUNCTION("""COMPUTED_VALUE"""),23.15)</f>
        <v>23.15</v>
      </c>
      <c r="E106" s="141">
        <f ca="1">IFERROR(__xludf.DUMMYFUNCTION("""COMPUTED_VALUE"""),22.89)</f>
        <v>22.89</v>
      </c>
      <c r="F106" s="141">
        <f ca="1">IFERROR(__xludf.DUMMYFUNCTION("""COMPUTED_VALUE"""),23.13)</f>
        <v>23.13</v>
      </c>
      <c r="G106" s="143">
        <f ca="1">IFERROR(__xludf.DUMMYFUNCTION("""COMPUTED_VALUE"""),352369)</f>
        <v>352369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IFERROR(__xludf.DUMMYFUNCTION("""COMPUTED_VALUE"""),22.94)</f>
        <v>22.94</v>
      </c>
      <c r="D107" s="141">
        <f ca="1">IFERROR(__xludf.DUMMYFUNCTION("""COMPUTED_VALUE"""),22.97)</f>
        <v>22.97</v>
      </c>
      <c r="E107" s="141">
        <f ca="1">IFERROR(__xludf.DUMMYFUNCTION("""COMPUTED_VALUE"""),22.8)</f>
        <v>22.8</v>
      </c>
      <c r="F107" s="141">
        <f ca="1">IFERROR(__xludf.DUMMYFUNCTION("""COMPUTED_VALUE"""),22.9)</f>
        <v>22.9</v>
      </c>
      <c r="G107" s="143">
        <f ca="1">IFERROR(__xludf.DUMMYFUNCTION("""COMPUTED_VALUE"""),964995)</f>
        <v>964995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IFERROR(__xludf.DUMMYFUNCTION("""COMPUTED_VALUE"""),22.99)</f>
        <v>22.99</v>
      </c>
      <c r="D108" s="141">
        <f ca="1">IFERROR(__xludf.DUMMYFUNCTION("""COMPUTED_VALUE"""),22.99)</f>
        <v>22.99</v>
      </c>
      <c r="E108" s="141">
        <f ca="1">IFERROR(__xludf.DUMMYFUNCTION("""COMPUTED_VALUE"""),22.67)</f>
        <v>22.67</v>
      </c>
      <c r="F108" s="141">
        <f ca="1">IFERROR(__xludf.DUMMYFUNCTION("""COMPUTED_VALUE"""),22.68)</f>
        <v>22.68</v>
      </c>
      <c r="G108" s="143">
        <f ca="1">IFERROR(__xludf.DUMMYFUNCTION("""COMPUTED_VALUE"""),287051)</f>
        <v>287051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IFERROR(__xludf.DUMMYFUNCTION("""COMPUTED_VALUE"""),22.51)</f>
        <v>22.51</v>
      </c>
      <c r="D109" s="141">
        <f ca="1">IFERROR(__xludf.DUMMYFUNCTION("""COMPUTED_VALUE"""),22.6)</f>
        <v>22.6</v>
      </c>
      <c r="E109" s="141">
        <f ca="1">IFERROR(__xludf.DUMMYFUNCTION("""COMPUTED_VALUE"""),22.41)</f>
        <v>22.41</v>
      </c>
      <c r="F109" s="141">
        <f ca="1">IFERROR(__xludf.DUMMYFUNCTION("""COMPUTED_VALUE"""),22.53)</f>
        <v>22.53</v>
      </c>
      <c r="G109" s="143">
        <f ca="1">IFERROR(__xludf.DUMMYFUNCTION("""COMPUTED_VALUE"""),528717)</f>
        <v>528717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IFERROR(__xludf.DUMMYFUNCTION("""COMPUTED_VALUE"""),22.45)</f>
        <v>22.45</v>
      </c>
      <c r="D110" s="141">
        <f ca="1">IFERROR(__xludf.DUMMYFUNCTION("""COMPUTED_VALUE"""),22.66)</f>
        <v>22.66</v>
      </c>
      <c r="E110" s="141">
        <f ca="1">IFERROR(__xludf.DUMMYFUNCTION("""COMPUTED_VALUE"""),22.4)</f>
        <v>22.4</v>
      </c>
      <c r="F110" s="141">
        <f ca="1">IFERROR(__xludf.DUMMYFUNCTION("""COMPUTED_VALUE"""),22.64)</f>
        <v>22.64</v>
      </c>
      <c r="G110" s="143">
        <f ca="1">IFERROR(__xludf.DUMMYFUNCTION("""COMPUTED_VALUE"""),516255)</f>
        <v>516255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IFERROR(__xludf.DUMMYFUNCTION("""COMPUTED_VALUE"""),22.47)</f>
        <v>22.47</v>
      </c>
      <c r="D111" s="141">
        <f ca="1">IFERROR(__xludf.DUMMYFUNCTION("""COMPUTED_VALUE"""),22.56)</f>
        <v>22.56</v>
      </c>
      <c r="E111" s="141">
        <f ca="1">IFERROR(__xludf.DUMMYFUNCTION("""COMPUTED_VALUE"""),22.37)</f>
        <v>22.37</v>
      </c>
      <c r="F111" s="141">
        <f ca="1">IFERROR(__xludf.DUMMYFUNCTION("""COMPUTED_VALUE"""),22.52)</f>
        <v>22.52</v>
      </c>
      <c r="G111" s="143">
        <f ca="1">IFERROR(__xludf.DUMMYFUNCTION("""COMPUTED_VALUE"""),224622)</f>
        <v>224622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IFERROR(__xludf.DUMMYFUNCTION("""COMPUTED_VALUE"""),22.57)</f>
        <v>22.57</v>
      </c>
      <c r="D112" s="141">
        <f ca="1">IFERROR(__xludf.DUMMYFUNCTION("""COMPUTED_VALUE"""),22.79)</f>
        <v>22.79</v>
      </c>
      <c r="E112" s="141">
        <f ca="1">IFERROR(__xludf.DUMMYFUNCTION("""COMPUTED_VALUE"""),22.57)</f>
        <v>22.57</v>
      </c>
      <c r="F112" s="141">
        <f ca="1">IFERROR(__xludf.DUMMYFUNCTION("""COMPUTED_VALUE"""),22.76)</f>
        <v>22.76</v>
      </c>
      <c r="G112" s="143">
        <f ca="1">IFERROR(__xludf.DUMMYFUNCTION("""COMPUTED_VALUE"""),983463)</f>
        <v>983463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IFERROR(__xludf.DUMMYFUNCTION("""COMPUTED_VALUE"""),22.94)</f>
        <v>22.94</v>
      </c>
      <c r="D113" s="141">
        <f ca="1">IFERROR(__xludf.DUMMYFUNCTION("""COMPUTED_VALUE"""),23.09)</f>
        <v>23.09</v>
      </c>
      <c r="E113" s="141">
        <f ca="1">IFERROR(__xludf.DUMMYFUNCTION("""COMPUTED_VALUE"""),22.92)</f>
        <v>22.92</v>
      </c>
      <c r="F113" s="141">
        <f ca="1">IFERROR(__xludf.DUMMYFUNCTION("""COMPUTED_VALUE"""),23.06)</f>
        <v>23.06</v>
      </c>
      <c r="G113" s="143">
        <f ca="1">IFERROR(__xludf.DUMMYFUNCTION("""COMPUTED_VALUE"""),236096)</f>
        <v>236096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IFERROR(__xludf.DUMMYFUNCTION("""COMPUTED_VALUE"""),23.11)</f>
        <v>23.11</v>
      </c>
      <c r="D114" s="141">
        <f ca="1">IFERROR(__xludf.DUMMYFUNCTION("""COMPUTED_VALUE"""),23.16)</f>
        <v>23.16</v>
      </c>
      <c r="E114" s="141">
        <f ca="1">IFERROR(__xludf.DUMMYFUNCTION("""COMPUTED_VALUE"""),23.07)</f>
        <v>23.07</v>
      </c>
      <c r="F114" s="141">
        <f ca="1">IFERROR(__xludf.DUMMYFUNCTION("""COMPUTED_VALUE"""),23.12)</f>
        <v>23.12</v>
      </c>
      <c r="G114" s="143">
        <f ca="1">IFERROR(__xludf.DUMMYFUNCTION("""COMPUTED_VALUE"""),679904)</f>
        <v>679904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IFERROR(__xludf.DUMMYFUNCTION("""COMPUTED_VALUE"""),23.07)</f>
        <v>23.07</v>
      </c>
      <c r="D115" s="141">
        <f ca="1">IFERROR(__xludf.DUMMYFUNCTION("""COMPUTED_VALUE"""),23.12)</f>
        <v>23.12</v>
      </c>
      <c r="E115" s="141">
        <f ca="1">IFERROR(__xludf.DUMMYFUNCTION("""COMPUTED_VALUE"""),22.98)</f>
        <v>22.98</v>
      </c>
      <c r="F115" s="141">
        <f ca="1">IFERROR(__xludf.DUMMYFUNCTION("""COMPUTED_VALUE"""),23.02)</f>
        <v>23.02</v>
      </c>
      <c r="G115" s="143">
        <f ca="1">IFERROR(__xludf.DUMMYFUNCTION("""COMPUTED_VALUE"""),525035)</f>
        <v>525035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IFERROR(__xludf.DUMMYFUNCTION("""COMPUTED_VALUE"""),23.15)</f>
        <v>23.15</v>
      </c>
      <c r="D116" s="141">
        <f ca="1">IFERROR(__xludf.DUMMYFUNCTION("""COMPUTED_VALUE"""),23.2)</f>
        <v>23.2</v>
      </c>
      <c r="E116" s="141">
        <f ca="1">IFERROR(__xludf.DUMMYFUNCTION("""COMPUTED_VALUE"""),23.07)</f>
        <v>23.07</v>
      </c>
      <c r="F116" s="141">
        <f ca="1">IFERROR(__xludf.DUMMYFUNCTION("""COMPUTED_VALUE"""),23.13)</f>
        <v>23.13</v>
      </c>
      <c r="G116" s="143">
        <f ca="1">IFERROR(__xludf.DUMMYFUNCTION("""COMPUTED_VALUE"""),140776)</f>
        <v>140776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IFERROR(__xludf.DUMMYFUNCTION("""COMPUTED_VALUE"""),23.12)</f>
        <v>23.12</v>
      </c>
      <c r="D117" s="141">
        <f ca="1">IFERROR(__xludf.DUMMYFUNCTION("""COMPUTED_VALUE"""),23.22)</f>
        <v>23.22</v>
      </c>
      <c r="E117" s="141">
        <f ca="1">IFERROR(__xludf.DUMMYFUNCTION("""COMPUTED_VALUE"""),23.05)</f>
        <v>23.05</v>
      </c>
      <c r="F117" s="141">
        <f ca="1">IFERROR(__xludf.DUMMYFUNCTION("""COMPUTED_VALUE"""),23.19)</f>
        <v>23.19</v>
      </c>
      <c r="G117" s="143">
        <f ca="1">IFERROR(__xludf.DUMMYFUNCTION("""COMPUTED_VALUE"""),195747)</f>
        <v>195747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IFERROR(__xludf.DUMMYFUNCTION("""COMPUTED_VALUE"""),23.3)</f>
        <v>23.3</v>
      </c>
      <c r="D118" s="141">
        <f ca="1">IFERROR(__xludf.DUMMYFUNCTION("""COMPUTED_VALUE"""),23.44)</f>
        <v>23.44</v>
      </c>
      <c r="E118" s="141">
        <f ca="1">IFERROR(__xludf.DUMMYFUNCTION("""COMPUTED_VALUE"""),23.3)</f>
        <v>23.3</v>
      </c>
      <c r="F118" s="141">
        <f ca="1">IFERROR(__xludf.DUMMYFUNCTION("""COMPUTED_VALUE"""),23.33)</f>
        <v>23.33</v>
      </c>
      <c r="G118" s="143">
        <f ca="1">IFERROR(__xludf.DUMMYFUNCTION("""COMPUTED_VALUE"""),502740)</f>
        <v>502740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IFERROR(__xludf.DUMMYFUNCTION("""COMPUTED_VALUE"""),23.17)</f>
        <v>23.17</v>
      </c>
      <c r="D119" s="141">
        <f ca="1">IFERROR(__xludf.DUMMYFUNCTION("""COMPUTED_VALUE"""),23.19)</f>
        <v>23.19</v>
      </c>
      <c r="E119" s="141">
        <f ca="1">IFERROR(__xludf.DUMMYFUNCTION("""COMPUTED_VALUE"""),23.04)</f>
        <v>23.04</v>
      </c>
      <c r="F119" s="141">
        <f ca="1">IFERROR(__xludf.DUMMYFUNCTION("""COMPUTED_VALUE"""),23.04)</f>
        <v>23.04</v>
      </c>
      <c r="G119" s="143">
        <f ca="1">IFERROR(__xludf.DUMMYFUNCTION("""COMPUTED_VALUE"""),784767)</f>
        <v>784767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IFERROR(__xludf.DUMMYFUNCTION("""COMPUTED_VALUE"""),23.03)</f>
        <v>23.03</v>
      </c>
      <c r="D120" s="141">
        <f ca="1">IFERROR(__xludf.DUMMYFUNCTION("""COMPUTED_VALUE"""),23.04)</f>
        <v>23.04</v>
      </c>
      <c r="E120" s="141">
        <f ca="1">IFERROR(__xludf.DUMMYFUNCTION("""COMPUTED_VALUE"""),22.95)</f>
        <v>22.95</v>
      </c>
      <c r="F120" s="141">
        <f ca="1">IFERROR(__xludf.DUMMYFUNCTION("""COMPUTED_VALUE"""),22.99)</f>
        <v>22.99</v>
      </c>
      <c r="G120" s="143">
        <f ca="1">IFERROR(__xludf.DUMMYFUNCTION("""COMPUTED_VALUE"""),294690)</f>
        <v>294690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IFERROR(__xludf.DUMMYFUNCTION("""COMPUTED_VALUE"""),22.98)</f>
        <v>22.98</v>
      </c>
      <c r="D121" s="141">
        <f ca="1">IFERROR(__xludf.DUMMYFUNCTION("""COMPUTED_VALUE"""),23.16)</f>
        <v>23.16</v>
      </c>
      <c r="E121" s="141">
        <f ca="1">IFERROR(__xludf.DUMMYFUNCTION("""COMPUTED_VALUE"""),22.93)</f>
        <v>22.93</v>
      </c>
      <c r="F121" s="141">
        <f ca="1">IFERROR(__xludf.DUMMYFUNCTION("""COMPUTED_VALUE"""),23.13)</f>
        <v>23.13</v>
      </c>
      <c r="G121" s="143">
        <f ca="1">IFERROR(__xludf.DUMMYFUNCTION("""COMPUTED_VALUE"""),387553)</f>
        <v>387553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IFERROR(__xludf.DUMMYFUNCTION("""COMPUTED_VALUE"""),22.95)</f>
        <v>22.95</v>
      </c>
      <c r="D122" s="141">
        <f ca="1">IFERROR(__xludf.DUMMYFUNCTION("""COMPUTED_VALUE"""),23.12)</f>
        <v>23.12</v>
      </c>
      <c r="E122" s="141">
        <f ca="1">IFERROR(__xludf.DUMMYFUNCTION("""COMPUTED_VALUE"""),22.95)</f>
        <v>22.95</v>
      </c>
      <c r="F122" s="141">
        <f ca="1">IFERROR(__xludf.DUMMYFUNCTION("""COMPUTED_VALUE"""),23.11)</f>
        <v>23.11</v>
      </c>
      <c r="G122" s="143">
        <f ca="1">IFERROR(__xludf.DUMMYFUNCTION("""COMPUTED_VALUE"""),534913)</f>
        <v>534913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IFERROR(__xludf.DUMMYFUNCTION("""COMPUTED_VALUE"""),23.12)</f>
        <v>23.12</v>
      </c>
      <c r="D123" s="141">
        <f ca="1">IFERROR(__xludf.DUMMYFUNCTION("""COMPUTED_VALUE"""),23.12)</f>
        <v>23.12</v>
      </c>
      <c r="E123" s="141">
        <f ca="1">IFERROR(__xludf.DUMMYFUNCTION("""COMPUTED_VALUE"""),22.86)</f>
        <v>22.86</v>
      </c>
      <c r="F123" s="141">
        <f ca="1">IFERROR(__xludf.DUMMYFUNCTION("""COMPUTED_VALUE"""),22.92)</f>
        <v>22.92</v>
      </c>
      <c r="G123" s="143">
        <f ca="1">IFERROR(__xludf.DUMMYFUNCTION("""COMPUTED_VALUE"""),425856)</f>
        <v>425856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IFERROR(__xludf.DUMMYFUNCTION("""COMPUTED_VALUE"""),22.88)</f>
        <v>22.88</v>
      </c>
      <c r="D124" s="141">
        <f ca="1">IFERROR(__xludf.DUMMYFUNCTION("""COMPUTED_VALUE"""),22.9)</f>
        <v>22.9</v>
      </c>
      <c r="E124" s="141">
        <f ca="1">IFERROR(__xludf.DUMMYFUNCTION("""COMPUTED_VALUE"""),22.73)</f>
        <v>22.73</v>
      </c>
      <c r="F124" s="141">
        <f ca="1">IFERROR(__xludf.DUMMYFUNCTION("""COMPUTED_VALUE"""),22.81)</f>
        <v>22.81</v>
      </c>
      <c r="G124" s="143">
        <f ca="1">IFERROR(__xludf.DUMMYFUNCTION("""COMPUTED_VALUE"""),252667)</f>
        <v>252667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IFERROR(__xludf.DUMMYFUNCTION("""COMPUTED_VALUE"""),22.65)</f>
        <v>22.65</v>
      </c>
      <c r="D125" s="141">
        <f ca="1">IFERROR(__xludf.DUMMYFUNCTION("""COMPUTED_VALUE"""),22.68)</f>
        <v>22.68</v>
      </c>
      <c r="E125" s="141">
        <f ca="1">IFERROR(__xludf.DUMMYFUNCTION("""COMPUTED_VALUE"""),22.56)</f>
        <v>22.56</v>
      </c>
      <c r="F125" s="141">
        <f ca="1">IFERROR(__xludf.DUMMYFUNCTION("""COMPUTED_VALUE"""),22.58)</f>
        <v>22.58</v>
      </c>
      <c r="G125" s="143">
        <f ca="1">IFERROR(__xludf.DUMMYFUNCTION("""COMPUTED_VALUE"""),392547)</f>
        <v>392547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IFERROR(__xludf.DUMMYFUNCTION("""COMPUTED_VALUE"""),22.74)</f>
        <v>22.74</v>
      </c>
      <c r="D126" s="141">
        <f ca="1">IFERROR(__xludf.DUMMYFUNCTION("""COMPUTED_VALUE"""),22.86)</f>
        <v>22.86</v>
      </c>
      <c r="E126" s="141">
        <f ca="1">IFERROR(__xludf.DUMMYFUNCTION("""COMPUTED_VALUE"""),22.71)</f>
        <v>22.71</v>
      </c>
      <c r="F126" s="141">
        <f ca="1">IFERROR(__xludf.DUMMYFUNCTION("""COMPUTED_VALUE"""),22.85)</f>
        <v>22.85</v>
      </c>
      <c r="G126" s="143">
        <f ca="1">IFERROR(__xludf.DUMMYFUNCTION("""COMPUTED_VALUE"""),504025)</f>
        <v>504025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IFERROR(__xludf.DUMMYFUNCTION("""COMPUTED_VALUE"""),22.79)</f>
        <v>22.79</v>
      </c>
      <c r="D127" s="141">
        <f ca="1">IFERROR(__xludf.DUMMYFUNCTION("""COMPUTED_VALUE"""),22.84)</f>
        <v>22.84</v>
      </c>
      <c r="E127" s="141">
        <f ca="1">IFERROR(__xludf.DUMMYFUNCTION("""COMPUTED_VALUE"""),22.67)</f>
        <v>22.67</v>
      </c>
      <c r="F127" s="141">
        <f ca="1">IFERROR(__xludf.DUMMYFUNCTION("""COMPUTED_VALUE"""),22.69)</f>
        <v>22.69</v>
      </c>
      <c r="G127" s="143">
        <f ca="1">IFERROR(__xludf.DUMMYFUNCTION("""COMPUTED_VALUE"""),211506)</f>
        <v>211506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IFERROR(__xludf.DUMMYFUNCTION("""COMPUTED_VALUE"""),22.77)</f>
        <v>22.77</v>
      </c>
      <c r="D128" s="141">
        <f ca="1">IFERROR(__xludf.DUMMYFUNCTION("""COMPUTED_VALUE"""),22.88)</f>
        <v>22.88</v>
      </c>
      <c r="E128" s="141">
        <f ca="1">IFERROR(__xludf.DUMMYFUNCTION("""COMPUTED_VALUE"""),22.72)</f>
        <v>22.72</v>
      </c>
      <c r="F128" s="141">
        <f ca="1">IFERROR(__xludf.DUMMYFUNCTION("""COMPUTED_VALUE"""),22.85)</f>
        <v>22.85</v>
      </c>
      <c r="G128" s="143">
        <f ca="1">IFERROR(__xludf.DUMMYFUNCTION("""COMPUTED_VALUE"""),282655)</f>
        <v>282655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IFERROR(__xludf.DUMMYFUNCTION("""COMPUTED_VALUE"""),22.38)</f>
        <v>22.38</v>
      </c>
      <c r="D129" s="141">
        <f ca="1">IFERROR(__xludf.DUMMYFUNCTION("""COMPUTED_VALUE"""),22.41)</f>
        <v>22.41</v>
      </c>
      <c r="E129" s="141">
        <f ca="1">IFERROR(__xludf.DUMMYFUNCTION("""COMPUTED_VALUE"""),22.34)</f>
        <v>22.34</v>
      </c>
      <c r="F129" s="141">
        <f ca="1">IFERROR(__xludf.DUMMYFUNCTION("""COMPUTED_VALUE"""),22.39)</f>
        <v>22.39</v>
      </c>
      <c r="G129" s="143">
        <f ca="1">IFERROR(__xludf.DUMMYFUNCTION("""COMPUTED_VALUE"""),511634)</f>
        <v>511634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IFERROR(__xludf.DUMMYFUNCTION("""COMPUTED_VALUE"""),22.48)</f>
        <v>22.48</v>
      </c>
      <c r="D130" s="141">
        <f ca="1">IFERROR(__xludf.DUMMYFUNCTION("""COMPUTED_VALUE"""),22.65)</f>
        <v>22.65</v>
      </c>
      <c r="E130" s="141">
        <f ca="1">IFERROR(__xludf.DUMMYFUNCTION("""COMPUTED_VALUE"""),22.42)</f>
        <v>22.42</v>
      </c>
      <c r="F130" s="141">
        <f ca="1">IFERROR(__xludf.DUMMYFUNCTION("""COMPUTED_VALUE"""),22.64)</f>
        <v>22.64</v>
      </c>
      <c r="G130" s="143">
        <f ca="1">IFERROR(__xludf.DUMMYFUNCTION("""COMPUTED_VALUE"""),642474)</f>
        <v>642474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IFERROR(__xludf.DUMMYFUNCTION("""COMPUTED_VALUE"""),22.67)</f>
        <v>22.67</v>
      </c>
      <c r="D131" s="141">
        <f ca="1">IFERROR(__xludf.DUMMYFUNCTION("""COMPUTED_VALUE"""),22.67)</f>
        <v>22.67</v>
      </c>
      <c r="E131" s="141">
        <f ca="1">IFERROR(__xludf.DUMMYFUNCTION("""COMPUTED_VALUE"""),22.56)</f>
        <v>22.56</v>
      </c>
      <c r="F131" s="141">
        <f ca="1">IFERROR(__xludf.DUMMYFUNCTION("""COMPUTED_VALUE"""),22.63)</f>
        <v>22.63</v>
      </c>
      <c r="G131" s="143">
        <f ca="1">IFERROR(__xludf.DUMMYFUNCTION("""COMPUTED_VALUE"""),362828)</f>
        <v>362828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IFERROR(__xludf.DUMMYFUNCTION("""COMPUTED_VALUE"""),22.71)</f>
        <v>22.71</v>
      </c>
      <c r="D132" s="141">
        <f ca="1">IFERROR(__xludf.DUMMYFUNCTION("""COMPUTED_VALUE"""),22.76)</f>
        <v>22.76</v>
      </c>
      <c r="E132" s="141">
        <f ca="1">IFERROR(__xludf.DUMMYFUNCTION("""COMPUTED_VALUE"""),22.63)</f>
        <v>22.63</v>
      </c>
      <c r="F132" s="141">
        <f ca="1">IFERROR(__xludf.DUMMYFUNCTION("""COMPUTED_VALUE"""),22.7)</f>
        <v>22.7</v>
      </c>
      <c r="G132" s="143">
        <f ca="1">IFERROR(__xludf.DUMMYFUNCTION("""COMPUTED_VALUE"""),686632)</f>
        <v>686632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IFERROR(__xludf.DUMMYFUNCTION("""COMPUTED_VALUE"""),22.59)</f>
        <v>22.59</v>
      </c>
      <c r="D133" s="141">
        <f ca="1">IFERROR(__xludf.DUMMYFUNCTION("""COMPUTED_VALUE"""),22.61)</f>
        <v>22.61</v>
      </c>
      <c r="E133" s="141">
        <f ca="1">IFERROR(__xludf.DUMMYFUNCTION("""COMPUTED_VALUE"""),22.47)</f>
        <v>22.47</v>
      </c>
      <c r="F133" s="141">
        <f ca="1">IFERROR(__xludf.DUMMYFUNCTION("""COMPUTED_VALUE"""),22.49)</f>
        <v>22.49</v>
      </c>
      <c r="G133" s="143">
        <f ca="1">IFERROR(__xludf.DUMMYFUNCTION("""COMPUTED_VALUE"""),539425)</f>
        <v>539425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IFERROR(__xludf.DUMMYFUNCTION("""COMPUTED_VALUE"""),22.72)</f>
        <v>22.72</v>
      </c>
      <c r="D134" s="141">
        <f ca="1">IFERROR(__xludf.DUMMYFUNCTION("""COMPUTED_VALUE"""),22.73)</f>
        <v>22.73</v>
      </c>
      <c r="E134" s="141">
        <f ca="1">IFERROR(__xludf.DUMMYFUNCTION("""COMPUTED_VALUE"""),22.62)</f>
        <v>22.62</v>
      </c>
      <c r="F134" s="141">
        <f ca="1">IFERROR(__xludf.DUMMYFUNCTION("""COMPUTED_VALUE"""),22.64)</f>
        <v>22.64</v>
      </c>
      <c r="G134" s="143">
        <f ca="1">IFERROR(__xludf.DUMMYFUNCTION("""COMPUTED_VALUE"""),597569)</f>
        <v>597569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IFERROR(__xludf.DUMMYFUNCTION("""COMPUTED_VALUE"""),22.52)</f>
        <v>22.52</v>
      </c>
      <c r="D135" s="141">
        <f ca="1">IFERROR(__xludf.DUMMYFUNCTION("""COMPUTED_VALUE"""),22.56)</f>
        <v>22.56</v>
      </c>
      <c r="E135" s="141">
        <f ca="1">IFERROR(__xludf.DUMMYFUNCTION("""COMPUTED_VALUE"""),22.35)</f>
        <v>22.35</v>
      </c>
      <c r="F135" s="141">
        <f ca="1">IFERROR(__xludf.DUMMYFUNCTION("""COMPUTED_VALUE"""),22.36)</f>
        <v>22.36</v>
      </c>
      <c r="G135" s="143">
        <f ca="1">IFERROR(__xludf.DUMMYFUNCTION("""COMPUTED_VALUE"""),931406)</f>
        <v>931406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IFERROR(__xludf.DUMMYFUNCTION("""COMPUTED_VALUE"""),22.42)</f>
        <v>22.42</v>
      </c>
      <c r="D136" s="141">
        <f ca="1">IFERROR(__xludf.DUMMYFUNCTION("""COMPUTED_VALUE"""),22.42)</f>
        <v>22.42</v>
      </c>
      <c r="E136" s="141">
        <f ca="1">IFERROR(__xludf.DUMMYFUNCTION("""COMPUTED_VALUE"""),22.29)</f>
        <v>22.29</v>
      </c>
      <c r="F136" s="141">
        <f ca="1">IFERROR(__xludf.DUMMYFUNCTION("""COMPUTED_VALUE"""),22.39)</f>
        <v>22.39</v>
      </c>
      <c r="G136" s="143">
        <f ca="1">IFERROR(__xludf.DUMMYFUNCTION("""COMPUTED_VALUE"""),825363)</f>
        <v>825363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IFERROR(__xludf.DUMMYFUNCTION("""COMPUTED_VALUE"""),22.63)</f>
        <v>22.63</v>
      </c>
      <c r="D137" s="141">
        <f ca="1">IFERROR(__xludf.DUMMYFUNCTION("""COMPUTED_VALUE"""),22.82)</f>
        <v>22.82</v>
      </c>
      <c r="E137" s="141">
        <f ca="1">IFERROR(__xludf.DUMMYFUNCTION("""COMPUTED_VALUE"""),22.63)</f>
        <v>22.63</v>
      </c>
      <c r="F137" s="141">
        <f ca="1">IFERROR(__xludf.DUMMYFUNCTION("""COMPUTED_VALUE"""),22.81)</f>
        <v>22.81</v>
      </c>
      <c r="G137" s="143">
        <f ca="1">IFERROR(__xludf.DUMMYFUNCTION("""COMPUTED_VALUE"""),860101)</f>
        <v>860101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IFERROR(__xludf.DUMMYFUNCTION("""COMPUTED_VALUE"""),22.94)</f>
        <v>22.94</v>
      </c>
      <c r="D138" s="141">
        <f ca="1">IFERROR(__xludf.DUMMYFUNCTION("""COMPUTED_VALUE"""),22.98)</f>
        <v>22.98</v>
      </c>
      <c r="E138" s="141">
        <f ca="1">IFERROR(__xludf.DUMMYFUNCTION("""COMPUTED_VALUE"""),22.78)</f>
        <v>22.78</v>
      </c>
      <c r="F138" s="141">
        <f ca="1">IFERROR(__xludf.DUMMYFUNCTION("""COMPUTED_VALUE"""),22.8)</f>
        <v>22.8</v>
      </c>
      <c r="G138" s="143">
        <f ca="1">IFERROR(__xludf.DUMMYFUNCTION("""COMPUTED_VALUE"""),581850)</f>
        <v>581850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IFERROR(__xludf.DUMMYFUNCTION("""COMPUTED_VALUE"""),22.71)</f>
        <v>22.71</v>
      </c>
      <c r="D139" s="141">
        <f ca="1">IFERROR(__xludf.DUMMYFUNCTION("""COMPUTED_VALUE"""),22.71)</f>
        <v>22.71</v>
      </c>
      <c r="E139" s="141">
        <f ca="1">IFERROR(__xludf.DUMMYFUNCTION("""COMPUTED_VALUE"""),22.51)</f>
        <v>22.51</v>
      </c>
      <c r="F139" s="141">
        <f ca="1">IFERROR(__xludf.DUMMYFUNCTION("""COMPUTED_VALUE"""),22.59)</f>
        <v>22.59</v>
      </c>
      <c r="G139" s="143">
        <f ca="1">IFERROR(__xludf.DUMMYFUNCTION("""COMPUTED_VALUE"""),660034)</f>
        <v>660034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IFERROR(__xludf.DUMMYFUNCTION("""COMPUTED_VALUE"""),22.61)</f>
        <v>22.61</v>
      </c>
      <c r="D140" s="141">
        <f ca="1">IFERROR(__xludf.DUMMYFUNCTION("""COMPUTED_VALUE"""),22.9)</f>
        <v>22.9</v>
      </c>
      <c r="E140" s="141">
        <f ca="1">IFERROR(__xludf.DUMMYFUNCTION("""COMPUTED_VALUE"""),22.6)</f>
        <v>22.6</v>
      </c>
      <c r="F140" s="141">
        <f ca="1">IFERROR(__xludf.DUMMYFUNCTION("""COMPUTED_VALUE"""),22.88)</f>
        <v>22.88</v>
      </c>
      <c r="G140" s="143">
        <f ca="1">IFERROR(__xludf.DUMMYFUNCTION("""COMPUTED_VALUE"""),776577)</f>
        <v>776577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IFERROR(__xludf.DUMMYFUNCTION("""COMPUTED_VALUE"""),22.97)</f>
        <v>22.97</v>
      </c>
      <c r="D141" s="141">
        <f ca="1">IFERROR(__xludf.DUMMYFUNCTION("""COMPUTED_VALUE"""),23.06)</f>
        <v>23.06</v>
      </c>
      <c r="E141" s="141">
        <f ca="1">IFERROR(__xludf.DUMMYFUNCTION("""COMPUTED_VALUE"""),22.89)</f>
        <v>22.89</v>
      </c>
      <c r="F141" s="141">
        <f ca="1">IFERROR(__xludf.DUMMYFUNCTION("""COMPUTED_VALUE"""),22.9)</f>
        <v>22.9</v>
      </c>
      <c r="G141" s="143">
        <f ca="1">IFERROR(__xludf.DUMMYFUNCTION("""COMPUTED_VALUE"""),220537)</f>
        <v>220537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IFERROR(__xludf.DUMMYFUNCTION("""COMPUTED_VALUE"""),23.06)</f>
        <v>23.06</v>
      </c>
      <c r="D142" s="141">
        <f ca="1">IFERROR(__xludf.DUMMYFUNCTION("""COMPUTED_VALUE"""),23.25)</f>
        <v>23.25</v>
      </c>
      <c r="E142" s="141">
        <f ca="1">IFERROR(__xludf.DUMMYFUNCTION("""COMPUTED_VALUE"""),23.06)</f>
        <v>23.06</v>
      </c>
      <c r="F142" s="141">
        <f ca="1">IFERROR(__xludf.DUMMYFUNCTION("""COMPUTED_VALUE"""),23.19)</f>
        <v>23.19</v>
      </c>
      <c r="G142" s="143">
        <f ca="1">IFERROR(__xludf.DUMMYFUNCTION("""COMPUTED_VALUE"""),320991)</f>
        <v>320991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IFERROR(__xludf.DUMMYFUNCTION("""COMPUTED_VALUE"""),23.35)</f>
        <v>23.35</v>
      </c>
      <c r="D143" s="141">
        <f ca="1">IFERROR(__xludf.DUMMYFUNCTION("""COMPUTED_VALUE"""),23.47)</f>
        <v>23.47</v>
      </c>
      <c r="E143" s="141">
        <f ca="1">IFERROR(__xludf.DUMMYFUNCTION("""COMPUTED_VALUE"""),23.3)</f>
        <v>23.3</v>
      </c>
      <c r="F143" s="141">
        <f ca="1">IFERROR(__xludf.DUMMYFUNCTION("""COMPUTED_VALUE"""),23.37)</f>
        <v>23.37</v>
      </c>
      <c r="G143" s="143">
        <f ca="1">IFERROR(__xludf.DUMMYFUNCTION("""COMPUTED_VALUE"""),826236)</f>
        <v>826236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IFERROR(__xludf.DUMMYFUNCTION("""COMPUTED_VALUE"""),23.57)</f>
        <v>23.57</v>
      </c>
      <c r="D144" s="141">
        <f ca="1">IFERROR(__xludf.DUMMYFUNCTION("""COMPUTED_VALUE"""),23.65)</f>
        <v>23.65</v>
      </c>
      <c r="E144" s="141">
        <f ca="1">IFERROR(__xludf.DUMMYFUNCTION("""COMPUTED_VALUE"""),23.26)</f>
        <v>23.26</v>
      </c>
      <c r="F144" s="141">
        <f ca="1">IFERROR(__xludf.DUMMYFUNCTION("""COMPUTED_VALUE"""),23.39)</f>
        <v>23.39</v>
      </c>
      <c r="G144" s="143">
        <f ca="1">IFERROR(__xludf.DUMMYFUNCTION("""COMPUTED_VALUE"""),1316504)</f>
        <v>1316504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IFERROR(__xludf.DUMMYFUNCTION("""COMPUTED_VALUE"""),23.18)</f>
        <v>23.18</v>
      </c>
      <c r="D145" s="141">
        <f ca="1">IFERROR(__xludf.DUMMYFUNCTION("""COMPUTED_VALUE"""),23.31)</f>
        <v>23.31</v>
      </c>
      <c r="E145" s="141">
        <f ca="1">IFERROR(__xludf.DUMMYFUNCTION("""COMPUTED_VALUE"""),23.12)</f>
        <v>23.12</v>
      </c>
      <c r="F145" s="141">
        <f ca="1">IFERROR(__xludf.DUMMYFUNCTION("""COMPUTED_VALUE"""),23.2)</f>
        <v>23.2</v>
      </c>
      <c r="G145" s="143">
        <f ca="1">IFERROR(__xludf.DUMMYFUNCTION("""COMPUTED_VALUE"""),490532)</f>
        <v>490532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IFERROR(__xludf.DUMMYFUNCTION("""COMPUTED_VALUE"""),23.2)</f>
        <v>23.2</v>
      </c>
      <c r="D146" s="141">
        <f ca="1">IFERROR(__xludf.DUMMYFUNCTION("""COMPUTED_VALUE"""),23.24)</f>
        <v>23.24</v>
      </c>
      <c r="E146" s="141">
        <f ca="1">IFERROR(__xludf.DUMMYFUNCTION("""COMPUTED_VALUE"""),23.09)</f>
        <v>23.09</v>
      </c>
      <c r="F146" s="141">
        <f ca="1">IFERROR(__xludf.DUMMYFUNCTION("""COMPUTED_VALUE"""),23.16)</f>
        <v>23.16</v>
      </c>
      <c r="G146" s="143">
        <f ca="1">IFERROR(__xludf.DUMMYFUNCTION("""COMPUTED_VALUE"""),506880)</f>
        <v>506880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IFERROR(__xludf.DUMMYFUNCTION("""COMPUTED_VALUE"""),23.54)</f>
        <v>23.54</v>
      </c>
      <c r="D147" s="141">
        <f ca="1">IFERROR(__xludf.DUMMYFUNCTION("""COMPUTED_VALUE"""),23.59)</f>
        <v>23.59</v>
      </c>
      <c r="E147" s="141">
        <f ca="1">IFERROR(__xludf.DUMMYFUNCTION("""COMPUTED_VALUE"""),23.45)</f>
        <v>23.45</v>
      </c>
      <c r="F147" s="141">
        <f ca="1">IFERROR(__xludf.DUMMYFUNCTION("""COMPUTED_VALUE"""),23.48)</f>
        <v>23.48</v>
      </c>
      <c r="G147" s="143">
        <f ca="1">IFERROR(__xludf.DUMMYFUNCTION("""COMPUTED_VALUE"""),428189)</f>
        <v>428189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IFERROR(__xludf.DUMMYFUNCTION("""COMPUTED_VALUE"""),23.78)</f>
        <v>23.78</v>
      </c>
      <c r="D148" s="141">
        <f ca="1">IFERROR(__xludf.DUMMYFUNCTION("""COMPUTED_VALUE"""),23.79)</f>
        <v>23.79</v>
      </c>
      <c r="E148" s="141">
        <f ca="1">IFERROR(__xludf.DUMMYFUNCTION("""COMPUTED_VALUE"""),23.65)</f>
        <v>23.65</v>
      </c>
      <c r="F148" s="141">
        <f ca="1">IFERROR(__xludf.DUMMYFUNCTION("""COMPUTED_VALUE"""),23.75)</f>
        <v>23.75</v>
      </c>
      <c r="G148" s="143">
        <f ca="1">IFERROR(__xludf.DUMMYFUNCTION("""COMPUTED_VALUE"""),693409)</f>
        <v>693409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IFERROR(__xludf.DUMMYFUNCTION("""COMPUTED_VALUE"""),23.72)</f>
        <v>23.72</v>
      </c>
      <c r="D149" s="141">
        <f ca="1">IFERROR(__xludf.DUMMYFUNCTION("""COMPUTED_VALUE"""),23.76)</f>
        <v>23.76</v>
      </c>
      <c r="E149" s="141">
        <f ca="1">IFERROR(__xludf.DUMMYFUNCTION("""COMPUTED_VALUE"""),23.65)</f>
        <v>23.65</v>
      </c>
      <c r="F149" s="141">
        <f ca="1">IFERROR(__xludf.DUMMYFUNCTION("""COMPUTED_VALUE"""),23.74)</f>
        <v>23.74</v>
      </c>
      <c r="G149" s="143">
        <f ca="1">IFERROR(__xludf.DUMMYFUNCTION("""COMPUTED_VALUE"""),409448)</f>
        <v>409448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IFERROR(__xludf.DUMMYFUNCTION("""COMPUTED_VALUE"""),24.05)</f>
        <v>24.05</v>
      </c>
      <c r="D150" s="141">
        <f ca="1">IFERROR(__xludf.DUMMYFUNCTION("""COMPUTED_VALUE"""),24.2)</f>
        <v>24.2</v>
      </c>
      <c r="E150" s="141">
        <f ca="1">IFERROR(__xludf.DUMMYFUNCTION("""COMPUTED_VALUE"""),24.05)</f>
        <v>24.05</v>
      </c>
      <c r="F150" s="141">
        <f ca="1">IFERROR(__xludf.DUMMYFUNCTION("""COMPUTED_VALUE"""),24.18)</f>
        <v>24.18</v>
      </c>
      <c r="G150" s="143">
        <f ca="1">IFERROR(__xludf.DUMMYFUNCTION("""COMPUTED_VALUE"""),890598)</f>
        <v>890598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IFERROR(__xludf.DUMMYFUNCTION("""COMPUTED_VALUE"""),24.35)</f>
        <v>24.35</v>
      </c>
      <c r="D151" s="141">
        <f ca="1">IFERROR(__xludf.DUMMYFUNCTION("""COMPUTED_VALUE"""),24.5)</f>
        <v>24.5</v>
      </c>
      <c r="E151" s="141">
        <f ca="1">IFERROR(__xludf.DUMMYFUNCTION("""COMPUTED_VALUE"""),24.19)</f>
        <v>24.19</v>
      </c>
      <c r="F151" s="141">
        <f ca="1">IFERROR(__xludf.DUMMYFUNCTION("""COMPUTED_VALUE"""),24.29)</f>
        <v>24.29</v>
      </c>
      <c r="G151" s="143">
        <f ca="1">IFERROR(__xludf.DUMMYFUNCTION("""COMPUTED_VALUE"""),749098)</f>
        <v>749098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IFERROR(__xludf.DUMMYFUNCTION("""COMPUTED_VALUE"""),24.3)</f>
        <v>24.3</v>
      </c>
      <c r="D152" s="141">
        <f ca="1">IFERROR(__xludf.DUMMYFUNCTION("""COMPUTED_VALUE"""),24.63)</f>
        <v>24.63</v>
      </c>
      <c r="E152" s="141">
        <f ca="1">IFERROR(__xludf.DUMMYFUNCTION("""COMPUTED_VALUE"""),24.23)</f>
        <v>24.23</v>
      </c>
      <c r="F152" s="141">
        <f ca="1">IFERROR(__xludf.DUMMYFUNCTION("""COMPUTED_VALUE"""),24.62)</f>
        <v>24.62</v>
      </c>
      <c r="G152" s="143">
        <f ca="1">IFERROR(__xludf.DUMMYFUNCTION("""COMPUTED_VALUE"""),928571)</f>
        <v>928571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IFERROR(__xludf.DUMMYFUNCTION("""COMPUTED_VALUE"""),24.77)</f>
        <v>24.77</v>
      </c>
      <c r="D153" s="141">
        <f ca="1">IFERROR(__xludf.DUMMYFUNCTION("""COMPUTED_VALUE"""),24.97)</f>
        <v>24.97</v>
      </c>
      <c r="E153" s="141">
        <f ca="1">IFERROR(__xludf.DUMMYFUNCTION("""COMPUTED_VALUE"""),24.71)</f>
        <v>24.71</v>
      </c>
      <c r="F153" s="141">
        <f ca="1">IFERROR(__xludf.DUMMYFUNCTION("""COMPUTED_VALUE"""),24.94)</f>
        <v>24.94</v>
      </c>
      <c r="G153" s="143">
        <f ca="1">IFERROR(__xludf.DUMMYFUNCTION("""COMPUTED_VALUE"""),557417)</f>
        <v>557417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IFERROR(__xludf.DUMMYFUNCTION("""COMPUTED_VALUE"""),25.67)</f>
        <v>25.67</v>
      </c>
      <c r="D154" s="141">
        <f ca="1">IFERROR(__xludf.DUMMYFUNCTION("""COMPUTED_VALUE"""),25.69)</f>
        <v>25.69</v>
      </c>
      <c r="E154" s="141">
        <f ca="1">IFERROR(__xludf.DUMMYFUNCTION("""COMPUTED_VALUE"""),24.77)</f>
        <v>24.77</v>
      </c>
      <c r="F154" s="141">
        <f ca="1">IFERROR(__xludf.DUMMYFUNCTION("""COMPUTED_VALUE"""),25.3)</f>
        <v>25.3</v>
      </c>
      <c r="G154" s="143">
        <f ca="1">IFERROR(__xludf.DUMMYFUNCTION("""COMPUTED_VALUE"""),1001618)</f>
        <v>1001618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IFERROR(__xludf.DUMMYFUNCTION("""COMPUTED_VALUE"""),24.79)</f>
        <v>24.79</v>
      </c>
      <c r="D155" s="141">
        <f ca="1">IFERROR(__xludf.DUMMYFUNCTION("""COMPUTED_VALUE"""),24.86)</f>
        <v>24.86</v>
      </c>
      <c r="E155" s="141">
        <f ca="1">IFERROR(__xludf.DUMMYFUNCTION("""COMPUTED_VALUE"""),23.95)</f>
        <v>23.95</v>
      </c>
      <c r="F155" s="141">
        <f ca="1">IFERROR(__xludf.DUMMYFUNCTION("""COMPUTED_VALUE"""),24.43)</f>
        <v>24.43</v>
      </c>
      <c r="G155" s="143">
        <f ca="1">IFERROR(__xludf.DUMMYFUNCTION("""COMPUTED_VALUE"""),2266805)</f>
        <v>2266805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IFERROR(__xludf.DUMMYFUNCTION("""COMPUTED_VALUE"""),23.66)</f>
        <v>23.66</v>
      </c>
      <c r="D156" s="141">
        <f ca="1">IFERROR(__xludf.DUMMYFUNCTION("""COMPUTED_VALUE"""),23.76)</f>
        <v>23.76</v>
      </c>
      <c r="E156" s="141">
        <f ca="1">IFERROR(__xludf.DUMMYFUNCTION("""COMPUTED_VALUE"""),23.39)</f>
        <v>23.39</v>
      </c>
      <c r="F156" s="141">
        <f ca="1">IFERROR(__xludf.DUMMYFUNCTION("""COMPUTED_VALUE"""),23.54)</f>
        <v>23.54</v>
      </c>
      <c r="G156" s="143">
        <f ca="1">IFERROR(__xludf.DUMMYFUNCTION("""COMPUTED_VALUE"""),3064343)</f>
        <v>3064343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IFERROR(__xludf.DUMMYFUNCTION("""COMPUTED_VALUE"""),23.97)</f>
        <v>23.97</v>
      </c>
      <c r="D157" s="141">
        <f ca="1">IFERROR(__xludf.DUMMYFUNCTION("""COMPUTED_VALUE"""),24.17)</f>
        <v>24.17</v>
      </c>
      <c r="E157" s="141">
        <f ca="1">IFERROR(__xludf.DUMMYFUNCTION("""COMPUTED_VALUE"""),23.87)</f>
        <v>23.87</v>
      </c>
      <c r="F157" s="141">
        <f ca="1">IFERROR(__xludf.DUMMYFUNCTION("""COMPUTED_VALUE"""),24.15)</f>
        <v>24.15</v>
      </c>
      <c r="G157" s="143">
        <f ca="1">IFERROR(__xludf.DUMMYFUNCTION("""COMPUTED_VALUE"""),1165230)</f>
        <v>1165230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IFERROR(__xludf.DUMMYFUNCTION("""COMPUTED_VALUE"""),24.18)</f>
        <v>24.18</v>
      </c>
      <c r="D158" s="141">
        <f ca="1">IFERROR(__xludf.DUMMYFUNCTION("""COMPUTED_VALUE"""),24.27)</f>
        <v>24.27</v>
      </c>
      <c r="E158" s="141">
        <f ca="1">IFERROR(__xludf.DUMMYFUNCTION("""COMPUTED_VALUE"""),23.93)</f>
        <v>23.93</v>
      </c>
      <c r="F158" s="141">
        <f ca="1">IFERROR(__xludf.DUMMYFUNCTION("""COMPUTED_VALUE"""),24.19)</f>
        <v>24.19</v>
      </c>
      <c r="G158" s="143">
        <f ca="1">IFERROR(__xludf.DUMMYFUNCTION("""COMPUTED_VALUE"""),1310352)</f>
        <v>1310352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IFERROR(__xludf.DUMMYFUNCTION("""COMPUTED_VALUE"""),23.86)</f>
        <v>23.86</v>
      </c>
      <c r="D159" s="141">
        <f ca="1">IFERROR(__xludf.DUMMYFUNCTION("""COMPUTED_VALUE"""),24.01)</f>
        <v>24.01</v>
      </c>
      <c r="E159" s="141">
        <f ca="1">IFERROR(__xludf.DUMMYFUNCTION("""COMPUTED_VALUE"""),23.64)</f>
        <v>23.64</v>
      </c>
      <c r="F159" s="141">
        <f ca="1">IFERROR(__xludf.DUMMYFUNCTION("""COMPUTED_VALUE"""),23.76)</f>
        <v>23.76</v>
      </c>
      <c r="G159" s="143">
        <f ca="1">IFERROR(__xludf.DUMMYFUNCTION("""COMPUTED_VALUE"""),916089)</f>
        <v>916089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IFERROR(__xludf.DUMMYFUNCTION("""COMPUTED_VALUE"""),23.84)</f>
        <v>23.84</v>
      </c>
      <c r="D160" s="141">
        <f ca="1">IFERROR(__xludf.DUMMYFUNCTION("""COMPUTED_VALUE"""),24.15)</f>
        <v>24.15</v>
      </c>
      <c r="E160" s="141">
        <f ca="1">IFERROR(__xludf.DUMMYFUNCTION("""COMPUTED_VALUE"""),23.83)</f>
        <v>23.83</v>
      </c>
      <c r="F160" s="141">
        <f ca="1">IFERROR(__xludf.DUMMYFUNCTION("""COMPUTED_VALUE"""),24.01)</f>
        <v>24.01</v>
      </c>
      <c r="G160" s="143">
        <f ca="1">IFERROR(__xludf.DUMMYFUNCTION("""COMPUTED_VALUE"""),913122)</f>
        <v>913122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IFERROR(__xludf.DUMMYFUNCTION("""COMPUTED_VALUE"""),23.98)</f>
        <v>23.98</v>
      </c>
      <c r="D161" s="141">
        <f ca="1">IFERROR(__xludf.DUMMYFUNCTION("""COMPUTED_VALUE"""),24.29)</f>
        <v>24.29</v>
      </c>
      <c r="E161" s="141">
        <f ca="1">IFERROR(__xludf.DUMMYFUNCTION("""COMPUTED_VALUE"""),23.97)</f>
        <v>23.97</v>
      </c>
      <c r="F161" s="141">
        <f ca="1">IFERROR(__xludf.DUMMYFUNCTION("""COMPUTED_VALUE"""),24.25)</f>
        <v>24.25</v>
      </c>
      <c r="G161" s="143">
        <f ca="1">IFERROR(__xludf.DUMMYFUNCTION("""COMPUTED_VALUE"""),630402)</f>
        <v>630402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IFERROR(__xludf.DUMMYFUNCTION("""COMPUTED_VALUE"""),24.23)</f>
        <v>24.23</v>
      </c>
      <c r="D162" s="141">
        <f ca="1">IFERROR(__xludf.DUMMYFUNCTION("""COMPUTED_VALUE"""),24.23)</f>
        <v>24.23</v>
      </c>
      <c r="E162" s="141">
        <f ca="1">IFERROR(__xludf.DUMMYFUNCTION("""COMPUTED_VALUE"""),24.03)</f>
        <v>24.03</v>
      </c>
      <c r="F162" s="141">
        <f ca="1">IFERROR(__xludf.DUMMYFUNCTION("""COMPUTED_VALUE"""),24.14)</f>
        <v>24.14</v>
      </c>
      <c r="G162" s="143">
        <f ca="1">IFERROR(__xludf.DUMMYFUNCTION("""COMPUTED_VALUE"""),383488)</f>
        <v>383488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IFERROR(__xludf.DUMMYFUNCTION("""COMPUTED_VALUE"""),24.43)</f>
        <v>24.43</v>
      </c>
      <c r="D163" s="141">
        <f ca="1">IFERROR(__xludf.DUMMYFUNCTION("""COMPUTED_VALUE"""),24.43)</f>
        <v>24.43</v>
      </c>
      <c r="E163" s="141">
        <f ca="1">IFERROR(__xludf.DUMMYFUNCTION("""COMPUTED_VALUE"""),24.25)</f>
        <v>24.25</v>
      </c>
      <c r="F163" s="141">
        <f ca="1">IFERROR(__xludf.DUMMYFUNCTION("""COMPUTED_VALUE"""),24.37)</f>
        <v>24.37</v>
      </c>
      <c r="G163" s="143">
        <f ca="1">IFERROR(__xludf.DUMMYFUNCTION("""COMPUTED_VALUE"""),1026015)</f>
        <v>1026015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IFERROR(__xludf.DUMMYFUNCTION("""COMPUTED_VALUE"""),24.28)</f>
        <v>24.28</v>
      </c>
      <c r="D164" s="141">
        <f ca="1">IFERROR(__xludf.DUMMYFUNCTION("""COMPUTED_VALUE"""),24.3)</f>
        <v>24.3</v>
      </c>
      <c r="E164" s="141">
        <f ca="1">IFERROR(__xludf.DUMMYFUNCTION("""COMPUTED_VALUE"""),23.77)</f>
        <v>23.77</v>
      </c>
      <c r="F164" s="141">
        <f ca="1">IFERROR(__xludf.DUMMYFUNCTION("""COMPUTED_VALUE"""),23.8)</f>
        <v>23.8</v>
      </c>
      <c r="G164" s="143">
        <f ca="1">IFERROR(__xludf.DUMMYFUNCTION("""COMPUTED_VALUE"""),1756512)</f>
        <v>1756512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IFERROR(__xludf.DUMMYFUNCTION("""COMPUTED_VALUE"""),23.85)</f>
        <v>23.85</v>
      </c>
      <c r="D165" s="141">
        <f ca="1">IFERROR(__xludf.DUMMYFUNCTION("""COMPUTED_VALUE"""),23.95)</f>
        <v>23.95</v>
      </c>
      <c r="E165" s="141">
        <f ca="1">IFERROR(__xludf.DUMMYFUNCTION("""COMPUTED_VALUE"""),23.74)</f>
        <v>23.74</v>
      </c>
      <c r="F165" s="141">
        <f ca="1">IFERROR(__xludf.DUMMYFUNCTION("""COMPUTED_VALUE"""),23.88)</f>
        <v>23.88</v>
      </c>
      <c r="G165" s="143">
        <f ca="1">IFERROR(__xludf.DUMMYFUNCTION("""COMPUTED_VALUE"""),250740)</f>
        <v>250740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IFERROR(__xludf.DUMMYFUNCTION("""COMPUTED_VALUE"""),23.61)</f>
        <v>23.61</v>
      </c>
      <c r="D166" s="141">
        <f ca="1">IFERROR(__xludf.DUMMYFUNCTION("""COMPUTED_VALUE"""),23.69)</f>
        <v>23.69</v>
      </c>
      <c r="E166" s="141">
        <f ca="1">IFERROR(__xludf.DUMMYFUNCTION("""COMPUTED_VALUE"""),23.52)</f>
        <v>23.52</v>
      </c>
      <c r="F166" s="141">
        <f ca="1">IFERROR(__xludf.DUMMYFUNCTION("""COMPUTED_VALUE"""),23.59)</f>
        <v>23.59</v>
      </c>
      <c r="G166" s="143">
        <f ca="1">IFERROR(__xludf.DUMMYFUNCTION("""COMPUTED_VALUE"""),387599)</f>
        <v>387599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IFERROR(__xludf.DUMMYFUNCTION("""COMPUTED_VALUE"""),23.97)</f>
        <v>23.97</v>
      </c>
      <c r="D167" s="141">
        <f ca="1">IFERROR(__xludf.DUMMYFUNCTION("""COMPUTED_VALUE"""),24.24)</f>
        <v>24.24</v>
      </c>
      <c r="E167" s="141">
        <f ca="1">IFERROR(__xludf.DUMMYFUNCTION("""COMPUTED_VALUE"""),23.97)</f>
        <v>23.97</v>
      </c>
      <c r="F167" s="141">
        <f ca="1">IFERROR(__xludf.DUMMYFUNCTION("""COMPUTED_VALUE"""),24.21)</f>
        <v>24.21</v>
      </c>
      <c r="G167" s="143">
        <f ca="1">IFERROR(__xludf.DUMMYFUNCTION("""COMPUTED_VALUE"""),408503)</f>
        <v>408503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IFERROR(__xludf.DUMMYFUNCTION("""COMPUTED_VALUE"""),24.29)</f>
        <v>24.29</v>
      </c>
      <c r="D168" s="141">
        <f ca="1">IFERROR(__xludf.DUMMYFUNCTION("""COMPUTED_VALUE"""),24.43)</f>
        <v>24.43</v>
      </c>
      <c r="E168" s="141">
        <f ca="1">IFERROR(__xludf.DUMMYFUNCTION("""COMPUTED_VALUE"""),24.21)</f>
        <v>24.21</v>
      </c>
      <c r="F168" s="141">
        <f ca="1">IFERROR(__xludf.DUMMYFUNCTION("""COMPUTED_VALUE"""),24.43)</f>
        <v>24.43</v>
      </c>
      <c r="G168" s="143">
        <f ca="1">IFERROR(__xludf.DUMMYFUNCTION("""COMPUTED_VALUE"""),278783)</f>
        <v>278783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IFERROR(__xludf.DUMMYFUNCTION("""COMPUTED_VALUE"""),24.45)</f>
        <v>24.45</v>
      </c>
      <c r="D169" s="141">
        <f ca="1">IFERROR(__xludf.DUMMYFUNCTION("""COMPUTED_VALUE"""),24.64)</f>
        <v>24.64</v>
      </c>
      <c r="E169" s="141">
        <f ca="1">IFERROR(__xludf.DUMMYFUNCTION("""COMPUTED_VALUE"""),24.41)</f>
        <v>24.41</v>
      </c>
      <c r="F169" s="141">
        <f ca="1">IFERROR(__xludf.DUMMYFUNCTION("""COMPUTED_VALUE"""),24.6)</f>
        <v>24.6</v>
      </c>
      <c r="G169" s="143">
        <f ca="1">IFERROR(__xludf.DUMMYFUNCTION("""COMPUTED_VALUE"""),350529)</f>
        <v>350529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IFERROR(__xludf.DUMMYFUNCTION("""COMPUTED_VALUE"""),24.74)</f>
        <v>24.74</v>
      </c>
      <c r="D170" s="141">
        <f ca="1">IFERROR(__xludf.DUMMYFUNCTION("""COMPUTED_VALUE"""),24.85)</f>
        <v>24.85</v>
      </c>
      <c r="E170" s="141">
        <f ca="1">IFERROR(__xludf.DUMMYFUNCTION("""COMPUTED_VALUE"""),24.64)</f>
        <v>24.64</v>
      </c>
      <c r="F170" s="141">
        <f ca="1">IFERROR(__xludf.DUMMYFUNCTION("""COMPUTED_VALUE"""),24.75)</f>
        <v>24.75</v>
      </c>
      <c r="G170" s="143">
        <f ca="1">IFERROR(__xludf.DUMMYFUNCTION("""COMPUTED_VALUE"""),743103)</f>
        <v>743103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IFERROR(__xludf.DUMMYFUNCTION("""COMPUTED_VALUE"""),24.69)</f>
        <v>24.69</v>
      </c>
      <c r="D171" s="141">
        <f ca="1">IFERROR(__xludf.DUMMYFUNCTION("""COMPUTED_VALUE"""),24.75)</f>
        <v>24.75</v>
      </c>
      <c r="E171" s="141">
        <f ca="1">IFERROR(__xludf.DUMMYFUNCTION("""COMPUTED_VALUE"""),24.62)</f>
        <v>24.62</v>
      </c>
      <c r="F171" s="141">
        <f ca="1">IFERROR(__xludf.DUMMYFUNCTION("""COMPUTED_VALUE"""),24.72)</f>
        <v>24.72</v>
      </c>
      <c r="G171" s="143">
        <f ca="1">IFERROR(__xludf.DUMMYFUNCTION("""COMPUTED_VALUE"""),778325)</f>
        <v>778325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IFERROR(__xludf.DUMMYFUNCTION("""COMPUTED_VALUE"""),24.76)</f>
        <v>24.76</v>
      </c>
      <c r="D172" s="141">
        <f ca="1">IFERROR(__xludf.DUMMYFUNCTION("""COMPUTED_VALUE"""),24.93)</f>
        <v>24.93</v>
      </c>
      <c r="E172" s="141">
        <f ca="1">IFERROR(__xludf.DUMMYFUNCTION("""COMPUTED_VALUE"""),24.68)</f>
        <v>24.68</v>
      </c>
      <c r="F172" s="141">
        <f ca="1">IFERROR(__xludf.DUMMYFUNCTION("""COMPUTED_VALUE"""),24.75)</f>
        <v>24.75</v>
      </c>
      <c r="G172" s="143">
        <f ca="1">IFERROR(__xludf.DUMMYFUNCTION("""COMPUTED_VALUE"""),784992)</f>
        <v>784992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IFERROR(__xludf.DUMMYFUNCTION("""COMPUTED_VALUE"""),24.59)</f>
        <v>24.59</v>
      </c>
      <c r="D173" s="141">
        <f ca="1">IFERROR(__xludf.DUMMYFUNCTION("""COMPUTED_VALUE"""),24.87)</f>
        <v>24.87</v>
      </c>
      <c r="E173" s="141">
        <f ca="1">IFERROR(__xludf.DUMMYFUNCTION("""COMPUTED_VALUE"""),24.51)</f>
        <v>24.51</v>
      </c>
      <c r="F173" s="141">
        <f ca="1">IFERROR(__xludf.DUMMYFUNCTION("""COMPUTED_VALUE"""),24.76)</f>
        <v>24.76</v>
      </c>
      <c r="G173" s="143">
        <f ca="1">IFERROR(__xludf.DUMMYFUNCTION("""COMPUTED_VALUE"""),385751)</f>
        <v>385751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IFERROR(__xludf.DUMMYFUNCTION("""COMPUTED_VALUE"""),25.1)</f>
        <v>25.1</v>
      </c>
      <c r="D174" s="141">
        <f ca="1">IFERROR(__xludf.DUMMYFUNCTION("""COMPUTED_VALUE"""),25.11)</f>
        <v>25.11</v>
      </c>
      <c r="E174" s="141">
        <f ca="1">IFERROR(__xludf.DUMMYFUNCTION("""COMPUTED_VALUE"""),24.94)</f>
        <v>24.94</v>
      </c>
      <c r="F174" s="141">
        <f ca="1">IFERROR(__xludf.DUMMYFUNCTION("""COMPUTED_VALUE"""),25.1)</f>
        <v>25.1</v>
      </c>
      <c r="G174" s="143">
        <f ca="1">IFERROR(__xludf.DUMMYFUNCTION("""COMPUTED_VALUE"""),467847)</f>
        <v>467847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IFERROR(__xludf.DUMMYFUNCTION("""COMPUTED_VALUE"""),25.89)</f>
        <v>25.89</v>
      </c>
      <c r="D175" s="141">
        <f ca="1">IFERROR(__xludf.DUMMYFUNCTION("""COMPUTED_VALUE"""),25.95)</f>
        <v>25.95</v>
      </c>
      <c r="E175" s="141">
        <f ca="1">IFERROR(__xludf.DUMMYFUNCTION("""COMPUTED_VALUE"""),25.51)</f>
        <v>25.51</v>
      </c>
      <c r="F175" s="141">
        <f ca="1">IFERROR(__xludf.DUMMYFUNCTION("""COMPUTED_VALUE"""),25.81)</f>
        <v>25.81</v>
      </c>
      <c r="G175" s="143">
        <f ca="1">IFERROR(__xludf.DUMMYFUNCTION("""COMPUTED_VALUE"""),1706370)</f>
        <v>1706370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IFERROR(__xludf.DUMMYFUNCTION("""COMPUTED_VALUE"""),26.37)</f>
        <v>26.37</v>
      </c>
      <c r="D176" s="141">
        <f ca="1">IFERROR(__xludf.DUMMYFUNCTION("""COMPUTED_VALUE"""),26.39)</f>
        <v>26.39</v>
      </c>
      <c r="E176" s="141">
        <f ca="1">IFERROR(__xludf.DUMMYFUNCTION("""COMPUTED_VALUE"""),25.58)</f>
        <v>25.58</v>
      </c>
      <c r="F176" s="141">
        <f ca="1">IFERROR(__xludf.DUMMYFUNCTION("""COMPUTED_VALUE"""),25.91)</f>
        <v>25.91</v>
      </c>
      <c r="G176" s="143">
        <f ca="1">IFERROR(__xludf.DUMMYFUNCTION("""COMPUTED_VALUE"""),1297754)</f>
        <v>1297754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IFERROR(__xludf.DUMMYFUNCTION("""COMPUTED_VALUE"""),26.04)</f>
        <v>26.04</v>
      </c>
      <c r="D177" s="141">
        <f ca="1">IFERROR(__xludf.DUMMYFUNCTION("""COMPUTED_VALUE"""),26.19)</f>
        <v>26.19</v>
      </c>
      <c r="E177" s="141">
        <f ca="1">IFERROR(__xludf.DUMMYFUNCTION("""COMPUTED_VALUE"""),25.92)</f>
        <v>25.92</v>
      </c>
      <c r="F177" s="141">
        <f ca="1">IFERROR(__xludf.DUMMYFUNCTION("""COMPUTED_VALUE"""),26.14)</f>
        <v>26.14</v>
      </c>
      <c r="G177" s="143">
        <f ca="1">IFERROR(__xludf.DUMMYFUNCTION("""COMPUTED_VALUE"""),539433)</f>
        <v>539433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IFERROR(__xludf.DUMMYFUNCTION("""COMPUTED_VALUE"""),26.35)</f>
        <v>26.35</v>
      </c>
      <c r="D178" s="141">
        <f ca="1">IFERROR(__xludf.DUMMYFUNCTION("""COMPUTED_VALUE"""),26.74)</f>
        <v>26.74</v>
      </c>
      <c r="E178" s="141">
        <f ca="1">IFERROR(__xludf.DUMMYFUNCTION("""COMPUTED_VALUE"""),26.32)</f>
        <v>26.32</v>
      </c>
      <c r="F178" s="141">
        <f ca="1">IFERROR(__xludf.DUMMYFUNCTION("""COMPUTED_VALUE"""),26.52)</f>
        <v>26.52</v>
      </c>
      <c r="G178" s="143">
        <f ca="1">IFERROR(__xludf.DUMMYFUNCTION("""COMPUTED_VALUE"""),1299576)</f>
        <v>1299576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IFERROR(__xludf.DUMMYFUNCTION("""COMPUTED_VALUE"""),27.31)</f>
        <v>27.31</v>
      </c>
      <c r="D179" s="141">
        <f ca="1">IFERROR(__xludf.DUMMYFUNCTION("""COMPUTED_VALUE"""),27.66)</f>
        <v>27.66</v>
      </c>
      <c r="E179" s="141">
        <f ca="1">IFERROR(__xludf.DUMMYFUNCTION("""COMPUTED_VALUE"""),27.25)</f>
        <v>27.25</v>
      </c>
      <c r="F179" s="141">
        <f ca="1">IFERROR(__xludf.DUMMYFUNCTION("""COMPUTED_VALUE"""),27.51)</f>
        <v>27.51</v>
      </c>
      <c r="G179" s="143">
        <f ca="1">IFERROR(__xludf.DUMMYFUNCTION("""COMPUTED_VALUE"""),4460325)</f>
        <v>4460325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IFERROR(__xludf.DUMMYFUNCTION("""COMPUTED_VALUE"""),28.38)</f>
        <v>28.38</v>
      </c>
      <c r="D180" s="141">
        <f ca="1">IFERROR(__xludf.DUMMYFUNCTION("""COMPUTED_VALUE"""),28.61)</f>
        <v>28.61</v>
      </c>
      <c r="E180" s="141">
        <f ca="1">IFERROR(__xludf.DUMMYFUNCTION("""COMPUTED_VALUE"""),26.69)</f>
        <v>26.69</v>
      </c>
      <c r="F180" s="141">
        <f ca="1">IFERROR(__xludf.DUMMYFUNCTION("""COMPUTED_VALUE"""),27.14)</f>
        <v>27.14</v>
      </c>
      <c r="G180" s="143">
        <f ca="1">IFERROR(__xludf.DUMMYFUNCTION("""COMPUTED_VALUE"""),5111096)</f>
        <v>5111096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IFERROR(__xludf.DUMMYFUNCTION("""COMPUTED_VALUE"""),27.57)</f>
        <v>27.57</v>
      </c>
      <c r="D181" s="141">
        <f ca="1">IFERROR(__xludf.DUMMYFUNCTION("""COMPUTED_VALUE"""),27.64)</f>
        <v>27.64</v>
      </c>
      <c r="E181" s="141">
        <f ca="1">IFERROR(__xludf.DUMMYFUNCTION("""COMPUTED_VALUE"""),26.6)</f>
        <v>26.6</v>
      </c>
      <c r="F181" s="141">
        <f ca="1">IFERROR(__xludf.DUMMYFUNCTION("""COMPUTED_VALUE"""),27.6)</f>
        <v>27.6</v>
      </c>
      <c r="G181" s="143">
        <f ca="1">IFERROR(__xludf.DUMMYFUNCTION("""COMPUTED_VALUE"""),2495986)</f>
        <v>2495986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IFERROR(__xludf.DUMMYFUNCTION("""COMPUTED_VALUE"""),27.71)</f>
        <v>27.71</v>
      </c>
      <c r="D182" s="141">
        <f ca="1">IFERROR(__xludf.DUMMYFUNCTION("""COMPUTED_VALUE"""),28.15)</f>
        <v>28.15</v>
      </c>
      <c r="E182" s="141">
        <f ca="1">IFERROR(__xludf.DUMMYFUNCTION("""COMPUTED_VALUE"""),27.35)</f>
        <v>27.35</v>
      </c>
      <c r="F182" s="141">
        <f ca="1">IFERROR(__xludf.DUMMYFUNCTION("""COMPUTED_VALUE"""),28.13)</f>
        <v>28.13</v>
      </c>
      <c r="G182" s="143">
        <f ca="1">IFERROR(__xludf.DUMMYFUNCTION("""COMPUTED_VALUE"""),1227160)</f>
        <v>1227160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IFERROR(__xludf.DUMMYFUNCTION("""COMPUTED_VALUE"""),28.73)</f>
        <v>28.73</v>
      </c>
      <c r="D183" s="141">
        <f ca="1">IFERROR(__xludf.DUMMYFUNCTION("""COMPUTED_VALUE"""),28.93)</f>
        <v>28.93</v>
      </c>
      <c r="E183" s="141">
        <f ca="1">IFERROR(__xludf.DUMMYFUNCTION("""COMPUTED_VALUE"""),28.49)</f>
        <v>28.49</v>
      </c>
      <c r="F183" s="141">
        <f ca="1">IFERROR(__xludf.DUMMYFUNCTION("""COMPUTED_VALUE"""),28.86)</f>
        <v>28.86</v>
      </c>
      <c r="G183" s="143">
        <f ca="1">IFERROR(__xludf.DUMMYFUNCTION("""COMPUTED_VALUE"""),1770054)</f>
        <v>1770054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IFERROR(__xludf.DUMMYFUNCTION("""COMPUTED_VALUE"""),28.51)</f>
        <v>28.51</v>
      </c>
      <c r="D184" s="141">
        <f ca="1">IFERROR(__xludf.DUMMYFUNCTION("""COMPUTED_VALUE"""),28.79)</f>
        <v>28.79</v>
      </c>
      <c r="E184" s="141">
        <f ca="1">IFERROR(__xludf.DUMMYFUNCTION("""COMPUTED_VALUE"""),28.22)</f>
        <v>28.22</v>
      </c>
      <c r="F184" s="141">
        <f ca="1">IFERROR(__xludf.DUMMYFUNCTION("""COMPUTED_VALUE"""),28.71)</f>
        <v>28.71</v>
      </c>
      <c r="G184" s="143">
        <f ca="1">IFERROR(__xludf.DUMMYFUNCTION("""COMPUTED_VALUE"""),1135614)</f>
        <v>1135614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IFERROR(__xludf.DUMMYFUNCTION("""COMPUTED_VALUE"""),28.64)</f>
        <v>28.64</v>
      </c>
      <c r="D185" s="141">
        <f ca="1">IFERROR(__xludf.DUMMYFUNCTION("""COMPUTED_VALUE"""),28.7)</f>
        <v>28.7</v>
      </c>
      <c r="E185" s="141">
        <f ca="1">IFERROR(__xludf.DUMMYFUNCTION("""COMPUTED_VALUE"""),28.2)</f>
        <v>28.2</v>
      </c>
      <c r="F185" s="141">
        <f ca="1">IFERROR(__xludf.DUMMYFUNCTION("""COMPUTED_VALUE"""),28.31)</f>
        <v>28.31</v>
      </c>
      <c r="G185" s="143">
        <f ca="1">IFERROR(__xludf.DUMMYFUNCTION("""COMPUTED_VALUE"""),1232029)</f>
        <v>1232029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IFERROR(__xludf.DUMMYFUNCTION("""COMPUTED_VALUE"""),28.71)</f>
        <v>28.71</v>
      </c>
      <c r="D186" s="141">
        <f ca="1">IFERROR(__xludf.DUMMYFUNCTION("""COMPUTED_VALUE"""),28.77)</f>
        <v>28.77</v>
      </c>
      <c r="E186" s="141">
        <f ca="1">IFERROR(__xludf.DUMMYFUNCTION("""COMPUTED_VALUE"""),28.54)</f>
        <v>28.54</v>
      </c>
      <c r="F186" s="141">
        <f ca="1">IFERROR(__xludf.DUMMYFUNCTION("""COMPUTED_VALUE"""),28.76)</f>
        <v>28.76</v>
      </c>
      <c r="G186" s="143">
        <f ca="1">IFERROR(__xludf.DUMMYFUNCTION("""COMPUTED_VALUE"""),449843)</f>
        <v>449843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IFERROR(__xludf.DUMMYFUNCTION("""COMPUTED_VALUE"""),28.98)</f>
        <v>28.98</v>
      </c>
      <c r="D187" s="141">
        <f ca="1">IFERROR(__xludf.DUMMYFUNCTION("""COMPUTED_VALUE"""),29.3)</f>
        <v>29.3</v>
      </c>
      <c r="E187" s="141">
        <f ca="1">IFERROR(__xludf.DUMMYFUNCTION("""COMPUTED_VALUE"""),28.89)</f>
        <v>28.89</v>
      </c>
      <c r="F187" s="141">
        <f ca="1">IFERROR(__xludf.DUMMYFUNCTION("""COMPUTED_VALUE"""),29.27)</f>
        <v>29.27</v>
      </c>
      <c r="G187" s="143">
        <f ca="1">IFERROR(__xludf.DUMMYFUNCTION("""COMPUTED_VALUE"""),873354)</f>
        <v>873354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IFERROR(__xludf.DUMMYFUNCTION("""COMPUTED_VALUE"""),29.05)</f>
        <v>29.05</v>
      </c>
      <c r="D188" s="141">
        <f ca="1">IFERROR(__xludf.DUMMYFUNCTION("""COMPUTED_VALUE"""),29.25)</f>
        <v>29.25</v>
      </c>
      <c r="E188" s="141">
        <f ca="1">IFERROR(__xludf.DUMMYFUNCTION("""COMPUTED_VALUE"""),28.54)</f>
        <v>28.54</v>
      </c>
      <c r="F188" s="141">
        <f ca="1">IFERROR(__xludf.DUMMYFUNCTION("""COMPUTED_VALUE"""),28.84)</f>
        <v>28.84</v>
      </c>
      <c r="G188" s="143">
        <f ca="1">IFERROR(__xludf.DUMMYFUNCTION("""COMPUTED_VALUE"""),1052102)</f>
        <v>1052102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IFERROR(__xludf.DUMMYFUNCTION("""COMPUTED_VALUE"""),28.88)</f>
        <v>28.88</v>
      </c>
      <c r="D189" s="141">
        <f ca="1">IFERROR(__xludf.DUMMYFUNCTION("""COMPUTED_VALUE"""),29.14)</f>
        <v>29.14</v>
      </c>
      <c r="E189" s="141">
        <f ca="1">IFERROR(__xludf.DUMMYFUNCTION("""COMPUTED_VALUE"""),28.74)</f>
        <v>28.74</v>
      </c>
      <c r="F189" s="141">
        <f ca="1">IFERROR(__xludf.DUMMYFUNCTION("""COMPUTED_VALUE"""),28.94)</f>
        <v>28.94</v>
      </c>
      <c r="G189" s="143">
        <f ca="1">IFERROR(__xludf.DUMMYFUNCTION("""COMPUTED_VALUE"""),1960062)</f>
        <v>1960062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IFERROR(__xludf.DUMMYFUNCTION("""COMPUTED_VALUE"""),28.06)</f>
        <v>28.06</v>
      </c>
      <c r="D190" s="141">
        <f ca="1">IFERROR(__xludf.DUMMYFUNCTION("""COMPUTED_VALUE"""),28.13)</f>
        <v>28.13</v>
      </c>
      <c r="E190" s="141">
        <f ca="1">IFERROR(__xludf.DUMMYFUNCTION("""COMPUTED_VALUE"""),27.41)</f>
        <v>27.41</v>
      </c>
      <c r="F190" s="141">
        <f ca="1">IFERROR(__xludf.DUMMYFUNCTION("""COMPUTED_VALUE"""),27.75)</f>
        <v>27.75</v>
      </c>
      <c r="G190" s="143">
        <f ca="1">IFERROR(__xludf.DUMMYFUNCTION("""COMPUTED_VALUE"""),2131397)</f>
        <v>2131397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IFERROR(__xludf.DUMMYFUNCTION("""COMPUTED_VALUE"""),28.2)</f>
        <v>28.2</v>
      </c>
      <c r="D191" s="141">
        <f ca="1">IFERROR(__xludf.DUMMYFUNCTION("""COMPUTED_VALUE"""),28.4)</f>
        <v>28.4</v>
      </c>
      <c r="E191" s="141">
        <f ca="1">IFERROR(__xludf.DUMMYFUNCTION("""COMPUTED_VALUE"""),28.06)</f>
        <v>28.06</v>
      </c>
      <c r="F191" s="141">
        <f ca="1">IFERROR(__xludf.DUMMYFUNCTION("""COMPUTED_VALUE"""),28.24)</f>
        <v>28.24</v>
      </c>
      <c r="G191" s="143">
        <f ca="1">IFERROR(__xludf.DUMMYFUNCTION("""COMPUTED_VALUE"""),1491971)</f>
        <v>1491971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IFERROR(__xludf.DUMMYFUNCTION("""COMPUTED_VALUE"""),27.8)</f>
        <v>27.8</v>
      </c>
      <c r="D192" s="141">
        <f ca="1">IFERROR(__xludf.DUMMYFUNCTION("""COMPUTED_VALUE"""),28.24)</f>
        <v>28.24</v>
      </c>
      <c r="E192" s="141">
        <f ca="1">IFERROR(__xludf.DUMMYFUNCTION("""COMPUTED_VALUE"""),27.78)</f>
        <v>27.78</v>
      </c>
      <c r="F192" s="141">
        <f ca="1">IFERROR(__xludf.DUMMYFUNCTION("""COMPUTED_VALUE"""),28.17)</f>
        <v>28.17</v>
      </c>
      <c r="G192" s="143">
        <f ca="1">IFERROR(__xludf.DUMMYFUNCTION("""COMPUTED_VALUE"""),910097)</f>
        <v>910097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IFERROR(__xludf.DUMMYFUNCTION("""COMPUTED_VALUE"""),28.44)</f>
        <v>28.44</v>
      </c>
      <c r="D193" s="141">
        <f ca="1">IFERROR(__xludf.DUMMYFUNCTION("""COMPUTED_VALUE"""),28.66)</f>
        <v>28.66</v>
      </c>
      <c r="E193" s="141">
        <f ca="1">IFERROR(__xludf.DUMMYFUNCTION("""COMPUTED_VALUE"""),28.4)</f>
        <v>28.4</v>
      </c>
      <c r="F193" s="141">
        <f ca="1">IFERROR(__xludf.DUMMYFUNCTION("""COMPUTED_VALUE"""),28.44)</f>
        <v>28.44</v>
      </c>
      <c r="G193" s="143">
        <f ca="1">IFERROR(__xludf.DUMMYFUNCTION("""COMPUTED_VALUE"""),569865)</f>
        <v>569865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IFERROR(__xludf.DUMMYFUNCTION("""COMPUTED_VALUE"""),28.85)</f>
        <v>28.85</v>
      </c>
      <c r="D194" s="141">
        <f ca="1">IFERROR(__xludf.DUMMYFUNCTION("""COMPUTED_VALUE"""),29.22)</f>
        <v>29.22</v>
      </c>
      <c r="E194" s="141">
        <f ca="1">IFERROR(__xludf.DUMMYFUNCTION("""COMPUTED_VALUE"""),28.8)</f>
        <v>28.8</v>
      </c>
      <c r="F194" s="141">
        <f ca="1">IFERROR(__xludf.DUMMYFUNCTION("""COMPUTED_VALUE"""),29.1)</f>
        <v>29.1</v>
      </c>
      <c r="G194" s="143">
        <f ca="1">IFERROR(__xludf.DUMMYFUNCTION("""COMPUTED_VALUE"""),595396)</f>
        <v>595396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IFERROR(__xludf.DUMMYFUNCTION("""COMPUTED_VALUE"""),29.39)</f>
        <v>29.39</v>
      </c>
      <c r="D195" s="141">
        <f ca="1">IFERROR(__xludf.DUMMYFUNCTION("""COMPUTED_VALUE"""),29.44)</f>
        <v>29.44</v>
      </c>
      <c r="E195" s="141">
        <f ca="1">IFERROR(__xludf.DUMMYFUNCTION("""COMPUTED_VALUE"""),29.14)</f>
        <v>29.14</v>
      </c>
      <c r="F195" s="141">
        <f ca="1">IFERROR(__xludf.DUMMYFUNCTION("""COMPUTED_VALUE"""),29.26)</f>
        <v>29.26</v>
      </c>
      <c r="G195" s="143">
        <f ca="1">IFERROR(__xludf.DUMMYFUNCTION("""COMPUTED_VALUE"""),1067805)</f>
        <v>1067805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IFERROR(__xludf.DUMMYFUNCTION("""COMPUTED_VALUE"""),29.28)</f>
        <v>29.28</v>
      </c>
      <c r="D196" s="141">
        <f ca="1">IFERROR(__xludf.DUMMYFUNCTION("""COMPUTED_VALUE"""),29.38)</f>
        <v>29.38</v>
      </c>
      <c r="E196" s="141">
        <f ca="1">IFERROR(__xludf.DUMMYFUNCTION("""COMPUTED_VALUE"""),28.83)</f>
        <v>28.83</v>
      </c>
      <c r="F196" s="141">
        <f ca="1">IFERROR(__xludf.DUMMYFUNCTION("""COMPUTED_VALUE"""),28.95)</f>
        <v>28.95</v>
      </c>
      <c r="G196" s="143">
        <f ca="1">IFERROR(__xludf.DUMMYFUNCTION("""COMPUTED_VALUE"""),6393700)</f>
        <v>6393700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IFERROR(__xludf.DUMMYFUNCTION("""COMPUTED_VALUE"""),28.72)</f>
        <v>28.72</v>
      </c>
      <c r="D197" s="141">
        <f ca="1">IFERROR(__xludf.DUMMYFUNCTION("""COMPUTED_VALUE"""),28.8)</f>
        <v>28.8</v>
      </c>
      <c r="E197" s="141">
        <f ca="1">IFERROR(__xludf.DUMMYFUNCTION("""COMPUTED_VALUE"""),28.51)</f>
        <v>28.51</v>
      </c>
      <c r="F197" s="141">
        <f ca="1">IFERROR(__xludf.DUMMYFUNCTION("""COMPUTED_VALUE"""),28.68)</f>
        <v>28.68</v>
      </c>
      <c r="G197" s="143">
        <f ca="1">IFERROR(__xludf.DUMMYFUNCTION("""COMPUTED_VALUE"""),7867014)</f>
        <v>7867014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IFERROR(__xludf.DUMMYFUNCTION("""COMPUTED_VALUE"""),29.47)</f>
        <v>29.47</v>
      </c>
      <c r="D198" s="141">
        <f ca="1">IFERROR(__xludf.DUMMYFUNCTION("""COMPUTED_VALUE"""),29.48)</f>
        <v>29.48</v>
      </c>
      <c r="E198" s="141">
        <f ca="1">IFERROR(__xludf.DUMMYFUNCTION("""COMPUTED_VALUE"""),29.03)</f>
        <v>29.03</v>
      </c>
      <c r="F198" s="141">
        <f ca="1">IFERROR(__xludf.DUMMYFUNCTION("""COMPUTED_VALUE"""),29.33)</f>
        <v>29.33</v>
      </c>
      <c r="G198" s="143">
        <f ca="1">IFERROR(__xludf.DUMMYFUNCTION("""COMPUTED_VALUE"""),1765341)</f>
        <v>1765341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IFERROR(__xludf.DUMMYFUNCTION("""COMPUTED_VALUE"""),29.39)</f>
        <v>29.39</v>
      </c>
      <c r="D199" s="141">
        <f ca="1">IFERROR(__xludf.DUMMYFUNCTION("""COMPUTED_VALUE"""),29.61)</f>
        <v>29.61</v>
      </c>
      <c r="E199" s="141">
        <f ca="1">IFERROR(__xludf.DUMMYFUNCTION("""COMPUTED_VALUE"""),29.27)</f>
        <v>29.27</v>
      </c>
      <c r="F199" s="141">
        <f ca="1">IFERROR(__xludf.DUMMYFUNCTION("""COMPUTED_VALUE"""),29.48)</f>
        <v>29.48</v>
      </c>
      <c r="G199" s="143">
        <f ca="1">IFERROR(__xludf.DUMMYFUNCTION("""COMPUTED_VALUE"""),1310961)</f>
        <v>1310961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IFERROR(__xludf.DUMMYFUNCTION("""COMPUTED_VALUE"""),29.61)</f>
        <v>29.61</v>
      </c>
      <c r="D200" s="141">
        <f ca="1">IFERROR(__xludf.DUMMYFUNCTION("""COMPUTED_VALUE"""),29.76)</f>
        <v>29.76</v>
      </c>
      <c r="E200" s="141">
        <f ca="1">IFERROR(__xludf.DUMMYFUNCTION("""COMPUTED_VALUE"""),29.11)</f>
        <v>29.11</v>
      </c>
      <c r="F200" s="141">
        <f ca="1">IFERROR(__xludf.DUMMYFUNCTION("""COMPUTED_VALUE"""),29.37)</f>
        <v>29.37</v>
      </c>
      <c r="G200" s="143">
        <f ca="1">IFERROR(__xludf.DUMMYFUNCTION("""COMPUTED_VALUE"""),2210052)</f>
        <v>2210052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IFERROR(__xludf.DUMMYFUNCTION("""COMPUTED_VALUE"""),28.03)</f>
        <v>28.03</v>
      </c>
      <c r="D201" s="141">
        <f ca="1">IFERROR(__xludf.DUMMYFUNCTION("""COMPUTED_VALUE"""),28.64)</f>
        <v>28.64</v>
      </c>
      <c r="E201" s="141">
        <f ca="1">IFERROR(__xludf.DUMMYFUNCTION("""COMPUTED_VALUE"""),28)</f>
        <v>28</v>
      </c>
      <c r="F201" s="141">
        <f ca="1">IFERROR(__xludf.DUMMYFUNCTION("""COMPUTED_VALUE"""),28.56)</f>
        <v>28.56</v>
      </c>
      <c r="G201" s="143">
        <f ca="1">IFERROR(__xludf.DUMMYFUNCTION("""COMPUTED_VALUE"""),3558293)</f>
        <v>3558293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IFERROR(__xludf.DUMMYFUNCTION("""COMPUTED_VALUE"""),28.8)</f>
        <v>28.8</v>
      </c>
      <c r="D202" s="141">
        <f ca="1">IFERROR(__xludf.DUMMYFUNCTION("""COMPUTED_VALUE"""),28.95)</f>
        <v>28.95</v>
      </c>
      <c r="E202" s="141">
        <f ca="1">IFERROR(__xludf.DUMMYFUNCTION("""COMPUTED_VALUE"""),28.45)</f>
        <v>28.45</v>
      </c>
      <c r="F202" s="141">
        <f ca="1">IFERROR(__xludf.DUMMYFUNCTION("""COMPUTED_VALUE"""),28.71)</f>
        <v>28.71</v>
      </c>
      <c r="G202" s="143">
        <f ca="1">IFERROR(__xludf.DUMMYFUNCTION("""COMPUTED_VALUE"""),948338)</f>
        <v>948338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IFERROR(__xludf.DUMMYFUNCTION("""COMPUTED_VALUE"""),28.63)</f>
        <v>28.63</v>
      </c>
      <c r="D203" s="141">
        <f ca="1">IFERROR(__xludf.DUMMYFUNCTION("""COMPUTED_VALUE"""),28.78)</f>
        <v>28.78</v>
      </c>
      <c r="E203" s="141">
        <f ca="1">IFERROR(__xludf.DUMMYFUNCTION("""COMPUTED_VALUE"""),28.47)</f>
        <v>28.47</v>
      </c>
      <c r="F203" s="141">
        <f ca="1">IFERROR(__xludf.DUMMYFUNCTION("""COMPUTED_VALUE"""),28.5)</f>
        <v>28.5</v>
      </c>
      <c r="G203" s="143">
        <f ca="1">IFERROR(__xludf.DUMMYFUNCTION("""COMPUTED_VALUE"""),496803)</f>
        <v>496803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IFERROR(__xludf.DUMMYFUNCTION("""COMPUTED_VALUE"""),29.21)</f>
        <v>29.21</v>
      </c>
      <c r="D204" s="141">
        <f ca="1">IFERROR(__xludf.DUMMYFUNCTION("""COMPUTED_VALUE"""),29.34)</f>
        <v>29.34</v>
      </c>
      <c r="E204" s="141">
        <f ca="1">IFERROR(__xludf.DUMMYFUNCTION("""COMPUTED_VALUE"""),28.88)</f>
        <v>28.88</v>
      </c>
      <c r="F204" s="141">
        <f ca="1">IFERROR(__xludf.DUMMYFUNCTION("""COMPUTED_VALUE"""),28.96)</f>
        <v>28.96</v>
      </c>
      <c r="G204" s="143">
        <f ca="1">IFERROR(__xludf.DUMMYFUNCTION("""COMPUTED_VALUE"""),1207038)</f>
        <v>1207038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IFERROR(__xludf.DUMMYFUNCTION("""COMPUTED_VALUE"""),29.04)</f>
        <v>29.04</v>
      </c>
      <c r="D205" s="141">
        <f ca="1">IFERROR(__xludf.DUMMYFUNCTION("""COMPUTED_VALUE"""),29.07)</f>
        <v>29.07</v>
      </c>
      <c r="E205" s="141">
        <f ca="1">IFERROR(__xludf.DUMMYFUNCTION("""COMPUTED_VALUE"""),28.73)</f>
        <v>28.73</v>
      </c>
      <c r="F205" s="141">
        <f ca="1">IFERROR(__xludf.DUMMYFUNCTION("""COMPUTED_VALUE"""),28.84)</f>
        <v>28.84</v>
      </c>
      <c r="G205" s="143">
        <f ca="1">IFERROR(__xludf.DUMMYFUNCTION("""COMPUTED_VALUE"""),957997)</f>
        <v>957997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IFERROR(__xludf.DUMMYFUNCTION("""COMPUTED_VALUE"""),28.84)</f>
        <v>28.84</v>
      </c>
      <c r="D206" s="141">
        <f ca="1">IFERROR(__xludf.DUMMYFUNCTION("""COMPUTED_VALUE"""),29.04)</f>
        <v>29.04</v>
      </c>
      <c r="E206" s="141">
        <f ca="1">IFERROR(__xludf.DUMMYFUNCTION("""COMPUTED_VALUE"""),28.8)</f>
        <v>28.8</v>
      </c>
      <c r="F206" s="141">
        <f ca="1">IFERROR(__xludf.DUMMYFUNCTION("""COMPUTED_VALUE"""),28.89)</f>
        <v>28.89</v>
      </c>
      <c r="G206" s="143">
        <f ca="1">IFERROR(__xludf.DUMMYFUNCTION("""COMPUTED_VALUE"""),770325)</f>
        <v>770325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IFERROR(__xludf.DUMMYFUNCTION("""COMPUTED_VALUE"""),29.05)</f>
        <v>29.05</v>
      </c>
      <c r="D207" s="141">
        <f ca="1">IFERROR(__xludf.DUMMYFUNCTION("""COMPUTED_VALUE"""),29.27)</f>
        <v>29.27</v>
      </c>
      <c r="E207" s="141">
        <f ca="1">IFERROR(__xludf.DUMMYFUNCTION("""COMPUTED_VALUE"""),29.05)</f>
        <v>29.05</v>
      </c>
      <c r="F207" s="141">
        <f ca="1">IFERROR(__xludf.DUMMYFUNCTION("""COMPUTED_VALUE"""),29.11)</f>
        <v>29.11</v>
      </c>
      <c r="G207" s="143">
        <f ca="1">IFERROR(__xludf.DUMMYFUNCTION("""COMPUTED_VALUE"""),556973)</f>
        <v>556973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IFERROR(__xludf.DUMMYFUNCTION("""COMPUTED_VALUE"""),28.08)</f>
        <v>28.08</v>
      </c>
      <c r="D208" s="141">
        <f ca="1">IFERROR(__xludf.DUMMYFUNCTION("""COMPUTED_VALUE"""),28.35)</f>
        <v>28.35</v>
      </c>
      <c r="E208" s="141">
        <f ca="1">IFERROR(__xludf.DUMMYFUNCTION("""COMPUTED_VALUE"""),27.84)</f>
        <v>27.84</v>
      </c>
      <c r="F208" s="141">
        <f ca="1">IFERROR(__xludf.DUMMYFUNCTION("""COMPUTED_VALUE"""),28.29)</f>
        <v>28.29</v>
      </c>
      <c r="G208" s="143">
        <f ca="1">IFERROR(__xludf.DUMMYFUNCTION("""COMPUTED_VALUE"""),4703481)</f>
        <v>4703481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IFERROR(__xludf.DUMMYFUNCTION("""COMPUTED_VALUE"""),28.54)</f>
        <v>28.54</v>
      </c>
      <c r="D209" s="141">
        <f ca="1">IFERROR(__xludf.DUMMYFUNCTION("""COMPUTED_VALUE"""),28.82)</f>
        <v>28.82</v>
      </c>
      <c r="E209" s="141">
        <f ca="1">IFERROR(__xludf.DUMMYFUNCTION("""COMPUTED_VALUE"""),28.52)</f>
        <v>28.52</v>
      </c>
      <c r="F209" s="141">
        <f ca="1">IFERROR(__xludf.DUMMYFUNCTION("""COMPUTED_VALUE"""),28.67)</f>
        <v>28.67</v>
      </c>
      <c r="G209" s="143">
        <f ca="1">IFERROR(__xludf.DUMMYFUNCTION("""COMPUTED_VALUE"""),1226279)</f>
        <v>1226279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IFERROR(__xludf.DUMMYFUNCTION("""COMPUTED_VALUE"""),28.77)</f>
        <v>28.77</v>
      </c>
      <c r="D210" s="141">
        <f ca="1">IFERROR(__xludf.DUMMYFUNCTION("""COMPUTED_VALUE"""),29.28)</f>
        <v>29.28</v>
      </c>
      <c r="E210" s="141">
        <f ca="1">IFERROR(__xludf.DUMMYFUNCTION("""COMPUTED_VALUE"""),28.73)</f>
        <v>28.73</v>
      </c>
      <c r="F210" s="141">
        <f ca="1">IFERROR(__xludf.DUMMYFUNCTION("""COMPUTED_VALUE"""),29.21)</f>
        <v>29.21</v>
      </c>
      <c r="G210" s="143">
        <f ca="1">IFERROR(__xludf.DUMMYFUNCTION("""COMPUTED_VALUE"""),804295)</f>
        <v>804295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IFERROR(__xludf.DUMMYFUNCTION("""COMPUTED_VALUE"""),29.33)</f>
        <v>29.33</v>
      </c>
      <c r="D211" s="141">
        <f ca="1">IFERROR(__xludf.DUMMYFUNCTION("""COMPUTED_VALUE"""),29.58)</f>
        <v>29.58</v>
      </c>
      <c r="E211" s="141">
        <f ca="1">IFERROR(__xludf.DUMMYFUNCTION("""COMPUTED_VALUE"""),29.33)</f>
        <v>29.33</v>
      </c>
      <c r="F211" s="141">
        <f ca="1">IFERROR(__xludf.DUMMYFUNCTION("""COMPUTED_VALUE"""),29.51)</f>
        <v>29.51</v>
      </c>
      <c r="G211" s="143">
        <f ca="1">IFERROR(__xludf.DUMMYFUNCTION("""COMPUTED_VALUE"""),1232902)</f>
        <v>1232902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IFERROR(__xludf.DUMMYFUNCTION("""COMPUTED_VALUE"""),29.52)</f>
        <v>29.52</v>
      </c>
      <c r="D212" s="141">
        <f ca="1">IFERROR(__xludf.DUMMYFUNCTION("""COMPUTED_VALUE"""),30.04)</f>
        <v>30.04</v>
      </c>
      <c r="E212" s="141">
        <f ca="1">IFERROR(__xludf.DUMMYFUNCTION("""COMPUTED_VALUE"""),29.5)</f>
        <v>29.5</v>
      </c>
      <c r="F212" s="141">
        <f ca="1">IFERROR(__xludf.DUMMYFUNCTION("""COMPUTED_VALUE"""),29.89)</f>
        <v>29.89</v>
      </c>
      <c r="G212" s="143">
        <f ca="1">IFERROR(__xludf.DUMMYFUNCTION("""COMPUTED_VALUE"""),1074291)</f>
        <v>1074291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IFERROR(__xludf.DUMMYFUNCTION("""COMPUTED_VALUE"""),29.74)</f>
        <v>29.74</v>
      </c>
      <c r="D213" s="141">
        <f ca="1">IFERROR(__xludf.DUMMYFUNCTION("""COMPUTED_VALUE"""),29.9)</f>
        <v>29.9</v>
      </c>
      <c r="E213" s="141">
        <f ca="1">IFERROR(__xludf.DUMMYFUNCTION("""COMPUTED_VALUE"""),29.58)</f>
        <v>29.58</v>
      </c>
      <c r="F213" s="141">
        <f ca="1">IFERROR(__xludf.DUMMYFUNCTION("""COMPUTED_VALUE"""),29.86)</f>
        <v>29.86</v>
      </c>
      <c r="G213" s="143">
        <f ca="1">IFERROR(__xludf.DUMMYFUNCTION("""COMPUTED_VALUE"""),974037)</f>
        <v>974037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IFERROR(__xludf.DUMMYFUNCTION("""COMPUTED_VALUE"""),30)</f>
        <v>30</v>
      </c>
      <c r="D214" s="141">
        <f ca="1">IFERROR(__xludf.DUMMYFUNCTION("""COMPUTED_VALUE"""),30.25)</f>
        <v>30.25</v>
      </c>
      <c r="E214" s="141">
        <f ca="1">IFERROR(__xludf.DUMMYFUNCTION("""COMPUTED_VALUE"""),29.97)</f>
        <v>29.97</v>
      </c>
      <c r="F214" s="141">
        <f ca="1">IFERROR(__xludf.DUMMYFUNCTION("""COMPUTED_VALUE"""),30.09)</f>
        <v>30.09</v>
      </c>
      <c r="G214" s="143">
        <f ca="1">IFERROR(__xludf.DUMMYFUNCTION("""COMPUTED_VALUE"""),1478863)</f>
        <v>1478863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IFERROR(__xludf.DUMMYFUNCTION("""COMPUTED_VALUE"""),30.19)</f>
        <v>30.19</v>
      </c>
      <c r="D215" s="141">
        <f ca="1">IFERROR(__xludf.DUMMYFUNCTION("""COMPUTED_VALUE"""),30.35)</f>
        <v>30.35</v>
      </c>
      <c r="E215" s="141">
        <f ca="1">IFERROR(__xludf.DUMMYFUNCTION("""COMPUTED_VALUE"""),30.11)</f>
        <v>30.11</v>
      </c>
      <c r="F215" s="141">
        <f ca="1">IFERROR(__xludf.DUMMYFUNCTION("""COMPUTED_VALUE"""),30.34)</f>
        <v>30.34</v>
      </c>
      <c r="G215" s="143">
        <f ca="1">IFERROR(__xludf.DUMMYFUNCTION("""COMPUTED_VALUE"""),1564688)</f>
        <v>1564688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IFERROR(__xludf.DUMMYFUNCTION("""COMPUTED_VALUE"""),30.83)</f>
        <v>30.83</v>
      </c>
      <c r="D216" s="141">
        <f ca="1">IFERROR(__xludf.DUMMYFUNCTION("""COMPUTED_VALUE"""),31.11)</f>
        <v>31.11</v>
      </c>
      <c r="E216" s="141">
        <f ca="1">IFERROR(__xludf.DUMMYFUNCTION("""COMPUTED_VALUE"""),30.83)</f>
        <v>30.83</v>
      </c>
      <c r="F216" s="141">
        <f ca="1">IFERROR(__xludf.DUMMYFUNCTION("""COMPUTED_VALUE"""),31.08)</f>
        <v>31.08</v>
      </c>
      <c r="G216" s="143">
        <f ca="1">IFERROR(__xludf.DUMMYFUNCTION("""COMPUTED_VALUE"""),1886209)</f>
        <v>1886209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IFERROR(__xludf.DUMMYFUNCTION("""COMPUTED_VALUE"""),30.79)</f>
        <v>30.79</v>
      </c>
      <c r="D217" s="141">
        <f ca="1">IFERROR(__xludf.DUMMYFUNCTION("""COMPUTED_VALUE"""),31.11)</f>
        <v>31.11</v>
      </c>
      <c r="E217" s="141">
        <f ca="1">IFERROR(__xludf.DUMMYFUNCTION("""COMPUTED_VALUE"""),30.79)</f>
        <v>30.79</v>
      </c>
      <c r="F217" s="141">
        <f ca="1">IFERROR(__xludf.DUMMYFUNCTION("""COMPUTED_VALUE"""),31.1)</f>
        <v>31.1</v>
      </c>
      <c r="G217" s="143">
        <f ca="1">IFERROR(__xludf.DUMMYFUNCTION("""COMPUTED_VALUE"""),2145566)</f>
        <v>2145566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IFERROR(__xludf.DUMMYFUNCTION("""COMPUTED_VALUE"""),30.88)</f>
        <v>30.88</v>
      </c>
      <c r="D218" s="141">
        <f ca="1">IFERROR(__xludf.DUMMYFUNCTION("""COMPUTED_VALUE"""),30.91)</f>
        <v>30.91</v>
      </c>
      <c r="E218" s="141">
        <f ca="1">IFERROR(__xludf.DUMMYFUNCTION("""COMPUTED_VALUE"""),30.59)</f>
        <v>30.59</v>
      </c>
      <c r="F218" s="141">
        <f ca="1">IFERROR(__xludf.DUMMYFUNCTION("""COMPUTED_VALUE"""),30.81)</f>
        <v>30.81</v>
      </c>
      <c r="G218" s="143">
        <f ca="1">IFERROR(__xludf.DUMMYFUNCTION("""COMPUTED_VALUE"""),1626322)</f>
        <v>1626322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IFERROR(__xludf.DUMMYFUNCTION("""COMPUTED_VALUE"""),30.89)</f>
        <v>30.89</v>
      </c>
      <c r="D219" s="141">
        <f ca="1">IFERROR(__xludf.DUMMYFUNCTION("""COMPUTED_VALUE"""),31.46)</f>
        <v>31.46</v>
      </c>
      <c r="E219" s="141">
        <f ca="1">IFERROR(__xludf.DUMMYFUNCTION("""COMPUTED_VALUE"""),30.87)</f>
        <v>30.87</v>
      </c>
      <c r="F219" s="141">
        <f ca="1">IFERROR(__xludf.DUMMYFUNCTION("""COMPUTED_VALUE"""),31.33)</f>
        <v>31.33</v>
      </c>
      <c r="G219" s="143">
        <f ca="1">IFERROR(__xludf.DUMMYFUNCTION("""COMPUTED_VALUE"""),2479719)</f>
        <v>2479719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IFERROR(__xludf.DUMMYFUNCTION("""COMPUTED_VALUE"""),31.19)</f>
        <v>31.19</v>
      </c>
      <c r="D220" s="141">
        <f ca="1">IFERROR(__xludf.DUMMYFUNCTION("""COMPUTED_VALUE"""),31.27)</f>
        <v>31.27</v>
      </c>
      <c r="E220" s="141">
        <f ca="1">IFERROR(__xludf.DUMMYFUNCTION("""COMPUTED_VALUE"""),31.06)</f>
        <v>31.06</v>
      </c>
      <c r="F220" s="141">
        <f ca="1">IFERROR(__xludf.DUMMYFUNCTION("""COMPUTED_VALUE"""),31.2)</f>
        <v>31.2</v>
      </c>
      <c r="G220" s="143">
        <f ca="1">IFERROR(__xludf.DUMMYFUNCTION("""COMPUTED_VALUE"""),699719)</f>
        <v>699719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IFERROR(__xludf.DUMMYFUNCTION("""COMPUTED_VALUE"""),30.37)</f>
        <v>30.37</v>
      </c>
      <c r="D221" s="141">
        <f ca="1">IFERROR(__xludf.DUMMYFUNCTION("""COMPUTED_VALUE"""),30.43)</f>
        <v>30.43</v>
      </c>
      <c r="E221" s="141">
        <f ca="1">IFERROR(__xludf.DUMMYFUNCTION("""COMPUTED_VALUE"""),30.12)</f>
        <v>30.12</v>
      </c>
      <c r="F221" s="141">
        <f ca="1">IFERROR(__xludf.DUMMYFUNCTION("""COMPUTED_VALUE"""),30.21)</f>
        <v>30.21</v>
      </c>
      <c r="G221" s="143">
        <f ca="1">IFERROR(__xludf.DUMMYFUNCTION("""COMPUTED_VALUE"""),1739858)</f>
        <v>1739858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IFERROR(__xludf.DUMMYFUNCTION("""COMPUTED_VALUE"""),29.74)</f>
        <v>29.74</v>
      </c>
      <c r="D222" s="141">
        <f ca="1">IFERROR(__xludf.DUMMYFUNCTION("""COMPUTED_VALUE"""),30.37)</f>
        <v>30.37</v>
      </c>
      <c r="E222" s="141">
        <f ca="1">IFERROR(__xludf.DUMMYFUNCTION("""COMPUTED_VALUE"""),29.57)</f>
        <v>29.57</v>
      </c>
      <c r="F222" s="141">
        <f ca="1">IFERROR(__xludf.DUMMYFUNCTION("""COMPUTED_VALUE"""),30.25)</f>
        <v>30.25</v>
      </c>
      <c r="G222" s="143">
        <f ca="1">IFERROR(__xludf.DUMMYFUNCTION("""COMPUTED_VALUE"""),5368613)</f>
        <v>5368613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IFERROR(__xludf.DUMMYFUNCTION("""COMPUTED_VALUE"""),30.13)</f>
        <v>30.13</v>
      </c>
      <c r="D223" s="141">
        <f ca="1">IFERROR(__xludf.DUMMYFUNCTION("""COMPUTED_VALUE"""),30.42)</f>
        <v>30.42</v>
      </c>
      <c r="E223" s="141">
        <f ca="1">IFERROR(__xludf.DUMMYFUNCTION("""COMPUTED_VALUE"""),30.13)</f>
        <v>30.13</v>
      </c>
      <c r="F223" s="141">
        <f ca="1">IFERROR(__xludf.DUMMYFUNCTION("""COMPUTED_VALUE"""),30.3)</f>
        <v>30.3</v>
      </c>
      <c r="G223" s="143">
        <f ca="1">IFERROR(__xludf.DUMMYFUNCTION("""COMPUTED_VALUE"""),1309990)</f>
        <v>1309990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IFERROR(__xludf.DUMMYFUNCTION("""COMPUTED_VALUE"""),30.74)</f>
        <v>30.74</v>
      </c>
      <c r="D224" s="141">
        <f ca="1">IFERROR(__xludf.DUMMYFUNCTION("""COMPUTED_VALUE"""),31.17)</f>
        <v>31.17</v>
      </c>
      <c r="E224" s="141">
        <f ca="1">IFERROR(__xludf.DUMMYFUNCTION("""COMPUTED_VALUE"""),30.74)</f>
        <v>30.74</v>
      </c>
      <c r="F224" s="141">
        <f ca="1">IFERROR(__xludf.DUMMYFUNCTION("""COMPUTED_VALUE"""),31.06)</f>
        <v>31.06</v>
      </c>
      <c r="G224" s="143">
        <f ca="1">IFERROR(__xludf.DUMMYFUNCTION("""COMPUTED_VALUE"""),3213644)</f>
        <v>3213644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IFERROR(__xludf.DUMMYFUNCTION("""COMPUTED_VALUE"""),31.48)</f>
        <v>31.48</v>
      </c>
      <c r="D225" s="141">
        <f ca="1">IFERROR(__xludf.DUMMYFUNCTION("""COMPUTED_VALUE"""),31.7)</f>
        <v>31.7</v>
      </c>
      <c r="E225" s="141">
        <f ca="1">IFERROR(__xludf.DUMMYFUNCTION("""COMPUTED_VALUE"""),31.37)</f>
        <v>31.37</v>
      </c>
      <c r="F225" s="141">
        <f ca="1">IFERROR(__xludf.DUMMYFUNCTION("""COMPUTED_VALUE"""),31.69)</f>
        <v>31.69</v>
      </c>
      <c r="G225" s="143">
        <f ca="1">IFERROR(__xludf.DUMMYFUNCTION("""COMPUTED_VALUE"""),1301873)</f>
        <v>1301873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IFERROR(__xludf.DUMMYFUNCTION("""COMPUTED_VALUE"""),31.6)</f>
        <v>31.6</v>
      </c>
      <c r="D226" s="141">
        <f ca="1">IFERROR(__xludf.DUMMYFUNCTION("""COMPUTED_VALUE"""),31.72)</f>
        <v>31.72</v>
      </c>
      <c r="E226" s="141">
        <f ca="1">IFERROR(__xludf.DUMMYFUNCTION("""COMPUTED_VALUE"""),31.31)</f>
        <v>31.31</v>
      </c>
      <c r="F226" s="141">
        <f ca="1">IFERROR(__xludf.DUMMYFUNCTION("""COMPUTED_VALUE"""),31.37)</f>
        <v>31.37</v>
      </c>
      <c r="G226" s="143">
        <f ca="1">IFERROR(__xludf.DUMMYFUNCTION("""COMPUTED_VALUE"""),777791)</f>
        <v>777791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IFERROR(__xludf.DUMMYFUNCTION("""COMPUTED_VALUE"""),31.05)</f>
        <v>31.05</v>
      </c>
      <c r="D227" s="141">
        <f ca="1">IFERROR(__xludf.DUMMYFUNCTION("""COMPUTED_VALUE"""),31.19)</f>
        <v>31.19</v>
      </c>
      <c r="E227" s="141">
        <f ca="1">IFERROR(__xludf.DUMMYFUNCTION("""COMPUTED_VALUE"""),30.96)</f>
        <v>30.96</v>
      </c>
      <c r="F227" s="141">
        <f ca="1">IFERROR(__xludf.DUMMYFUNCTION("""COMPUTED_VALUE"""),31.15)</f>
        <v>31.15</v>
      </c>
      <c r="G227" s="143">
        <f ca="1">IFERROR(__xludf.DUMMYFUNCTION("""COMPUTED_VALUE"""),679250)</f>
        <v>679250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IFERROR(__xludf.DUMMYFUNCTION("""COMPUTED_VALUE"""),31.03)</f>
        <v>31.03</v>
      </c>
      <c r="D228" s="141">
        <f ca="1">IFERROR(__xludf.DUMMYFUNCTION("""COMPUTED_VALUE"""),31.24)</f>
        <v>31.24</v>
      </c>
      <c r="E228" s="141">
        <f ca="1">IFERROR(__xludf.DUMMYFUNCTION("""COMPUTED_VALUE"""),30.99)</f>
        <v>30.99</v>
      </c>
      <c r="F228" s="141">
        <f ca="1">IFERROR(__xludf.DUMMYFUNCTION("""COMPUTED_VALUE"""),31.19)</f>
        <v>31.19</v>
      </c>
      <c r="G228" s="143">
        <f ca="1">IFERROR(__xludf.DUMMYFUNCTION("""COMPUTED_VALUE"""),832187)</f>
        <v>832187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IFERROR(__xludf.DUMMYFUNCTION("""COMPUTED_VALUE"""),31.24)</f>
        <v>31.24</v>
      </c>
      <c r="D229" s="141">
        <f ca="1">IFERROR(__xludf.DUMMYFUNCTION("""COMPUTED_VALUE"""),31.79)</f>
        <v>31.79</v>
      </c>
      <c r="E229" s="141">
        <f ca="1">IFERROR(__xludf.DUMMYFUNCTION("""COMPUTED_VALUE"""),31.19)</f>
        <v>31.19</v>
      </c>
      <c r="F229" s="141">
        <f ca="1">IFERROR(__xludf.DUMMYFUNCTION("""COMPUTED_VALUE"""),31.38)</f>
        <v>31.38</v>
      </c>
      <c r="G229" s="143">
        <f ca="1">IFERROR(__xludf.DUMMYFUNCTION("""COMPUTED_VALUE"""),1514520)</f>
        <v>1514520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IFERROR(__xludf.DUMMYFUNCTION("""COMPUTED_VALUE"""),31.62)</f>
        <v>31.62</v>
      </c>
      <c r="D230" s="141">
        <f ca="1">IFERROR(__xludf.DUMMYFUNCTION("""COMPUTED_VALUE"""),31.69)</f>
        <v>31.69</v>
      </c>
      <c r="E230" s="141">
        <f ca="1">IFERROR(__xludf.DUMMYFUNCTION("""COMPUTED_VALUE"""),31.41)</f>
        <v>31.41</v>
      </c>
      <c r="F230" s="141">
        <f ca="1">IFERROR(__xludf.DUMMYFUNCTION("""COMPUTED_VALUE"""),31.61)</f>
        <v>31.61</v>
      </c>
      <c r="G230" s="143">
        <f ca="1">IFERROR(__xludf.DUMMYFUNCTION("""COMPUTED_VALUE"""),960037)</f>
        <v>960037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IFERROR(__xludf.DUMMYFUNCTION("""COMPUTED_VALUE"""),31.36)</f>
        <v>31.36</v>
      </c>
      <c r="D231" s="141">
        <f ca="1">IFERROR(__xludf.DUMMYFUNCTION("""COMPUTED_VALUE"""),31.41)</f>
        <v>31.41</v>
      </c>
      <c r="E231" s="141">
        <f ca="1">IFERROR(__xludf.DUMMYFUNCTION("""COMPUTED_VALUE"""),30.67)</f>
        <v>30.67</v>
      </c>
      <c r="F231" s="141">
        <f ca="1">IFERROR(__xludf.DUMMYFUNCTION("""COMPUTED_VALUE"""),30.88)</f>
        <v>30.88</v>
      </c>
      <c r="G231" s="143">
        <f ca="1">IFERROR(__xludf.DUMMYFUNCTION("""COMPUTED_VALUE"""),1344201)</f>
        <v>1344201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IFERROR(__xludf.DUMMYFUNCTION("""COMPUTED_VALUE"""),31.29)</f>
        <v>31.29</v>
      </c>
      <c r="D232" s="141">
        <f ca="1">IFERROR(__xludf.DUMMYFUNCTION("""COMPUTED_VALUE"""),31.29)</f>
        <v>31.29</v>
      </c>
      <c r="E232" s="141">
        <f ca="1">IFERROR(__xludf.DUMMYFUNCTION("""COMPUTED_VALUE"""),30.43)</f>
        <v>30.43</v>
      </c>
      <c r="F232" s="141">
        <f ca="1">IFERROR(__xludf.DUMMYFUNCTION("""COMPUTED_VALUE"""),30.7)</f>
        <v>30.7</v>
      </c>
      <c r="G232" s="143">
        <f ca="1">IFERROR(__xludf.DUMMYFUNCTION("""COMPUTED_VALUE"""),751921)</f>
        <v>751921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IFERROR(__xludf.DUMMYFUNCTION("""COMPUTED_VALUE"""),30.6)</f>
        <v>30.6</v>
      </c>
      <c r="D233" s="141">
        <f ca="1">IFERROR(__xludf.DUMMYFUNCTION("""COMPUTED_VALUE"""),30.78)</f>
        <v>30.78</v>
      </c>
      <c r="E233" s="141">
        <f ca="1">IFERROR(__xludf.DUMMYFUNCTION("""COMPUTED_VALUE"""),30.32)</f>
        <v>30.32</v>
      </c>
      <c r="F233" s="141">
        <f ca="1">IFERROR(__xludf.DUMMYFUNCTION("""COMPUTED_VALUE"""),30.54)</f>
        <v>30.54</v>
      </c>
      <c r="G233" s="143">
        <f ca="1">IFERROR(__xludf.DUMMYFUNCTION("""COMPUTED_VALUE"""),863154)</f>
        <v>863154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IFERROR(__xludf.DUMMYFUNCTION("""COMPUTED_VALUE"""),30.13)</f>
        <v>30.13</v>
      </c>
      <c r="D234" s="141">
        <f ca="1">IFERROR(__xludf.DUMMYFUNCTION("""COMPUTED_VALUE"""),30.31)</f>
        <v>30.31</v>
      </c>
      <c r="E234" s="141">
        <f ca="1">IFERROR(__xludf.DUMMYFUNCTION("""COMPUTED_VALUE"""),29.99)</f>
        <v>29.99</v>
      </c>
      <c r="F234" s="141">
        <f ca="1">IFERROR(__xludf.DUMMYFUNCTION("""COMPUTED_VALUE"""),30.03)</f>
        <v>30.03</v>
      </c>
      <c r="G234" s="143">
        <f ca="1">IFERROR(__xludf.DUMMYFUNCTION("""COMPUTED_VALUE"""),1488904)</f>
        <v>1488904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IFERROR(__xludf.DUMMYFUNCTION("""COMPUTED_VALUE"""),29.42)</f>
        <v>29.42</v>
      </c>
      <c r="D235" s="141">
        <f ca="1">IFERROR(__xludf.DUMMYFUNCTION("""COMPUTED_VALUE"""),29.68)</f>
        <v>29.68</v>
      </c>
      <c r="E235" s="141">
        <f ca="1">IFERROR(__xludf.DUMMYFUNCTION("""COMPUTED_VALUE"""),29.4)</f>
        <v>29.4</v>
      </c>
      <c r="F235" s="141">
        <f ca="1">IFERROR(__xludf.DUMMYFUNCTION("""COMPUTED_VALUE"""),29.49)</f>
        <v>29.49</v>
      </c>
      <c r="G235" s="143">
        <f ca="1">IFERROR(__xludf.DUMMYFUNCTION("""COMPUTED_VALUE"""),936837)</f>
        <v>936837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IFERROR(__xludf.DUMMYFUNCTION("""COMPUTED_VALUE"""),29.68)</f>
        <v>29.68</v>
      </c>
      <c r="D236" s="141">
        <f ca="1">IFERROR(__xludf.DUMMYFUNCTION("""COMPUTED_VALUE"""),29.73)</f>
        <v>29.73</v>
      </c>
      <c r="E236" s="141">
        <f ca="1">IFERROR(__xludf.DUMMYFUNCTION("""COMPUTED_VALUE"""),29.27)</f>
        <v>29.27</v>
      </c>
      <c r="F236" s="141">
        <f ca="1">IFERROR(__xludf.DUMMYFUNCTION("""COMPUTED_VALUE"""),29.72)</f>
        <v>29.72</v>
      </c>
      <c r="G236" s="143">
        <f ca="1">IFERROR(__xludf.DUMMYFUNCTION("""COMPUTED_VALUE"""),918815)</f>
        <v>918815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IFERROR(__xludf.DUMMYFUNCTION("""COMPUTED_VALUE"""),29.53)</f>
        <v>29.53</v>
      </c>
      <c r="D237" s="141">
        <f ca="1">IFERROR(__xludf.DUMMYFUNCTION("""COMPUTED_VALUE"""),29.59)</f>
        <v>29.59</v>
      </c>
      <c r="E237" s="141">
        <f ca="1">IFERROR(__xludf.DUMMYFUNCTION("""COMPUTED_VALUE"""),29.29)</f>
        <v>29.29</v>
      </c>
      <c r="F237" s="141">
        <f ca="1">IFERROR(__xludf.DUMMYFUNCTION("""COMPUTED_VALUE"""),29.48)</f>
        <v>29.48</v>
      </c>
      <c r="G237" s="143">
        <f ca="1">IFERROR(__xludf.DUMMYFUNCTION("""COMPUTED_VALUE"""),1035719)</f>
        <v>1035719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IFERROR(__xludf.DUMMYFUNCTION("""COMPUTED_VALUE"""),30.04)</f>
        <v>30.04</v>
      </c>
      <c r="D238" s="141">
        <f ca="1">IFERROR(__xludf.DUMMYFUNCTION("""COMPUTED_VALUE"""),30.31)</f>
        <v>30.31</v>
      </c>
      <c r="E238" s="141">
        <f ca="1">IFERROR(__xludf.DUMMYFUNCTION("""COMPUTED_VALUE"""),29.84)</f>
        <v>29.84</v>
      </c>
      <c r="F238" s="141">
        <f ca="1">IFERROR(__xludf.DUMMYFUNCTION("""COMPUTED_VALUE"""),29.99)</f>
        <v>29.99</v>
      </c>
      <c r="G238" s="143">
        <f ca="1">IFERROR(__xludf.DUMMYFUNCTION("""COMPUTED_VALUE"""),1643014)</f>
        <v>1643014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IFERROR(__xludf.DUMMYFUNCTION("""COMPUTED_VALUE"""),30)</f>
        <v>30</v>
      </c>
      <c r="D239" s="141">
        <f ca="1">IFERROR(__xludf.DUMMYFUNCTION("""COMPUTED_VALUE"""),30.15)</f>
        <v>30.15</v>
      </c>
      <c r="E239" s="141">
        <f ca="1">IFERROR(__xludf.DUMMYFUNCTION("""COMPUTED_VALUE"""),29.95)</f>
        <v>29.95</v>
      </c>
      <c r="F239" s="141">
        <f ca="1">IFERROR(__xludf.DUMMYFUNCTION("""COMPUTED_VALUE"""),30.12)</f>
        <v>30.12</v>
      </c>
      <c r="G239" s="143">
        <f ca="1">IFERROR(__xludf.DUMMYFUNCTION("""COMPUTED_VALUE"""),715884)</f>
        <v>715884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IFERROR(__xludf.DUMMYFUNCTION("""COMPUTED_VALUE"""),30.3)</f>
        <v>30.3</v>
      </c>
      <c r="D240" s="141">
        <f ca="1">IFERROR(__xludf.DUMMYFUNCTION("""COMPUTED_VALUE"""),30.37)</f>
        <v>30.37</v>
      </c>
      <c r="E240" s="141">
        <f ca="1">IFERROR(__xludf.DUMMYFUNCTION("""COMPUTED_VALUE"""),30.17)</f>
        <v>30.17</v>
      </c>
      <c r="F240" s="141">
        <f ca="1">IFERROR(__xludf.DUMMYFUNCTION("""COMPUTED_VALUE"""),30.29)</f>
        <v>30.29</v>
      </c>
      <c r="G240" s="143">
        <f ca="1">IFERROR(__xludf.DUMMYFUNCTION("""COMPUTED_VALUE"""),507491)</f>
        <v>507491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IFERROR(__xludf.DUMMYFUNCTION("""COMPUTED_VALUE"""),29.96)</f>
        <v>29.96</v>
      </c>
      <c r="D241" s="141">
        <f ca="1">IFERROR(__xludf.DUMMYFUNCTION("""COMPUTED_VALUE"""),29.97)</f>
        <v>29.97</v>
      </c>
      <c r="E241" s="141">
        <f ca="1">IFERROR(__xludf.DUMMYFUNCTION("""COMPUTED_VALUE"""),29.75)</f>
        <v>29.75</v>
      </c>
      <c r="F241" s="141">
        <f ca="1">IFERROR(__xludf.DUMMYFUNCTION("""COMPUTED_VALUE"""),29.88)</f>
        <v>29.88</v>
      </c>
      <c r="G241" s="143">
        <f ca="1">IFERROR(__xludf.DUMMYFUNCTION("""COMPUTED_VALUE"""),781531)</f>
        <v>781531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IFERROR(__xludf.DUMMYFUNCTION("""COMPUTED_VALUE"""),29.61)</f>
        <v>29.61</v>
      </c>
      <c r="D242" s="141">
        <f ca="1">IFERROR(__xludf.DUMMYFUNCTION("""COMPUTED_VALUE"""),29.62)</f>
        <v>29.62</v>
      </c>
      <c r="E242" s="141">
        <f ca="1">IFERROR(__xludf.DUMMYFUNCTION("""COMPUTED_VALUE"""),29.2)</f>
        <v>29.2</v>
      </c>
      <c r="F242" s="141">
        <f ca="1">IFERROR(__xludf.DUMMYFUNCTION("""COMPUTED_VALUE"""),29.23)</f>
        <v>29.23</v>
      </c>
      <c r="G242" s="143">
        <f ca="1">IFERROR(__xludf.DUMMYFUNCTION("""COMPUTED_VALUE"""),1126241)</f>
        <v>1126241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IFERROR(__xludf.DUMMYFUNCTION("""COMPUTED_VALUE"""),29.48)</f>
        <v>29.48</v>
      </c>
      <c r="D243" s="141">
        <f ca="1">IFERROR(__xludf.DUMMYFUNCTION("""COMPUTED_VALUE"""),29.58)</f>
        <v>29.58</v>
      </c>
      <c r="E243" s="141">
        <f ca="1">IFERROR(__xludf.DUMMYFUNCTION("""COMPUTED_VALUE"""),29.41)</f>
        <v>29.41</v>
      </c>
      <c r="F243" s="141">
        <f ca="1">IFERROR(__xludf.DUMMYFUNCTION("""COMPUTED_VALUE"""),29.47)</f>
        <v>29.47</v>
      </c>
      <c r="G243" s="143">
        <f ca="1">IFERROR(__xludf.DUMMYFUNCTION("""COMPUTED_VALUE"""),654202)</f>
        <v>654202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IFERROR(__xludf.DUMMYFUNCTION("""COMPUTED_VALUE"""),29.27)</f>
        <v>29.27</v>
      </c>
      <c r="D244" s="141">
        <f ca="1">IFERROR(__xludf.DUMMYFUNCTION("""COMPUTED_VALUE"""),29.33)</f>
        <v>29.33</v>
      </c>
      <c r="E244" s="141">
        <f ca="1">IFERROR(__xludf.DUMMYFUNCTION("""COMPUTED_VALUE"""),28.82)</f>
        <v>28.82</v>
      </c>
      <c r="F244" s="141">
        <f ca="1">IFERROR(__xludf.DUMMYFUNCTION("""COMPUTED_VALUE"""),29.07)</f>
        <v>29.07</v>
      </c>
      <c r="G244" s="143">
        <f ca="1">IFERROR(__xludf.DUMMYFUNCTION("""COMPUTED_VALUE"""),2689263)</f>
        <v>2689263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IFERROR(__xludf.DUMMYFUNCTION("""COMPUTED_VALUE"""),29.12)</f>
        <v>29.12</v>
      </c>
      <c r="D245" s="141">
        <f ca="1">IFERROR(__xludf.DUMMYFUNCTION("""COMPUTED_VALUE"""),29.39)</f>
        <v>29.39</v>
      </c>
      <c r="E245" s="141">
        <f ca="1">IFERROR(__xludf.DUMMYFUNCTION("""COMPUTED_VALUE"""),29.12)</f>
        <v>29.12</v>
      </c>
      <c r="F245" s="141">
        <f ca="1">IFERROR(__xludf.DUMMYFUNCTION("""COMPUTED_VALUE"""),29.17)</f>
        <v>29.17</v>
      </c>
      <c r="G245" s="143">
        <f ca="1">IFERROR(__xludf.DUMMYFUNCTION("""COMPUTED_VALUE"""),930791)</f>
        <v>930791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IFERROR(__xludf.DUMMYFUNCTION("""COMPUTED_VALUE"""),29.17)</f>
        <v>29.17</v>
      </c>
      <c r="D246" s="141">
        <f ca="1">IFERROR(__xludf.DUMMYFUNCTION("""COMPUTED_VALUE"""),29.32)</f>
        <v>29.32</v>
      </c>
      <c r="E246" s="141">
        <f ca="1">IFERROR(__xludf.DUMMYFUNCTION("""COMPUTED_VALUE"""),28.77)</f>
        <v>28.77</v>
      </c>
      <c r="F246" s="141">
        <f ca="1">IFERROR(__xludf.DUMMYFUNCTION("""COMPUTED_VALUE"""),28.85)</f>
        <v>28.85</v>
      </c>
      <c r="G246" s="143">
        <f ca="1">IFERROR(__xludf.DUMMYFUNCTION("""COMPUTED_VALUE"""),1377838)</f>
        <v>1377838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IFERROR(__xludf.DUMMYFUNCTION("""COMPUTED_VALUE"""),28.63)</f>
        <v>28.63</v>
      </c>
      <c r="D247" s="141">
        <f ca="1">IFERROR(__xludf.DUMMYFUNCTION("""COMPUTED_VALUE"""),28.88)</f>
        <v>28.88</v>
      </c>
      <c r="E247" s="141">
        <f ca="1">IFERROR(__xludf.DUMMYFUNCTION("""COMPUTED_VALUE"""),28.51)</f>
        <v>28.51</v>
      </c>
      <c r="F247" s="141">
        <f ca="1">IFERROR(__xludf.DUMMYFUNCTION("""COMPUTED_VALUE"""),28.55)</f>
        <v>28.55</v>
      </c>
      <c r="G247" s="143">
        <f ca="1">IFERROR(__xludf.DUMMYFUNCTION("""COMPUTED_VALUE"""),1080726)</f>
        <v>1080726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IFERROR(__xludf.DUMMYFUNCTION("""COMPUTED_VALUE"""),28.18)</f>
        <v>28.18</v>
      </c>
      <c r="D248" s="141">
        <f ca="1">IFERROR(__xludf.DUMMYFUNCTION("""COMPUTED_VALUE"""),28.25)</f>
        <v>28.25</v>
      </c>
      <c r="E248" s="141">
        <f ca="1">IFERROR(__xludf.DUMMYFUNCTION("""COMPUTED_VALUE"""),28.1)</f>
        <v>28.1</v>
      </c>
      <c r="F248" s="141">
        <f ca="1">IFERROR(__xludf.DUMMYFUNCTION("""COMPUTED_VALUE"""),28.22)</f>
        <v>28.22</v>
      </c>
      <c r="G248" s="143">
        <f ca="1">IFERROR(__xludf.DUMMYFUNCTION("""COMPUTED_VALUE"""),1070297)</f>
        <v>1070297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IFERROR(__xludf.DUMMYFUNCTION("""COMPUTED_VALUE"""),27.9)</f>
        <v>27.9</v>
      </c>
      <c r="D249" s="141">
        <f ca="1">IFERROR(__xludf.DUMMYFUNCTION("""COMPUTED_VALUE"""),28.04)</f>
        <v>28.04</v>
      </c>
      <c r="E249" s="141">
        <f ca="1">IFERROR(__xludf.DUMMYFUNCTION("""COMPUTED_VALUE"""),27.76)</f>
        <v>27.76</v>
      </c>
      <c r="F249" s="141">
        <f ca="1">IFERROR(__xludf.DUMMYFUNCTION("""COMPUTED_VALUE"""),27.9)</f>
        <v>27.9</v>
      </c>
      <c r="G249" s="143">
        <f ca="1">IFERROR(__xludf.DUMMYFUNCTION("""COMPUTED_VALUE"""),463890)</f>
        <v>463890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IFERROR(__xludf.DUMMYFUNCTION("""COMPUTED_VALUE"""),27.97)</f>
        <v>27.97</v>
      </c>
      <c r="D250" s="141">
        <f ca="1">IFERROR(__xludf.DUMMYFUNCTION("""COMPUTED_VALUE"""),28.35)</f>
        <v>28.35</v>
      </c>
      <c r="E250" s="141">
        <f ca="1">IFERROR(__xludf.DUMMYFUNCTION("""COMPUTED_VALUE"""),27.68)</f>
        <v>27.68</v>
      </c>
      <c r="F250" s="141">
        <f ca="1">IFERROR(__xludf.DUMMYFUNCTION("""COMPUTED_VALUE"""),27.71)</f>
        <v>27.71</v>
      </c>
      <c r="G250" s="143">
        <f ca="1">IFERROR(__xludf.DUMMYFUNCTION("""COMPUTED_VALUE"""),1454959)</f>
        <v>1454959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IFERROR(__xludf.DUMMYFUNCTION("""COMPUTED_VALUE"""),27.53)</f>
        <v>27.53</v>
      </c>
      <c r="D251" s="141">
        <f ca="1">IFERROR(__xludf.DUMMYFUNCTION("""COMPUTED_VALUE"""),27.7)</f>
        <v>27.7</v>
      </c>
      <c r="E251" s="141">
        <f ca="1">IFERROR(__xludf.DUMMYFUNCTION("""COMPUTED_VALUE"""),27.28)</f>
        <v>27.28</v>
      </c>
      <c r="F251" s="141">
        <f ca="1">IFERROR(__xludf.DUMMYFUNCTION("""COMPUTED_VALUE"""),27.63)</f>
        <v>27.63</v>
      </c>
      <c r="G251" s="143">
        <f ca="1">IFERROR(__xludf.DUMMYFUNCTION("""COMPUTED_VALUE"""),1121213)</f>
        <v>1121213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IFERROR(__xludf.DUMMYFUNCTION("""COMPUTED_VALUE"""),27.51)</f>
        <v>27.51</v>
      </c>
      <c r="D252" s="141">
        <f ca="1">IFERROR(__xludf.DUMMYFUNCTION("""COMPUTED_VALUE"""),27.54)</f>
        <v>27.54</v>
      </c>
      <c r="E252" s="141">
        <f ca="1">IFERROR(__xludf.DUMMYFUNCTION("""COMPUTED_VALUE"""),27.32)</f>
        <v>27.32</v>
      </c>
      <c r="F252" s="141">
        <f ca="1">IFERROR(__xludf.DUMMYFUNCTION("""COMPUTED_VALUE"""),27.41)</f>
        <v>27.41</v>
      </c>
      <c r="G252" s="143">
        <f ca="1">IFERROR(__xludf.DUMMYFUNCTION("""COMPUTED_VALUE"""),585408)</f>
        <v>585408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IFERROR(__xludf.DUMMYFUNCTION("""COMPUTED_VALUE"""),27.09)</f>
        <v>27.09</v>
      </c>
      <c r="D253" s="141">
        <f ca="1">IFERROR(__xludf.DUMMYFUNCTION("""COMPUTED_VALUE"""),27.18)</f>
        <v>27.18</v>
      </c>
      <c r="E253" s="141">
        <f ca="1">IFERROR(__xludf.DUMMYFUNCTION("""COMPUTED_VALUE"""),27.03)</f>
        <v>27.03</v>
      </c>
      <c r="F253" s="141">
        <f ca="1">IFERROR(__xludf.DUMMYFUNCTION("""COMPUTED_VALUE"""),27.12)</f>
        <v>27.12</v>
      </c>
      <c r="G253" s="143">
        <f ca="1">IFERROR(__xludf.DUMMYFUNCTION("""COMPUTED_VALUE"""),573259)</f>
        <v>573259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IFERROR(__xludf.DUMMYFUNCTION("""COMPUTED_VALUE"""),26.53)</f>
        <v>26.53</v>
      </c>
      <c r="D254" s="141">
        <f ca="1">IFERROR(__xludf.DUMMYFUNCTION("""COMPUTED_VALUE"""),26.66)</f>
        <v>26.66</v>
      </c>
      <c r="E254" s="141">
        <f ca="1">IFERROR(__xludf.DUMMYFUNCTION("""COMPUTED_VALUE"""),26.41)</f>
        <v>26.41</v>
      </c>
      <c r="F254" s="141">
        <f ca="1">IFERROR(__xludf.DUMMYFUNCTION("""COMPUTED_VALUE"""),26.45)</f>
        <v>26.45</v>
      </c>
      <c r="G254" s="143">
        <f ca="1">IFERROR(__xludf.DUMMYFUNCTION("""COMPUTED_VALUE"""),1050788)</f>
        <v>1050788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IFERROR(__xludf.DUMMYFUNCTION("""COMPUTED_VALUE"""),26.55)</f>
        <v>26.55</v>
      </c>
      <c r="D255" s="141">
        <f ca="1">IFERROR(__xludf.DUMMYFUNCTION("""COMPUTED_VALUE"""),27)</f>
        <v>27</v>
      </c>
      <c r="E255" s="141">
        <f ca="1">IFERROR(__xludf.DUMMYFUNCTION("""COMPUTED_VALUE"""),26.53)</f>
        <v>26.53</v>
      </c>
      <c r="F255" s="141">
        <f ca="1">IFERROR(__xludf.DUMMYFUNCTION("""COMPUTED_VALUE"""),26.93)</f>
        <v>26.93</v>
      </c>
      <c r="G255" s="143">
        <f ca="1">IFERROR(__xludf.DUMMYFUNCTION("""COMPUTED_VALUE"""),529561)</f>
        <v>529561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IFERROR(__xludf.DUMMYFUNCTION("""COMPUTED_VALUE"""),26.61)</f>
        <v>26.61</v>
      </c>
      <c r="D256" s="141">
        <f ca="1">IFERROR(__xludf.DUMMYFUNCTION("""COMPUTED_VALUE"""),26.64)</f>
        <v>26.64</v>
      </c>
      <c r="E256" s="141">
        <f ca="1">IFERROR(__xludf.DUMMYFUNCTION("""COMPUTED_VALUE"""),26.49)</f>
        <v>26.49</v>
      </c>
      <c r="F256" s="141">
        <f ca="1">IFERROR(__xludf.DUMMYFUNCTION("""COMPUTED_VALUE"""),26.57)</f>
        <v>26.57</v>
      </c>
      <c r="G256" s="143">
        <f ca="1">IFERROR(__xludf.DUMMYFUNCTION("""COMPUTED_VALUE"""),522315)</f>
        <v>522315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IFERROR(__xludf.DUMMYFUNCTION("""COMPUTED_VALUE"""),26.62)</f>
        <v>26.62</v>
      </c>
      <c r="D257" s="141">
        <f ca="1">IFERROR(__xludf.DUMMYFUNCTION("""COMPUTED_VALUE"""),26.65)</f>
        <v>26.65</v>
      </c>
      <c r="E257" s="141">
        <f ca="1">IFERROR(__xludf.DUMMYFUNCTION("""COMPUTED_VALUE"""),26.5)</f>
        <v>26.5</v>
      </c>
      <c r="F257" s="141">
        <f ca="1">IFERROR(__xludf.DUMMYFUNCTION("""COMPUTED_VALUE"""),26.56)</f>
        <v>26.56</v>
      </c>
      <c r="G257" s="143">
        <f ca="1">IFERROR(__xludf.DUMMYFUNCTION("""COMPUTED_VALUE"""),728739)</f>
        <v>728739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IFERROR(__xludf.DUMMYFUNCTION("""COMPUTED_VALUE"""),26.76)</f>
        <v>26.76</v>
      </c>
      <c r="D258" s="141">
        <f ca="1">IFERROR(__xludf.DUMMYFUNCTION("""COMPUTED_VALUE"""),26.79)</f>
        <v>26.79</v>
      </c>
      <c r="E258" s="141">
        <f ca="1">IFERROR(__xludf.DUMMYFUNCTION("""COMPUTED_VALUE"""),26.57)</f>
        <v>26.57</v>
      </c>
      <c r="F258" s="141">
        <f ca="1">IFERROR(__xludf.DUMMYFUNCTION("""COMPUTED_VALUE"""),26.66)</f>
        <v>26.66</v>
      </c>
      <c r="G258" s="143">
        <f ca="1">IFERROR(__xludf.DUMMYFUNCTION("""COMPUTED_VALUE"""),1480308)</f>
        <v>1480308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IFERROR(__xludf.DUMMYFUNCTION("""COMPUTED_VALUE"""),26.58)</f>
        <v>26.58</v>
      </c>
      <c r="D259" s="141">
        <f ca="1">IFERROR(__xludf.DUMMYFUNCTION("""COMPUTED_VALUE"""),26.71)</f>
        <v>26.71</v>
      </c>
      <c r="E259" s="141">
        <f ca="1">IFERROR(__xludf.DUMMYFUNCTION("""COMPUTED_VALUE"""),26.44)</f>
        <v>26.44</v>
      </c>
      <c r="F259" s="141">
        <f ca="1">IFERROR(__xludf.DUMMYFUNCTION("""COMPUTED_VALUE"""),26.45)</f>
        <v>26.45</v>
      </c>
      <c r="G259" s="143">
        <f ca="1">IFERROR(__xludf.DUMMYFUNCTION("""COMPUTED_VALUE"""),1940150)</f>
        <v>1940150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IFERROR(__xludf.DUMMYFUNCTION("""COMPUTED_VALUE"""),26.47)</f>
        <v>26.47</v>
      </c>
      <c r="D260" s="141">
        <f ca="1">IFERROR(__xludf.DUMMYFUNCTION("""COMPUTED_VALUE"""),26.6)</f>
        <v>26.6</v>
      </c>
      <c r="E260" s="141">
        <f ca="1">IFERROR(__xludf.DUMMYFUNCTION("""COMPUTED_VALUE"""),26.43)</f>
        <v>26.43</v>
      </c>
      <c r="F260" s="141">
        <f ca="1">IFERROR(__xludf.DUMMYFUNCTION("""COMPUTED_VALUE"""),26.57)</f>
        <v>26.57</v>
      </c>
      <c r="G260" s="143">
        <f ca="1">IFERROR(__xludf.DUMMYFUNCTION("""COMPUTED_VALUE"""),830230)</f>
        <v>830230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IFERROR(__xludf.DUMMYFUNCTION("""COMPUTED_VALUE"""),26.75)</f>
        <v>26.75</v>
      </c>
      <c r="D261" s="141">
        <f ca="1">IFERROR(__xludf.DUMMYFUNCTION("""COMPUTED_VALUE"""),27.02)</f>
        <v>27.02</v>
      </c>
      <c r="E261" s="141">
        <f ca="1">IFERROR(__xludf.DUMMYFUNCTION("""COMPUTED_VALUE"""),26.75)</f>
        <v>26.75</v>
      </c>
      <c r="F261" s="141">
        <f ca="1">IFERROR(__xludf.DUMMYFUNCTION("""COMPUTED_VALUE"""),27)</f>
        <v>27</v>
      </c>
      <c r="G261" s="143">
        <f ca="1">IFERROR(__xludf.DUMMYFUNCTION("""COMPUTED_VALUE"""),775072)</f>
        <v>775072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IFERROR(__xludf.DUMMYFUNCTION("""COMPUTED_VALUE"""),27.09)</f>
        <v>27.09</v>
      </c>
      <c r="D262" s="141">
        <f ca="1">IFERROR(__xludf.DUMMYFUNCTION("""COMPUTED_VALUE"""),27.39)</f>
        <v>27.39</v>
      </c>
      <c r="E262" s="141">
        <f ca="1">IFERROR(__xludf.DUMMYFUNCTION("""COMPUTED_VALUE"""),27.06)</f>
        <v>27.06</v>
      </c>
      <c r="F262" s="141">
        <f ca="1">IFERROR(__xludf.DUMMYFUNCTION("""COMPUTED_VALUE"""),27.35)</f>
        <v>27.35</v>
      </c>
      <c r="G262" s="143">
        <f ca="1">IFERROR(__xludf.DUMMYFUNCTION("""COMPUTED_VALUE"""),780993)</f>
        <v>780993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IFERROR(__xludf.DUMMYFUNCTION("""COMPUTED_VALUE"""),27.67)</f>
        <v>27.67</v>
      </c>
      <c r="D263" s="141">
        <f ca="1">IFERROR(__xludf.DUMMYFUNCTION("""COMPUTED_VALUE"""),27.96)</f>
        <v>27.96</v>
      </c>
      <c r="E263" s="141">
        <f ca="1">IFERROR(__xludf.DUMMYFUNCTION("""COMPUTED_VALUE"""),27.56)</f>
        <v>27.56</v>
      </c>
      <c r="F263" s="141">
        <f ca="1">IFERROR(__xludf.DUMMYFUNCTION("""COMPUTED_VALUE"""),27.8)</f>
        <v>27.8</v>
      </c>
      <c r="G263" s="143">
        <f ca="1">IFERROR(__xludf.DUMMYFUNCTION("""COMPUTED_VALUE"""),1394381)</f>
        <v>1394381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IFERROR(__xludf.DUMMYFUNCTION("""COMPUTED_VALUE"""),27.75)</f>
        <v>27.75</v>
      </c>
      <c r="D264" s="141">
        <f ca="1">IFERROR(__xludf.DUMMYFUNCTION("""COMPUTED_VALUE"""),27.76)</f>
        <v>27.76</v>
      </c>
      <c r="E264" s="141">
        <f ca="1">IFERROR(__xludf.DUMMYFUNCTION("""COMPUTED_VALUE"""),27.51)</f>
        <v>27.51</v>
      </c>
      <c r="F264" s="141">
        <f ca="1">IFERROR(__xludf.DUMMYFUNCTION("""COMPUTED_VALUE"""),27.58)</f>
        <v>27.58</v>
      </c>
      <c r="G264" s="143">
        <f ca="1">IFERROR(__xludf.DUMMYFUNCTION("""COMPUTED_VALUE"""),448814)</f>
        <v>448814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IFERROR(__xludf.DUMMYFUNCTION("""COMPUTED_VALUE"""),27.5)</f>
        <v>27.5</v>
      </c>
      <c r="D265" s="141">
        <f ca="1">IFERROR(__xludf.DUMMYFUNCTION("""COMPUTED_VALUE"""),27.67)</f>
        <v>27.67</v>
      </c>
      <c r="E265" s="141">
        <f ca="1">IFERROR(__xludf.DUMMYFUNCTION("""COMPUTED_VALUE"""),27.42)</f>
        <v>27.42</v>
      </c>
      <c r="F265" s="141">
        <f ca="1">IFERROR(__xludf.DUMMYFUNCTION("""COMPUTED_VALUE"""),27.52)</f>
        <v>27.52</v>
      </c>
      <c r="G265" s="143">
        <f ca="1">IFERROR(__xludf.DUMMYFUNCTION("""COMPUTED_VALUE"""),509672)</f>
        <v>509672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IFERROR(__xludf.DUMMYFUNCTION("""COMPUTED_VALUE"""),27.85)</f>
        <v>27.85</v>
      </c>
      <c r="D266" s="141">
        <f ca="1">IFERROR(__xludf.DUMMYFUNCTION("""COMPUTED_VALUE"""),28.39)</f>
        <v>28.39</v>
      </c>
      <c r="E266" s="141">
        <f ca="1">IFERROR(__xludf.DUMMYFUNCTION("""COMPUTED_VALUE"""),27.79)</f>
        <v>27.79</v>
      </c>
      <c r="F266" s="141">
        <f ca="1">IFERROR(__xludf.DUMMYFUNCTION("""COMPUTED_VALUE"""),28.33)</f>
        <v>28.33</v>
      </c>
      <c r="G266" s="143">
        <f ca="1">IFERROR(__xludf.DUMMYFUNCTION("""COMPUTED_VALUE"""),770666)</f>
        <v>770666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IFERROR(__xludf.DUMMYFUNCTION("""COMPUTED_VALUE"""),28.66)</f>
        <v>28.66</v>
      </c>
      <c r="D267" s="141">
        <f ca="1">IFERROR(__xludf.DUMMYFUNCTION("""COMPUTED_VALUE"""),28.72)</f>
        <v>28.72</v>
      </c>
      <c r="E267" s="141">
        <f ca="1">IFERROR(__xludf.DUMMYFUNCTION("""COMPUTED_VALUE"""),28.4)</f>
        <v>28.4</v>
      </c>
      <c r="F267" s="141">
        <f ca="1">IFERROR(__xludf.DUMMYFUNCTION("""COMPUTED_VALUE"""),28.63)</f>
        <v>28.63</v>
      </c>
      <c r="G267" s="143">
        <f ca="1">IFERROR(__xludf.DUMMYFUNCTION("""COMPUTED_VALUE"""),868084)</f>
        <v>868084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IFERROR(__xludf.DUMMYFUNCTION("""COMPUTED_VALUE"""),28.75)</f>
        <v>28.75</v>
      </c>
      <c r="D268" s="141">
        <f ca="1">IFERROR(__xludf.DUMMYFUNCTION("""COMPUTED_VALUE"""),28.82)</f>
        <v>28.82</v>
      </c>
      <c r="E268" s="141">
        <f ca="1">IFERROR(__xludf.DUMMYFUNCTION("""COMPUTED_VALUE"""),28.47)</f>
        <v>28.47</v>
      </c>
      <c r="F268" s="141">
        <f ca="1">IFERROR(__xludf.DUMMYFUNCTION("""COMPUTED_VALUE"""),28.79)</f>
        <v>28.79</v>
      </c>
      <c r="G268" s="143">
        <f ca="1">IFERROR(__xludf.DUMMYFUNCTION("""COMPUTED_VALUE"""),609489)</f>
        <v>609489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IFERROR(__xludf.DUMMYFUNCTION("""COMPUTED_VALUE"""),28.72)</f>
        <v>28.72</v>
      </c>
      <c r="D269" s="141">
        <f ca="1">IFERROR(__xludf.DUMMYFUNCTION("""COMPUTED_VALUE"""),28.73)</f>
        <v>28.73</v>
      </c>
      <c r="E269" s="141">
        <f ca="1">IFERROR(__xludf.DUMMYFUNCTION("""COMPUTED_VALUE"""),28.42)</f>
        <v>28.42</v>
      </c>
      <c r="F269" s="141">
        <f ca="1">IFERROR(__xludf.DUMMYFUNCTION("""COMPUTED_VALUE"""),28.46)</f>
        <v>28.46</v>
      </c>
      <c r="G269" s="143">
        <f ca="1">IFERROR(__xludf.DUMMYFUNCTION("""COMPUTED_VALUE"""),521652)</f>
        <v>521652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IFERROR(__xludf.DUMMYFUNCTION("""COMPUTED_VALUE"""),28.74)</f>
        <v>28.74</v>
      </c>
      <c r="D270" s="141">
        <f ca="1">IFERROR(__xludf.DUMMYFUNCTION("""COMPUTED_VALUE"""),29.02)</f>
        <v>29.02</v>
      </c>
      <c r="E270" s="141">
        <f ca="1">IFERROR(__xludf.DUMMYFUNCTION("""COMPUTED_VALUE"""),28.72)</f>
        <v>28.72</v>
      </c>
      <c r="F270" s="141">
        <f ca="1">IFERROR(__xludf.DUMMYFUNCTION("""COMPUTED_VALUE"""),28.98)</f>
        <v>28.98</v>
      </c>
      <c r="G270" s="143">
        <f ca="1">IFERROR(__xludf.DUMMYFUNCTION("""COMPUTED_VALUE"""),4318854)</f>
        <v>4318854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IFERROR(__xludf.DUMMYFUNCTION("""COMPUTED_VALUE"""),28.99)</f>
        <v>28.99</v>
      </c>
      <c r="D271" s="141">
        <f ca="1">IFERROR(__xludf.DUMMYFUNCTION("""COMPUTED_VALUE"""),29.22)</f>
        <v>29.22</v>
      </c>
      <c r="E271" s="141">
        <f ca="1">IFERROR(__xludf.DUMMYFUNCTION("""COMPUTED_VALUE"""),28.93)</f>
        <v>28.93</v>
      </c>
      <c r="F271" s="141">
        <f ca="1">IFERROR(__xludf.DUMMYFUNCTION("""COMPUTED_VALUE"""),29.14)</f>
        <v>29.14</v>
      </c>
      <c r="G271" s="143">
        <f ca="1">IFERROR(__xludf.DUMMYFUNCTION("""COMPUTED_VALUE"""),808960)</f>
        <v>808960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IFERROR(__xludf.DUMMYFUNCTION("""COMPUTED_VALUE"""),29.45)</f>
        <v>29.45</v>
      </c>
      <c r="D272" s="141">
        <f ca="1">IFERROR(__xludf.DUMMYFUNCTION("""COMPUTED_VALUE"""),29.6)</f>
        <v>29.6</v>
      </c>
      <c r="E272" s="141">
        <f ca="1">IFERROR(__xludf.DUMMYFUNCTION("""COMPUTED_VALUE"""),29.43)</f>
        <v>29.43</v>
      </c>
      <c r="F272" s="141">
        <f ca="1">IFERROR(__xludf.DUMMYFUNCTION("""COMPUTED_VALUE"""),29.57)</f>
        <v>29.57</v>
      </c>
      <c r="G272" s="143">
        <f ca="1">IFERROR(__xludf.DUMMYFUNCTION("""COMPUTED_VALUE"""),924818)</f>
        <v>924818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IFERROR(__xludf.DUMMYFUNCTION("""COMPUTED_VALUE"""),29.86)</f>
        <v>29.86</v>
      </c>
      <c r="D273" s="141">
        <f ca="1">IFERROR(__xludf.DUMMYFUNCTION("""COMPUTED_VALUE"""),29.96)</f>
        <v>29.96</v>
      </c>
      <c r="E273" s="141">
        <f ca="1">IFERROR(__xludf.DUMMYFUNCTION("""COMPUTED_VALUE"""),29.79)</f>
        <v>29.79</v>
      </c>
      <c r="F273" s="141">
        <f ca="1">IFERROR(__xludf.DUMMYFUNCTION("""COMPUTED_VALUE"""),29.86)</f>
        <v>29.86</v>
      </c>
      <c r="G273" s="143">
        <f ca="1">IFERROR(__xludf.DUMMYFUNCTION("""COMPUTED_VALUE"""),1198445)</f>
        <v>1198445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IFERROR(__xludf.DUMMYFUNCTION("""COMPUTED_VALUE"""),30.28)</f>
        <v>30.28</v>
      </c>
      <c r="D274" s="141">
        <f ca="1">IFERROR(__xludf.DUMMYFUNCTION("""COMPUTED_VALUE"""),30.57)</f>
        <v>30.57</v>
      </c>
      <c r="E274" s="141">
        <f ca="1">IFERROR(__xludf.DUMMYFUNCTION("""COMPUTED_VALUE"""),30.28)</f>
        <v>30.28</v>
      </c>
      <c r="F274" s="141">
        <f ca="1">IFERROR(__xludf.DUMMYFUNCTION("""COMPUTED_VALUE"""),30.31)</f>
        <v>30.31</v>
      </c>
      <c r="G274" s="143">
        <f ca="1">IFERROR(__xludf.DUMMYFUNCTION("""COMPUTED_VALUE"""),1267979)</f>
        <v>1267979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IFERROR(__xludf.DUMMYFUNCTION("""COMPUTED_VALUE"""),30.08)</f>
        <v>30.08</v>
      </c>
      <c r="D275" s="141">
        <f ca="1">IFERROR(__xludf.DUMMYFUNCTION("""COMPUTED_VALUE"""),30.15)</f>
        <v>30.15</v>
      </c>
      <c r="E275" s="141">
        <f ca="1">IFERROR(__xludf.DUMMYFUNCTION("""COMPUTED_VALUE"""),29.87)</f>
        <v>29.87</v>
      </c>
      <c r="F275" s="141">
        <f ca="1">IFERROR(__xludf.DUMMYFUNCTION("""COMPUTED_VALUE"""),30.1)</f>
        <v>30.1</v>
      </c>
      <c r="G275" s="143">
        <f ca="1">IFERROR(__xludf.DUMMYFUNCTION("""COMPUTED_VALUE"""),817489)</f>
        <v>817489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IFERROR(__xludf.DUMMYFUNCTION("""COMPUTED_VALUE"""),29.43)</f>
        <v>29.43</v>
      </c>
      <c r="D276" s="141">
        <f ca="1">IFERROR(__xludf.DUMMYFUNCTION("""COMPUTED_VALUE"""),29.43)</f>
        <v>29.43</v>
      </c>
      <c r="E276" s="141">
        <f ca="1">IFERROR(__xludf.DUMMYFUNCTION("""COMPUTED_VALUE"""),29.01)</f>
        <v>29.01</v>
      </c>
      <c r="F276" s="141">
        <f ca="1">IFERROR(__xludf.DUMMYFUNCTION("""COMPUTED_VALUE"""),29.01)</f>
        <v>29.01</v>
      </c>
      <c r="G276" s="143">
        <f ca="1">IFERROR(__xludf.DUMMYFUNCTION("""COMPUTED_VALUE"""),820904)</f>
        <v>820904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IFERROR(__xludf.DUMMYFUNCTION("""COMPUTED_VALUE"""),28.88)</f>
        <v>28.88</v>
      </c>
      <c r="D277" s="141">
        <f ca="1">IFERROR(__xludf.DUMMYFUNCTION("""COMPUTED_VALUE"""),28.92)</f>
        <v>28.92</v>
      </c>
      <c r="E277" s="141">
        <f ca="1">IFERROR(__xludf.DUMMYFUNCTION("""COMPUTED_VALUE"""),28.46)</f>
        <v>28.46</v>
      </c>
      <c r="F277" s="141">
        <f ca="1">IFERROR(__xludf.DUMMYFUNCTION("""COMPUTED_VALUE"""),28.6)</f>
        <v>28.6</v>
      </c>
      <c r="G277" s="143">
        <f ca="1">IFERROR(__xludf.DUMMYFUNCTION("""COMPUTED_VALUE"""),533166)</f>
        <v>533166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IFERROR(__xludf.DUMMYFUNCTION("""COMPUTED_VALUE"""),29.25)</f>
        <v>29.25</v>
      </c>
      <c r="D278" s="141">
        <f ca="1">IFERROR(__xludf.DUMMYFUNCTION("""COMPUTED_VALUE"""),29.5)</f>
        <v>29.5</v>
      </c>
      <c r="E278" s="141">
        <f ca="1">IFERROR(__xludf.DUMMYFUNCTION("""COMPUTED_VALUE"""),29.22)</f>
        <v>29.22</v>
      </c>
      <c r="F278" s="141">
        <f ca="1">IFERROR(__xludf.DUMMYFUNCTION("""COMPUTED_VALUE"""),29.42)</f>
        <v>29.42</v>
      </c>
      <c r="G278" s="143">
        <f ca="1">IFERROR(__xludf.DUMMYFUNCTION("""COMPUTED_VALUE"""),1143572)</f>
        <v>1143572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95" priority="5" operator="lessThan">
      <formula>0</formula>
    </cfRule>
    <cfRule type="cellIs" dxfId="94" priority="6" operator="greaterThan">
      <formula>0</formula>
    </cfRule>
  </conditionalFormatting>
  <conditionalFormatting sqref="F28:F1000">
    <cfRule type="expression" dxfId="93" priority="1">
      <formula>AND(F28=MAX(F$28:F$1000),F28&gt;0)</formula>
    </cfRule>
    <cfRule type="expression" dxfId="92" priority="2">
      <formula>AND(F28=MIN(F$28:F$1000),F28&gt;0)</formula>
    </cfRule>
  </conditionalFormatting>
  <conditionalFormatting sqref="F29:F1000">
    <cfRule type="expression" dxfId="91" priority="3">
      <formula>F29&gt;F27</formula>
    </cfRule>
    <cfRule type="expression" dxfId="90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A00-000000000000}">
      <formula1>"1 Month,3 Months,6 Months,12 Months,36 Months"</formula1>
    </dataValidation>
  </dataValidations>
  <hyperlinks>
    <hyperlink ref="G2" r:id="rId1" xr:uid="{00000000-0004-0000-0A00-000000000000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147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IFERROR(__xludf.DUMMYFUNCTION("GOOGLEFINANCE(B18,""name"")"),"Vanguard Total Bond Market Index Fund ETF")</f>
        <v>Vanguard Total Bond Market Index Fund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IFERROR(__xludf.DUMMYFUNCTION("GOOGLEFINANCE(B18,""price"")"),72.38)</f>
        <v>72.38</v>
      </c>
      <c r="C10" s="322"/>
      <c r="D10" s="100">
        <f ca="1">IFERROR(__xludf.DUMMYFUNCTION("IFERROR(GOOGLEFINANCE(B18,""change""),""-"")"),-0.26)</f>
        <v>-0.26</v>
      </c>
      <c r="E10" s="103">
        <f ca="1">IFERROR(__xludf.DUMMYFUNCTION("IFERROR(GOOGLEFINANCE(B18,""changepct"")/100,""-"")"),-0.0036)</f>
        <v>-3.5999999999999999E-3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 t="str">
        <f ca="1">IFERROR(__xludf.DUMMYFUNCTION("IFERROR(GOOGLEFINANCE(B18,""marketcap""),""-"")"),"-")</f>
        <v>-</v>
      </c>
      <c r="C14" s="115" t="str">
        <f ca="1">IFERROR(__xludf.DUMMYFUNCTION("IFERROR(GOOGLEFINANCE(B18,""pe""),""-"")"),"-")</f>
        <v>-</v>
      </c>
      <c r="D14" s="115">
        <f ca="1">IFERROR(__xludf.DUMMYFUNCTION("IFERROR(GOOGLEFINANCE(B18,""beta""),""-"")"),0.25)</f>
        <v>0.25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bnd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IFERROR(__xludf.DUMMYFUNCTION("""COMPUTED_VALUE"""),73.19)</f>
        <v>73.19</v>
      </c>
      <c r="D28" s="141">
        <f ca="1">IFERROR(__xludf.DUMMYFUNCTION("""COMPUTED_VALUE"""),73.35)</f>
        <v>73.349999999999994</v>
      </c>
      <c r="E28" s="141">
        <f ca="1">IFERROR(__xludf.DUMMYFUNCTION("""COMPUTED_VALUE"""),73.13)</f>
        <v>73.13</v>
      </c>
      <c r="F28" s="141">
        <f ca="1">IFERROR(__xludf.DUMMYFUNCTION("""COMPUTED_VALUE"""),73.19)</f>
        <v>73.19</v>
      </c>
      <c r="G28" s="143">
        <f ca="1">IFERROR(__xludf.DUMMYFUNCTION("""COMPUTED_VALUE"""),5554978)</f>
        <v>5554978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IFERROR(__xludf.DUMMYFUNCTION("""COMPUTED_VALUE"""),73.35)</f>
        <v>73.349999999999994</v>
      </c>
      <c r="D29" s="141">
        <f ca="1">IFERROR(__xludf.DUMMYFUNCTION("""COMPUTED_VALUE"""),73.36)</f>
        <v>73.36</v>
      </c>
      <c r="E29" s="141">
        <f ca="1">IFERROR(__xludf.DUMMYFUNCTION("""COMPUTED_VALUE"""),73.18)</f>
        <v>73.180000000000007</v>
      </c>
      <c r="F29" s="141">
        <f ca="1">IFERROR(__xludf.DUMMYFUNCTION("""COMPUTED_VALUE"""),73.2)</f>
        <v>73.2</v>
      </c>
      <c r="G29" s="143">
        <f ca="1">IFERROR(__xludf.DUMMYFUNCTION("""COMPUTED_VALUE"""),6463220)</f>
        <v>6463220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IFERROR(__xludf.DUMMYFUNCTION("""COMPUTED_VALUE"""),73.5)</f>
        <v>73.5</v>
      </c>
      <c r="D30" s="141">
        <f ca="1">IFERROR(__xludf.DUMMYFUNCTION("""COMPUTED_VALUE"""),73.61)</f>
        <v>73.61</v>
      </c>
      <c r="E30" s="141">
        <f ca="1">IFERROR(__xludf.DUMMYFUNCTION("""COMPUTED_VALUE"""),73.38)</f>
        <v>73.38</v>
      </c>
      <c r="F30" s="141">
        <f ca="1">IFERROR(__xludf.DUMMYFUNCTION("""COMPUTED_VALUE"""),73.59)</f>
        <v>73.59</v>
      </c>
      <c r="G30" s="143">
        <f ca="1">IFERROR(__xludf.DUMMYFUNCTION("""COMPUTED_VALUE"""),10782336)</f>
        <v>10782336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IFERROR(__xludf.DUMMYFUNCTION("""COMPUTED_VALUE"""),73.63)</f>
        <v>73.63</v>
      </c>
      <c r="D31" s="141">
        <f ca="1">IFERROR(__xludf.DUMMYFUNCTION("""COMPUTED_VALUE"""),73.65)</f>
        <v>73.650000000000006</v>
      </c>
      <c r="E31" s="141">
        <f ca="1">IFERROR(__xludf.DUMMYFUNCTION("""COMPUTED_VALUE"""),73.5)</f>
        <v>73.5</v>
      </c>
      <c r="F31" s="141">
        <f ca="1">IFERROR(__xludf.DUMMYFUNCTION("""COMPUTED_VALUE"""),73.64)</f>
        <v>73.64</v>
      </c>
      <c r="G31" s="143">
        <f ca="1">IFERROR(__xludf.DUMMYFUNCTION("""COMPUTED_VALUE"""),6834381)</f>
        <v>6834381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IFERROR(__xludf.DUMMYFUNCTION("""COMPUTED_VALUE"""),73.56)</f>
        <v>73.56</v>
      </c>
      <c r="D32" s="141">
        <f ca="1">IFERROR(__xludf.DUMMYFUNCTION("""COMPUTED_VALUE"""),73.7)</f>
        <v>73.7</v>
      </c>
      <c r="E32" s="141">
        <f ca="1">IFERROR(__xludf.DUMMYFUNCTION("""COMPUTED_VALUE"""),73.54)</f>
        <v>73.540000000000006</v>
      </c>
      <c r="F32" s="141">
        <f ca="1">IFERROR(__xludf.DUMMYFUNCTION("""COMPUTED_VALUE"""),73.67)</f>
        <v>73.67</v>
      </c>
      <c r="G32" s="143">
        <f ca="1">IFERROR(__xludf.DUMMYFUNCTION("""COMPUTED_VALUE"""),8145334)</f>
        <v>8145334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IFERROR(__xludf.DUMMYFUNCTION("""COMPUTED_VALUE"""),73.57)</f>
        <v>73.569999999999993</v>
      </c>
      <c r="D33" s="141">
        <f ca="1">IFERROR(__xludf.DUMMYFUNCTION("""COMPUTED_VALUE"""),73.65)</f>
        <v>73.650000000000006</v>
      </c>
      <c r="E33" s="141">
        <f ca="1">IFERROR(__xludf.DUMMYFUNCTION("""COMPUTED_VALUE"""),73.34)</f>
        <v>73.34</v>
      </c>
      <c r="F33" s="141">
        <f ca="1">IFERROR(__xludf.DUMMYFUNCTION("""COMPUTED_VALUE"""),73.61)</f>
        <v>73.61</v>
      </c>
      <c r="G33" s="143">
        <f ca="1">IFERROR(__xludf.DUMMYFUNCTION("""COMPUTED_VALUE"""),8082200)</f>
        <v>8082200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IFERROR(__xludf.DUMMYFUNCTION("""COMPUTED_VALUE"""),73.7)</f>
        <v>73.7</v>
      </c>
      <c r="D34" s="141">
        <f ca="1">IFERROR(__xludf.DUMMYFUNCTION("""COMPUTED_VALUE"""),73.7)</f>
        <v>73.7</v>
      </c>
      <c r="E34" s="141">
        <f ca="1">IFERROR(__xludf.DUMMYFUNCTION("""COMPUTED_VALUE"""),73.53)</f>
        <v>73.53</v>
      </c>
      <c r="F34" s="141">
        <f ca="1">IFERROR(__xludf.DUMMYFUNCTION("""COMPUTED_VALUE"""),73.58)</f>
        <v>73.58</v>
      </c>
      <c r="G34" s="143">
        <f ca="1">IFERROR(__xludf.DUMMYFUNCTION("""COMPUTED_VALUE"""),4193068)</f>
        <v>4193068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IFERROR(__xludf.DUMMYFUNCTION("""COMPUTED_VALUE"""),73.5)</f>
        <v>73.5</v>
      </c>
      <c r="D35" s="141">
        <f ca="1">IFERROR(__xludf.DUMMYFUNCTION("""COMPUTED_VALUE"""),73.51)</f>
        <v>73.510000000000005</v>
      </c>
      <c r="E35" s="141">
        <f ca="1">IFERROR(__xludf.DUMMYFUNCTION("""COMPUTED_VALUE"""),73.4)</f>
        <v>73.400000000000006</v>
      </c>
      <c r="F35" s="141">
        <f ca="1">IFERROR(__xludf.DUMMYFUNCTION("""COMPUTED_VALUE"""),73.42)</f>
        <v>73.42</v>
      </c>
      <c r="G35" s="143">
        <f ca="1">IFERROR(__xludf.DUMMYFUNCTION("""COMPUTED_VALUE"""),5566313)</f>
        <v>5566313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IFERROR(__xludf.DUMMYFUNCTION("""COMPUTED_VALUE"""),73.49)</f>
        <v>73.489999999999995</v>
      </c>
      <c r="D36" s="141">
        <f ca="1">IFERROR(__xludf.DUMMYFUNCTION("""COMPUTED_VALUE"""),73.55)</f>
        <v>73.55</v>
      </c>
      <c r="E36" s="141">
        <f ca="1">IFERROR(__xludf.DUMMYFUNCTION("""COMPUTED_VALUE"""),73.44)</f>
        <v>73.44</v>
      </c>
      <c r="F36" s="141">
        <f ca="1">IFERROR(__xludf.DUMMYFUNCTION("""COMPUTED_VALUE"""),73.47)</f>
        <v>73.47</v>
      </c>
      <c r="G36" s="143">
        <f ca="1">IFERROR(__xludf.DUMMYFUNCTION("""COMPUTED_VALUE"""),8668285)</f>
        <v>8668285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IFERROR(__xludf.DUMMYFUNCTION("""COMPUTED_VALUE"""),73.39)</f>
        <v>73.39</v>
      </c>
      <c r="D37" s="141">
        <f ca="1">IFERROR(__xludf.DUMMYFUNCTION("""COMPUTED_VALUE"""),73.48)</f>
        <v>73.48</v>
      </c>
      <c r="E37" s="141">
        <f ca="1">IFERROR(__xludf.DUMMYFUNCTION("""COMPUTED_VALUE"""),73.33)</f>
        <v>73.33</v>
      </c>
      <c r="F37" s="141">
        <f ca="1">IFERROR(__xludf.DUMMYFUNCTION("""COMPUTED_VALUE"""),73.48)</f>
        <v>73.48</v>
      </c>
      <c r="G37" s="143">
        <f ca="1">IFERROR(__xludf.DUMMYFUNCTION("""COMPUTED_VALUE"""),5493957)</f>
        <v>5493957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IFERROR(__xludf.DUMMYFUNCTION("""COMPUTED_VALUE"""),73.69)</f>
        <v>73.69</v>
      </c>
      <c r="D38" s="141">
        <f ca="1">IFERROR(__xludf.DUMMYFUNCTION("""COMPUTED_VALUE"""),73.78)</f>
        <v>73.78</v>
      </c>
      <c r="E38" s="141">
        <f ca="1">IFERROR(__xludf.DUMMYFUNCTION("""COMPUTED_VALUE"""),73.67)</f>
        <v>73.67</v>
      </c>
      <c r="F38" s="141">
        <f ca="1">IFERROR(__xludf.DUMMYFUNCTION("""COMPUTED_VALUE"""),73.75)</f>
        <v>73.75</v>
      </c>
      <c r="G38" s="143">
        <f ca="1">IFERROR(__xludf.DUMMYFUNCTION("""COMPUTED_VALUE"""),6208874)</f>
        <v>6208874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IFERROR(__xludf.DUMMYFUNCTION("""COMPUTED_VALUE"""),73.75)</f>
        <v>73.75</v>
      </c>
      <c r="D39" s="141">
        <f ca="1">IFERROR(__xludf.DUMMYFUNCTION("""COMPUTED_VALUE"""),73.75)</f>
        <v>73.75</v>
      </c>
      <c r="E39" s="141">
        <f ca="1">IFERROR(__xludf.DUMMYFUNCTION("""COMPUTED_VALUE"""),73.49)</f>
        <v>73.489999999999995</v>
      </c>
      <c r="F39" s="141">
        <f ca="1">IFERROR(__xludf.DUMMYFUNCTION("""COMPUTED_VALUE"""),73.54)</f>
        <v>73.540000000000006</v>
      </c>
      <c r="G39" s="143">
        <f ca="1">IFERROR(__xludf.DUMMYFUNCTION("""COMPUTED_VALUE"""),6818486)</f>
        <v>6818486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IFERROR(__xludf.DUMMYFUNCTION("""COMPUTED_VALUE"""),73.53)</f>
        <v>73.53</v>
      </c>
      <c r="D40" s="141">
        <f ca="1">IFERROR(__xludf.DUMMYFUNCTION("""COMPUTED_VALUE"""),73.59)</f>
        <v>73.59</v>
      </c>
      <c r="E40" s="141">
        <f ca="1">IFERROR(__xludf.DUMMYFUNCTION("""COMPUTED_VALUE"""),73.39)</f>
        <v>73.39</v>
      </c>
      <c r="F40" s="141">
        <f ca="1">IFERROR(__xludf.DUMMYFUNCTION("""COMPUTED_VALUE"""),73.44)</f>
        <v>73.44</v>
      </c>
      <c r="G40" s="143">
        <f ca="1">IFERROR(__xludf.DUMMYFUNCTION("""COMPUTED_VALUE"""),4309079)</f>
        <v>4309079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IFERROR(__xludf.DUMMYFUNCTION("""COMPUTED_VALUE"""),73.47)</f>
        <v>73.47</v>
      </c>
      <c r="D41" s="141">
        <f ca="1">IFERROR(__xludf.DUMMYFUNCTION("""COMPUTED_VALUE"""),73.64)</f>
        <v>73.64</v>
      </c>
      <c r="E41" s="141">
        <f ca="1">IFERROR(__xludf.DUMMYFUNCTION("""COMPUTED_VALUE"""),73.31)</f>
        <v>73.31</v>
      </c>
      <c r="F41" s="141">
        <f ca="1">IFERROR(__xludf.DUMMYFUNCTION("""COMPUTED_VALUE"""),73.36)</f>
        <v>73.36</v>
      </c>
      <c r="G41" s="143">
        <f ca="1">IFERROR(__xludf.DUMMYFUNCTION("""COMPUTED_VALUE"""),6941556)</f>
        <v>6941556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IFERROR(__xludf.DUMMYFUNCTION("""COMPUTED_VALUE"""),73.44)</f>
        <v>73.44</v>
      </c>
      <c r="D42" s="141">
        <f ca="1">IFERROR(__xludf.DUMMYFUNCTION("""COMPUTED_VALUE"""),73.51)</f>
        <v>73.510000000000005</v>
      </c>
      <c r="E42" s="141">
        <f ca="1">IFERROR(__xludf.DUMMYFUNCTION("""COMPUTED_VALUE"""),73.44)</f>
        <v>73.44</v>
      </c>
      <c r="F42" s="141">
        <f ca="1">IFERROR(__xludf.DUMMYFUNCTION("""COMPUTED_VALUE"""),73.5)</f>
        <v>73.5</v>
      </c>
      <c r="G42" s="143">
        <f ca="1">IFERROR(__xludf.DUMMYFUNCTION("""COMPUTED_VALUE"""),5098530)</f>
        <v>5098530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IFERROR(__xludf.DUMMYFUNCTION("""COMPUTED_VALUE"""),73.49)</f>
        <v>73.489999999999995</v>
      </c>
      <c r="D43" s="141">
        <f ca="1">IFERROR(__xludf.DUMMYFUNCTION("""COMPUTED_VALUE"""),73.6)</f>
        <v>73.599999999999994</v>
      </c>
      <c r="E43" s="141">
        <f ca="1">IFERROR(__xludf.DUMMYFUNCTION("""COMPUTED_VALUE"""),73.46)</f>
        <v>73.459999999999994</v>
      </c>
      <c r="F43" s="141">
        <f ca="1">IFERROR(__xludf.DUMMYFUNCTION("""COMPUTED_VALUE"""),73.55)</f>
        <v>73.55</v>
      </c>
      <c r="G43" s="143">
        <f ca="1">IFERROR(__xludf.DUMMYFUNCTION("""COMPUTED_VALUE"""),5512795)</f>
        <v>5512795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IFERROR(__xludf.DUMMYFUNCTION("""COMPUTED_VALUE"""),73.44)</f>
        <v>73.44</v>
      </c>
      <c r="D44" s="141">
        <f ca="1">IFERROR(__xludf.DUMMYFUNCTION("""COMPUTED_VALUE"""),73.47)</f>
        <v>73.47</v>
      </c>
      <c r="E44" s="141">
        <f ca="1">IFERROR(__xludf.DUMMYFUNCTION("""COMPUTED_VALUE"""),73.29)</f>
        <v>73.290000000000006</v>
      </c>
      <c r="F44" s="141">
        <f ca="1">IFERROR(__xludf.DUMMYFUNCTION("""COMPUTED_VALUE"""),73.37)</f>
        <v>73.37</v>
      </c>
      <c r="G44" s="143">
        <f ca="1">IFERROR(__xludf.DUMMYFUNCTION("""COMPUTED_VALUE"""),5695498)</f>
        <v>5695498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IFERROR(__xludf.DUMMYFUNCTION("""COMPUTED_VALUE"""),73.5)</f>
        <v>73.5</v>
      </c>
      <c r="D45" s="141">
        <f ca="1">IFERROR(__xludf.DUMMYFUNCTION("""COMPUTED_VALUE"""),73.81)</f>
        <v>73.81</v>
      </c>
      <c r="E45" s="141">
        <f ca="1">IFERROR(__xludf.DUMMYFUNCTION("""COMPUTED_VALUE"""),73.48)</f>
        <v>73.48</v>
      </c>
      <c r="F45" s="141">
        <f ca="1">IFERROR(__xludf.DUMMYFUNCTION("""COMPUTED_VALUE"""),73.74)</f>
        <v>73.739999999999995</v>
      </c>
      <c r="G45" s="143">
        <f ca="1">IFERROR(__xludf.DUMMYFUNCTION("""COMPUTED_VALUE"""),5828735)</f>
        <v>5828735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IFERROR(__xludf.DUMMYFUNCTION("""COMPUTED_VALUE"""),73.63)</f>
        <v>73.63</v>
      </c>
      <c r="D46" s="141">
        <f ca="1">IFERROR(__xludf.DUMMYFUNCTION("""COMPUTED_VALUE"""),73.72)</f>
        <v>73.72</v>
      </c>
      <c r="E46" s="141">
        <f ca="1">IFERROR(__xludf.DUMMYFUNCTION("""COMPUTED_VALUE"""),73.59)</f>
        <v>73.59</v>
      </c>
      <c r="F46" s="141">
        <f ca="1">IFERROR(__xludf.DUMMYFUNCTION("""COMPUTED_VALUE"""),73.64)</f>
        <v>73.64</v>
      </c>
      <c r="G46" s="143">
        <f ca="1">IFERROR(__xludf.DUMMYFUNCTION("""COMPUTED_VALUE"""),5362095)</f>
        <v>5362095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IFERROR(__xludf.DUMMYFUNCTION("""COMPUTED_VALUE"""),73.65)</f>
        <v>73.650000000000006</v>
      </c>
      <c r="D47" s="141">
        <f ca="1">IFERROR(__xludf.DUMMYFUNCTION("""COMPUTED_VALUE"""),73.76)</f>
        <v>73.760000000000005</v>
      </c>
      <c r="E47" s="141">
        <f ca="1">IFERROR(__xludf.DUMMYFUNCTION("""COMPUTED_VALUE"""),73.59)</f>
        <v>73.59</v>
      </c>
      <c r="F47" s="141">
        <f ca="1">IFERROR(__xludf.DUMMYFUNCTION("""COMPUTED_VALUE"""),73.73)</f>
        <v>73.73</v>
      </c>
      <c r="G47" s="143">
        <f ca="1">IFERROR(__xludf.DUMMYFUNCTION("""COMPUTED_VALUE"""),4648298)</f>
        <v>4648298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IFERROR(__xludf.DUMMYFUNCTION("""COMPUTED_VALUE"""),73.66)</f>
        <v>73.66</v>
      </c>
      <c r="D48" s="141">
        <f ca="1">IFERROR(__xludf.DUMMYFUNCTION("""COMPUTED_VALUE"""),73.81)</f>
        <v>73.81</v>
      </c>
      <c r="E48" s="141">
        <f ca="1">IFERROR(__xludf.DUMMYFUNCTION("""COMPUTED_VALUE"""),73.59)</f>
        <v>73.59</v>
      </c>
      <c r="F48" s="141">
        <f ca="1">IFERROR(__xludf.DUMMYFUNCTION("""COMPUTED_VALUE"""),73.8)</f>
        <v>73.8</v>
      </c>
      <c r="G48" s="143">
        <f ca="1">IFERROR(__xludf.DUMMYFUNCTION("""COMPUTED_VALUE"""),6053945)</f>
        <v>6053945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IFERROR(__xludf.DUMMYFUNCTION("""COMPUTED_VALUE"""),73.79)</f>
        <v>73.790000000000006</v>
      </c>
      <c r="D49" s="141">
        <f ca="1">IFERROR(__xludf.DUMMYFUNCTION("""COMPUTED_VALUE"""),73.92)</f>
        <v>73.92</v>
      </c>
      <c r="E49" s="141">
        <f ca="1">IFERROR(__xludf.DUMMYFUNCTION("""COMPUTED_VALUE"""),73.76)</f>
        <v>73.760000000000005</v>
      </c>
      <c r="F49" s="141">
        <f ca="1">IFERROR(__xludf.DUMMYFUNCTION("""COMPUTED_VALUE"""),73.89)</f>
        <v>73.89</v>
      </c>
      <c r="G49" s="143">
        <f ca="1">IFERROR(__xludf.DUMMYFUNCTION("""COMPUTED_VALUE"""),5857310)</f>
        <v>5857310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IFERROR(__xludf.DUMMYFUNCTION("""COMPUTED_VALUE"""),73.82)</f>
        <v>73.819999999999993</v>
      </c>
      <c r="D50" s="141">
        <f ca="1">IFERROR(__xludf.DUMMYFUNCTION("""COMPUTED_VALUE"""),73.87)</f>
        <v>73.87</v>
      </c>
      <c r="E50" s="141">
        <f ca="1">IFERROR(__xludf.DUMMYFUNCTION("""COMPUTED_VALUE"""),73.76)</f>
        <v>73.760000000000005</v>
      </c>
      <c r="F50" s="141">
        <f ca="1">IFERROR(__xludf.DUMMYFUNCTION("""COMPUTED_VALUE"""),73.8)</f>
        <v>73.8</v>
      </c>
      <c r="G50" s="143">
        <f ca="1">IFERROR(__xludf.DUMMYFUNCTION("""COMPUTED_VALUE"""),7736482)</f>
        <v>7736482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IFERROR(__xludf.DUMMYFUNCTION("""COMPUTED_VALUE"""),73.34)</f>
        <v>73.34</v>
      </c>
      <c r="D51" s="141">
        <f ca="1">IFERROR(__xludf.DUMMYFUNCTION("""COMPUTED_VALUE"""),73.43)</f>
        <v>73.430000000000007</v>
      </c>
      <c r="E51" s="141">
        <f ca="1">IFERROR(__xludf.DUMMYFUNCTION("""COMPUTED_VALUE"""),73.31)</f>
        <v>73.31</v>
      </c>
      <c r="F51" s="141">
        <f ca="1">IFERROR(__xludf.DUMMYFUNCTION("""COMPUTED_VALUE"""),73.4)</f>
        <v>73.400000000000006</v>
      </c>
      <c r="G51" s="143">
        <f ca="1">IFERROR(__xludf.DUMMYFUNCTION("""COMPUTED_VALUE"""),6222391)</f>
        <v>6222391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IFERROR(__xludf.DUMMYFUNCTION("""COMPUTED_VALUE"""),73.45)</f>
        <v>73.45</v>
      </c>
      <c r="D52" s="141">
        <f ca="1">IFERROR(__xludf.DUMMYFUNCTION("""COMPUTED_VALUE"""),73.72)</f>
        <v>73.72</v>
      </c>
      <c r="E52" s="141">
        <f ca="1">IFERROR(__xludf.DUMMYFUNCTION("""COMPUTED_VALUE"""),73.44)</f>
        <v>73.44</v>
      </c>
      <c r="F52" s="141">
        <f ca="1">IFERROR(__xludf.DUMMYFUNCTION("""COMPUTED_VALUE"""),73.64)</f>
        <v>73.64</v>
      </c>
      <c r="G52" s="143">
        <f ca="1">IFERROR(__xludf.DUMMYFUNCTION("""COMPUTED_VALUE"""),6005492)</f>
        <v>6005492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IFERROR(__xludf.DUMMYFUNCTION("""COMPUTED_VALUE"""),73.8)</f>
        <v>73.8</v>
      </c>
      <c r="D53" s="141">
        <f ca="1">IFERROR(__xludf.DUMMYFUNCTION("""COMPUTED_VALUE"""),73.93)</f>
        <v>73.930000000000007</v>
      </c>
      <c r="E53" s="141">
        <f ca="1">IFERROR(__xludf.DUMMYFUNCTION("""COMPUTED_VALUE"""),73.72)</f>
        <v>73.72</v>
      </c>
      <c r="F53" s="141">
        <f ca="1">IFERROR(__xludf.DUMMYFUNCTION("""COMPUTED_VALUE"""),73.92)</f>
        <v>73.92</v>
      </c>
      <c r="G53" s="143">
        <f ca="1">IFERROR(__xludf.DUMMYFUNCTION("""COMPUTED_VALUE"""),8842621)</f>
        <v>8842621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IFERROR(__xludf.DUMMYFUNCTION("""COMPUTED_VALUE"""),74.29)</f>
        <v>74.290000000000006</v>
      </c>
      <c r="D54" s="141">
        <f ca="1">IFERROR(__xludf.DUMMYFUNCTION("""COMPUTED_VALUE"""),74.37)</f>
        <v>74.37</v>
      </c>
      <c r="E54" s="141">
        <f ca="1">IFERROR(__xludf.DUMMYFUNCTION("""COMPUTED_VALUE"""),74.25)</f>
        <v>74.25</v>
      </c>
      <c r="F54" s="141">
        <f ca="1">IFERROR(__xludf.DUMMYFUNCTION("""COMPUTED_VALUE"""),74.27)</f>
        <v>74.27</v>
      </c>
      <c r="G54" s="143">
        <f ca="1">IFERROR(__xludf.DUMMYFUNCTION("""COMPUTED_VALUE"""),6321761)</f>
        <v>6321761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IFERROR(__xludf.DUMMYFUNCTION("""COMPUTED_VALUE"""),74.43)</f>
        <v>74.430000000000007</v>
      </c>
      <c r="D55" s="141">
        <f ca="1">IFERROR(__xludf.DUMMYFUNCTION("""COMPUTED_VALUE"""),74.52)</f>
        <v>74.52</v>
      </c>
      <c r="E55" s="141">
        <f ca="1">IFERROR(__xludf.DUMMYFUNCTION("""COMPUTED_VALUE"""),74.41)</f>
        <v>74.41</v>
      </c>
      <c r="F55" s="141">
        <f ca="1">IFERROR(__xludf.DUMMYFUNCTION("""COMPUTED_VALUE"""),74.51)</f>
        <v>74.510000000000005</v>
      </c>
      <c r="G55" s="143">
        <f ca="1">IFERROR(__xludf.DUMMYFUNCTION("""COMPUTED_VALUE"""),6414673)</f>
        <v>6414673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IFERROR(__xludf.DUMMYFUNCTION("""COMPUTED_VALUE"""),74.47)</f>
        <v>74.47</v>
      </c>
      <c r="D56" s="141">
        <f ca="1">IFERROR(__xludf.DUMMYFUNCTION("""COMPUTED_VALUE"""),74.52)</f>
        <v>74.52</v>
      </c>
      <c r="E56" s="141">
        <f ca="1">IFERROR(__xludf.DUMMYFUNCTION("""COMPUTED_VALUE"""),74.3)</f>
        <v>74.3</v>
      </c>
      <c r="F56" s="141">
        <f ca="1">IFERROR(__xludf.DUMMYFUNCTION("""COMPUTED_VALUE"""),74.37)</f>
        <v>74.37</v>
      </c>
      <c r="G56" s="143">
        <f ca="1">IFERROR(__xludf.DUMMYFUNCTION("""COMPUTED_VALUE"""),6613239)</f>
        <v>6613239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IFERROR(__xludf.DUMMYFUNCTION("""COMPUTED_VALUE"""),74.49)</f>
        <v>74.489999999999995</v>
      </c>
      <c r="D57" s="141">
        <f ca="1">IFERROR(__xludf.DUMMYFUNCTION("""COMPUTED_VALUE"""),74.62)</f>
        <v>74.62</v>
      </c>
      <c r="E57" s="141">
        <f ca="1">IFERROR(__xludf.DUMMYFUNCTION("""COMPUTED_VALUE"""),74.44)</f>
        <v>74.44</v>
      </c>
      <c r="F57" s="141">
        <f ca="1">IFERROR(__xludf.DUMMYFUNCTION("""COMPUTED_VALUE"""),74.5)</f>
        <v>74.5</v>
      </c>
      <c r="G57" s="143">
        <f ca="1">IFERROR(__xludf.DUMMYFUNCTION("""COMPUTED_VALUE"""),5680852)</f>
        <v>5680852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IFERROR(__xludf.DUMMYFUNCTION("""COMPUTED_VALUE"""),74.57)</f>
        <v>74.569999999999993</v>
      </c>
      <c r="D58" s="141">
        <f ca="1">IFERROR(__xludf.DUMMYFUNCTION("""COMPUTED_VALUE"""),74.76)</f>
        <v>74.760000000000005</v>
      </c>
      <c r="E58" s="141">
        <f ca="1">IFERROR(__xludf.DUMMYFUNCTION("""COMPUTED_VALUE"""),74.57)</f>
        <v>74.569999999999993</v>
      </c>
      <c r="F58" s="141">
        <f ca="1">IFERROR(__xludf.DUMMYFUNCTION("""COMPUTED_VALUE"""),74.66)</f>
        <v>74.66</v>
      </c>
      <c r="G58" s="143">
        <f ca="1">IFERROR(__xludf.DUMMYFUNCTION("""COMPUTED_VALUE"""),6437156)</f>
        <v>6437156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IFERROR(__xludf.DUMMYFUNCTION("""COMPUTED_VALUE"""),74.54)</f>
        <v>74.540000000000006</v>
      </c>
      <c r="D59" s="141">
        <f ca="1">IFERROR(__xludf.DUMMYFUNCTION("""COMPUTED_VALUE"""),74.58)</f>
        <v>74.58</v>
      </c>
      <c r="E59" s="141">
        <f ca="1">IFERROR(__xludf.DUMMYFUNCTION("""COMPUTED_VALUE"""),74.43)</f>
        <v>74.430000000000007</v>
      </c>
      <c r="F59" s="141">
        <f ca="1">IFERROR(__xludf.DUMMYFUNCTION("""COMPUTED_VALUE"""),74.57)</f>
        <v>74.569999999999993</v>
      </c>
      <c r="G59" s="143">
        <f ca="1">IFERROR(__xludf.DUMMYFUNCTION("""COMPUTED_VALUE"""),5492955)</f>
        <v>5492955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IFERROR(__xludf.DUMMYFUNCTION("""COMPUTED_VALUE"""),74.66)</f>
        <v>74.66</v>
      </c>
      <c r="D60" s="141">
        <f ca="1">IFERROR(__xludf.DUMMYFUNCTION("""COMPUTED_VALUE"""),74.73)</f>
        <v>74.73</v>
      </c>
      <c r="E60" s="141">
        <f ca="1">IFERROR(__xludf.DUMMYFUNCTION("""COMPUTED_VALUE"""),74.65)</f>
        <v>74.650000000000006</v>
      </c>
      <c r="F60" s="141">
        <f ca="1">IFERROR(__xludf.DUMMYFUNCTION("""COMPUTED_VALUE"""),74.71)</f>
        <v>74.709999999999994</v>
      </c>
      <c r="G60" s="143">
        <f ca="1">IFERROR(__xludf.DUMMYFUNCTION("""COMPUTED_VALUE"""),7193648)</f>
        <v>7193648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IFERROR(__xludf.DUMMYFUNCTION("""COMPUTED_VALUE"""),74.71)</f>
        <v>74.709999999999994</v>
      </c>
      <c r="D61" s="141">
        <f ca="1">IFERROR(__xludf.DUMMYFUNCTION("""COMPUTED_VALUE"""),74.77)</f>
        <v>74.77</v>
      </c>
      <c r="E61" s="141">
        <f ca="1">IFERROR(__xludf.DUMMYFUNCTION("""COMPUTED_VALUE"""),74.65)</f>
        <v>74.650000000000006</v>
      </c>
      <c r="F61" s="141">
        <f ca="1">IFERROR(__xludf.DUMMYFUNCTION("""COMPUTED_VALUE"""),74.72)</f>
        <v>74.72</v>
      </c>
      <c r="G61" s="143">
        <f ca="1">IFERROR(__xludf.DUMMYFUNCTION("""COMPUTED_VALUE"""),7012190)</f>
        <v>7012190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IFERROR(__xludf.DUMMYFUNCTION("""COMPUTED_VALUE"""),74.8)</f>
        <v>74.8</v>
      </c>
      <c r="D62" s="141">
        <f ca="1">IFERROR(__xludf.DUMMYFUNCTION("""COMPUTED_VALUE"""),74.92)</f>
        <v>74.92</v>
      </c>
      <c r="E62" s="141">
        <f ca="1">IFERROR(__xludf.DUMMYFUNCTION("""COMPUTED_VALUE"""),74.53)</f>
        <v>74.53</v>
      </c>
      <c r="F62" s="141">
        <f ca="1">IFERROR(__xludf.DUMMYFUNCTION("""COMPUTED_VALUE"""),74.59)</f>
        <v>74.59</v>
      </c>
      <c r="G62" s="143">
        <f ca="1">IFERROR(__xludf.DUMMYFUNCTION("""COMPUTED_VALUE"""),8872301)</f>
        <v>8872301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IFERROR(__xludf.DUMMYFUNCTION("""COMPUTED_VALUE"""),74.39)</f>
        <v>74.39</v>
      </c>
      <c r="D63" s="141">
        <f ca="1">IFERROR(__xludf.DUMMYFUNCTION("""COMPUTED_VALUE"""),74.48)</f>
        <v>74.48</v>
      </c>
      <c r="E63" s="141">
        <f ca="1">IFERROR(__xludf.DUMMYFUNCTION("""COMPUTED_VALUE"""),74.29)</f>
        <v>74.290000000000006</v>
      </c>
      <c r="F63" s="141">
        <f ca="1">IFERROR(__xludf.DUMMYFUNCTION("""COMPUTED_VALUE"""),74.4)</f>
        <v>74.400000000000006</v>
      </c>
      <c r="G63" s="143">
        <f ca="1">IFERROR(__xludf.DUMMYFUNCTION("""COMPUTED_VALUE"""),7641811)</f>
        <v>7641811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IFERROR(__xludf.DUMMYFUNCTION("""COMPUTED_VALUE"""),74.41)</f>
        <v>74.41</v>
      </c>
      <c r="D64" s="141">
        <f ca="1">IFERROR(__xludf.DUMMYFUNCTION("""COMPUTED_VALUE"""),74.45)</f>
        <v>74.45</v>
      </c>
      <c r="E64" s="141">
        <f ca="1">IFERROR(__xludf.DUMMYFUNCTION("""COMPUTED_VALUE"""),74.34)</f>
        <v>74.34</v>
      </c>
      <c r="F64" s="141">
        <f ca="1">IFERROR(__xludf.DUMMYFUNCTION("""COMPUTED_VALUE"""),74.43)</f>
        <v>74.430000000000007</v>
      </c>
      <c r="G64" s="143">
        <f ca="1">IFERROR(__xludf.DUMMYFUNCTION("""COMPUTED_VALUE"""),5295717)</f>
        <v>5295717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IFERROR(__xludf.DUMMYFUNCTION("""COMPUTED_VALUE"""),74.39)</f>
        <v>74.39</v>
      </c>
      <c r="D65" s="141">
        <f ca="1">IFERROR(__xludf.DUMMYFUNCTION("""COMPUTED_VALUE"""),74.41)</f>
        <v>74.41</v>
      </c>
      <c r="E65" s="141">
        <f ca="1">IFERROR(__xludf.DUMMYFUNCTION("""COMPUTED_VALUE"""),74.27)</f>
        <v>74.27</v>
      </c>
      <c r="F65" s="141">
        <f ca="1">IFERROR(__xludf.DUMMYFUNCTION("""COMPUTED_VALUE"""),74.29)</f>
        <v>74.290000000000006</v>
      </c>
      <c r="G65" s="143">
        <f ca="1">IFERROR(__xludf.DUMMYFUNCTION("""COMPUTED_VALUE"""),7814325)</f>
        <v>7814325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IFERROR(__xludf.DUMMYFUNCTION("""COMPUTED_VALUE"""),74.37)</f>
        <v>74.37</v>
      </c>
      <c r="D66" s="141">
        <f ca="1">IFERROR(__xludf.DUMMYFUNCTION("""COMPUTED_VALUE"""),74.45)</f>
        <v>74.45</v>
      </c>
      <c r="E66" s="141">
        <f ca="1">IFERROR(__xludf.DUMMYFUNCTION("""COMPUTED_VALUE"""),74.31)</f>
        <v>74.31</v>
      </c>
      <c r="F66" s="141">
        <f ca="1">IFERROR(__xludf.DUMMYFUNCTION("""COMPUTED_VALUE"""),74.44)</f>
        <v>74.44</v>
      </c>
      <c r="G66" s="143">
        <f ca="1">IFERROR(__xludf.DUMMYFUNCTION("""COMPUTED_VALUE"""),6492249)</f>
        <v>6492249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IFERROR(__xludf.DUMMYFUNCTION("""COMPUTED_VALUE"""),74.37)</f>
        <v>74.37</v>
      </c>
      <c r="D67" s="141">
        <f ca="1">IFERROR(__xludf.DUMMYFUNCTION("""COMPUTED_VALUE"""),74.38)</f>
        <v>74.38</v>
      </c>
      <c r="E67" s="141">
        <f ca="1">IFERROR(__xludf.DUMMYFUNCTION("""COMPUTED_VALUE"""),74.26)</f>
        <v>74.260000000000005</v>
      </c>
      <c r="F67" s="141">
        <f ca="1">IFERROR(__xludf.DUMMYFUNCTION("""COMPUTED_VALUE"""),74.29)</f>
        <v>74.290000000000006</v>
      </c>
      <c r="G67" s="143">
        <f ca="1">IFERROR(__xludf.DUMMYFUNCTION("""COMPUTED_VALUE"""),5158444)</f>
        <v>5158444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IFERROR(__xludf.DUMMYFUNCTION("""COMPUTED_VALUE"""),74.19)</f>
        <v>74.19</v>
      </c>
      <c r="D68" s="141">
        <f ca="1">IFERROR(__xludf.DUMMYFUNCTION("""COMPUTED_VALUE"""),74.22)</f>
        <v>74.22</v>
      </c>
      <c r="E68" s="141">
        <f ca="1">IFERROR(__xludf.DUMMYFUNCTION("""COMPUTED_VALUE"""),74.07)</f>
        <v>74.069999999999993</v>
      </c>
      <c r="F68" s="141">
        <f ca="1">IFERROR(__xludf.DUMMYFUNCTION("""COMPUTED_VALUE"""),74.21)</f>
        <v>74.209999999999994</v>
      </c>
      <c r="G68" s="143">
        <f ca="1">IFERROR(__xludf.DUMMYFUNCTION("""COMPUTED_VALUE"""),7402658)</f>
        <v>7402658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IFERROR(__xludf.DUMMYFUNCTION("""COMPUTED_VALUE"""),74.22)</f>
        <v>74.22</v>
      </c>
      <c r="D69" s="141">
        <f ca="1">IFERROR(__xludf.DUMMYFUNCTION("""COMPUTED_VALUE"""),74.33)</f>
        <v>74.33</v>
      </c>
      <c r="E69" s="141">
        <f ca="1">IFERROR(__xludf.DUMMYFUNCTION("""COMPUTED_VALUE"""),74.15)</f>
        <v>74.150000000000006</v>
      </c>
      <c r="F69" s="141">
        <f ca="1">IFERROR(__xludf.DUMMYFUNCTION("""COMPUTED_VALUE"""),74.21)</f>
        <v>74.209999999999994</v>
      </c>
      <c r="G69" s="143">
        <f ca="1">IFERROR(__xludf.DUMMYFUNCTION("""COMPUTED_VALUE"""),5531414)</f>
        <v>5531414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IFERROR(__xludf.DUMMYFUNCTION("""COMPUTED_VALUE"""),74.31)</f>
        <v>74.31</v>
      </c>
      <c r="D70" s="141">
        <f ca="1">IFERROR(__xludf.DUMMYFUNCTION("""COMPUTED_VALUE"""),74.44)</f>
        <v>74.44</v>
      </c>
      <c r="E70" s="141">
        <f ca="1">IFERROR(__xludf.DUMMYFUNCTION("""COMPUTED_VALUE"""),74.29)</f>
        <v>74.290000000000006</v>
      </c>
      <c r="F70" s="141">
        <f ca="1">IFERROR(__xludf.DUMMYFUNCTION("""COMPUTED_VALUE"""),74.4)</f>
        <v>74.400000000000006</v>
      </c>
      <c r="G70" s="143">
        <f ca="1">IFERROR(__xludf.DUMMYFUNCTION("""COMPUTED_VALUE"""),5534451)</f>
        <v>5534451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IFERROR(__xludf.DUMMYFUNCTION("""COMPUTED_VALUE"""),74.43)</f>
        <v>74.430000000000007</v>
      </c>
      <c r="D71" s="141">
        <f ca="1">IFERROR(__xludf.DUMMYFUNCTION("""COMPUTED_VALUE"""),74.54)</f>
        <v>74.540000000000006</v>
      </c>
      <c r="E71" s="141">
        <f ca="1">IFERROR(__xludf.DUMMYFUNCTION("""COMPUTED_VALUE"""),74.34)</f>
        <v>74.34</v>
      </c>
      <c r="F71" s="141">
        <f ca="1">IFERROR(__xludf.DUMMYFUNCTION("""COMPUTED_VALUE"""),74.37)</f>
        <v>74.37</v>
      </c>
      <c r="G71" s="143">
        <f ca="1">IFERROR(__xludf.DUMMYFUNCTION("""COMPUTED_VALUE"""),8840688)</f>
        <v>8840688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IFERROR(__xludf.DUMMYFUNCTION("""COMPUTED_VALUE"""),74.32)</f>
        <v>74.319999999999993</v>
      </c>
      <c r="D72" s="141">
        <f ca="1">IFERROR(__xludf.DUMMYFUNCTION("""COMPUTED_VALUE"""),74.36)</f>
        <v>74.36</v>
      </c>
      <c r="E72" s="141">
        <f ca="1">IFERROR(__xludf.DUMMYFUNCTION("""COMPUTED_VALUE"""),74.21)</f>
        <v>74.209999999999994</v>
      </c>
      <c r="F72" s="141">
        <f ca="1">IFERROR(__xludf.DUMMYFUNCTION("""COMPUTED_VALUE"""),74.32)</f>
        <v>74.319999999999993</v>
      </c>
      <c r="G72" s="143">
        <f ca="1">IFERROR(__xludf.DUMMYFUNCTION("""COMPUTED_VALUE"""),8762908)</f>
        <v>8762908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IFERROR(__xludf.DUMMYFUNCTION("""COMPUTED_VALUE"""),74.29)</f>
        <v>74.290000000000006</v>
      </c>
      <c r="D73" s="141">
        <f ca="1">IFERROR(__xludf.DUMMYFUNCTION("""COMPUTED_VALUE"""),74.42)</f>
        <v>74.42</v>
      </c>
      <c r="E73" s="141">
        <f ca="1">IFERROR(__xludf.DUMMYFUNCTION("""COMPUTED_VALUE"""),74.25)</f>
        <v>74.25</v>
      </c>
      <c r="F73" s="141">
        <f ca="1">IFERROR(__xludf.DUMMYFUNCTION("""COMPUTED_VALUE"""),74.4)</f>
        <v>74.400000000000006</v>
      </c>
      <c r="G73" s="143">
        <f ca="1">IFERROR(__xludf.DUMMYFUNCTION("""COMPUTED_VALUE"""),7155608)</f>
        <v>7155608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IFERROR(__xludf.DUMMYFUNCTION("""COMPUTED_VALUE"""),74.42)</f>
        <v>74.42</v>
      </c>
      <c r="D74" s="141">
        <f ca="1">IFERROR(__xludf.DUMMYFUNCTION("""COMPUTED_VALUE"""),74.45)</f>
        <v>74.45</v>
      </c>
      <c r="E74" s="141">
        <f ca="1">IFERROR(__xludf.DUMMYFUNCTION("""COMPUTED_VALUE"""),74.29)</f>
        <v>74.290000000000006</v>
      </c>
      <c r="F74" s="141">
        <f ca="1">IFERROR(__xludf.DUMMYFUNCTION("""COMPUTED_VALUE"""),74.31)</f>
        <v>74.31</v>
      </c>
      <c r="G74" s="143">
        <f ca="1">IFERROR(__xludf.DUMMYFUNCTION("""COMPUTED_VALUE"""),8372377)</f>
        <v>8372377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IFERROR(__xludf.DUMMYFUNCTION("""COMPUTED_VALUE"""),74.17)</f>
        <v>74.17</v>
      </c>
      <c r="D75" s="141">
        <f ca="1">IFERROR(__xludf.DUMMYFUNCTION("""COMPUTED_VALUE"""),74.28)</f>
        <v>74.28</v>
      </c>
      <c r="E75" s="141">
        <f ca="1">IFERROR(__xludf.DUMMYFUNCTION("""COMPUTED_VALUE"""),74.13)</f>
        <v>74.13</v>
      </c>
      <c r="F75" s="141">
        <f ca="1">IFERROR(__xludf.DUMMYFUNCTION("""COMPUTED_VALUE"""),74.14)</f>
        <v>74.14</v>
      </c>
      <c r="G75" s="143">
        <f ca="1">IFERROR(__xludf.DUMMYFUNCTION("""COMPUTED_VALUE"""),8688812)</f>
        <v>8688812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IFERROR(__xludf.DUMMYFUNCTION("""COMPUTED_VALUE"""),74.22)</f>
        <v>74.22</v>
      </c>
      <c r="D76" s="141">
        <f ca="1">IFERROR(__xludf.DUMMYFUNCTION("""COMPUTED_VALUE"""),74.35)</f>
        <v>74.349999999999994</v>
      </c>
      <c r="E76" s="141">
        <f ca="1">IFERROR(__xludf.DUMMYFUNCTION("""COMPUTED_VALUE"""),74.19)</f>
        <v>74.19</v>
      </c>
      <c r="F76" s="141">
        <f ca="1">IFERROR(__xludf.DUMMYFUNCTION("""COMPUTED_VALUE"""),74.28)</f>
        <v>74.28</v>
      </c>
      <c r="G76" s="143">
        <f ca="1">IFERROR(__xludf.DUMMYFUNCTION("""COMPUTED_VALUE"""),7229511)</f>
        <v>7229511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IFERROR(__xludf.DUMMYFUNCTION("""COMPUTED_VALUE"""),74.4)</f>
        <v>74.400000000000006</v>
      </c>
      <c r="D77" s="141">
        <f ca="1">IFERROR(__xludf.DUMMYFUNCTION("""COMPUTED_VALUE"""),74.41)</f>
        <v>74.41</v>
      </c>
      <c r="E77" s="141">
        <f ca="1">IFERROR(__xludf.DUMMYFUNCTION("""COMPUTED_VALUE"""),74.26)</f>
        <v>74.260000000000005</v>
      </c>
      <c r="F77" s="141">
        <f ca="1">IFERROR(__xludf.DUMMYFUNCTION("""COMPUTED_VALUE"""),74.28)</f>
        <v>74.28</v>
      </c>
      <c r="G77" s="143">
        <f ca="1">IFERROR(__xludf.DUMMYFUNCTION("""COMPUTED_VALUE"""),6298430)</f>
        <v>6298430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IFERROR(__xludf.DUMMYFUNCTION("""COMPUTED_VALUE"""),74.24)</f>
        <v>74.239999999999995</v>
      </c>
      <c r="D78" s="141">
        <f ca="1">IFERROR(__xludf.DUMMYFUNCTION("""COMPUTED_VALUE"""),74.26)</f>
        <v>74.260000000000005</v>
      </c>
      <c r="E78" s="141">
        <f ca="1">IFERROR(__xludf.DUMMYFUNCTION("""COMPUTED_VALUE"""),74.18)</f>
        <v>74.180000000000007</v>
      </c>
      <c r="F78" s="141">
        <f ca="1">IFERROR(__xludf.DUMMYFUNCTION("""COMPUTED_VALUE"""),74.23)</f>
        <v>74.23</v>
      </c>
      <c r="G78" s="143">
        <f ca="1">IFERROR(__xludf.DUMMYFUNCTION("""COMPUTED_VALUE"""),9071047)</f>
        <v>9071047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IFERROR(__xludf.DUMMYFUNCTION("""COMPUTED_VALUE"""),74.43)</f>
        <v>74.430000000000007</v>
      </c>
      <c r="D79" s="141">
        <f ca="1">IFERROR(__xludf.DUMMYFUNCTION("""COMPUTED_VALUE"""),74.58)</f>
        <v>74.58</v>
      </c>
      <c r="E79" s="141">
        <f ca="1">IFERROR(__xludf.DUMMYFUNCTION("""COMPUTED_VALUE"""),74.36)</f>
        <v>74.36</v>
      </c>
      <c r="F79" s="141">
        <f ca="1">IFERROR(__xludf.DUMMYFUNCTION("""COMPUTED_VALUE"""),74.52)</f>
        <v>74.52</v>
      </c>
      <c r="G79" s="143">
        <f ca="1">IFERROR(__xludf.DUMMYFUNCTION("""COMPUTED_VALUE"""),7202569)</f>
        <v>7202569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IFERROR(__xludf.DUMMYFUNCTION("""COMPUTED_VALUE"""),74.54)</f>
        <v>74.540000000000006</v>
      </c>
      <c r="D80" s="141">
        <f ca="1">IFERROR(__xludf.DUMMYFUNCTION("""COMPUTED_VALUE"""),74.64)</f>
        <v>74.64</v>
      </c>
      <c r="E80" s="141">
        <f ca="1">IFERROR(__xludf.DUMMYFUNCTION("""COMPUTED_VALUE"""),74.45)</f>
        <v>74.45</v>
      </c>
      <c r="F80" s="141">
        <f ca="1">IFERROR(__xludf.DUMMYFUNCTION("""COMPUTED_VALUE"""),74.64)</f>
        <v>74.64</v>
      </c>
      <c r="G80" s="143">
        <f ca="1">IFERROR(__xludf.DUMMYFUNCTION("""COMPUTED_VALUE"""),4358678)</f>
        <v>4358678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IFERROR(__xludf.DUMMYFUNCTION("""COMPUTED_VALUE"""),74.63)</f>
        <v>74.63</v>
      </c>
      <c r="D81" s="141">
        <f ca="1">IFERROR(__xludf.DUMMYFUNCTION("""COMPUTED_VALUE"""),74.78)</f>
        <v>74.78</v>
      </c>
      <c r="E81" s="141">
        <f ca="1">IFERROR(__xludf.DUMMYFUNCTION("""COMPUTED_VALUE"""),74.57)</f>
        <v>74.569999999999993</v>
      </c>
      <c r="F81" s="141">
        <f ca="1">IFERROR(__xludf.DUMMYFUNCTION("""COMPUTED_VALUE"""),74.75)</f>
        <v>74.75</v>
      </c>
      <c r="G81" s="143">
        <f ca="1">IFERROR(__xludf.DUMMYFUNCTION("""COMPUTED_VALUE"""),6550097)</f>
        <v>6550097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IFERROR(__xludf.DUMMYFUNCTION("""COMPUTED_VALUE"""),74.77)</f>
        <v>74.77</v>
      </c>
      <c r="D82" s="141">
        <f ca="1">IFERROR(__xludf.DUMMYFUNCTION("""COMPUTED_VALUE"""),74.87)</f>
        <v>74.87</v>
      </c>
      <c r="E82" s="141">
        <f ca="1">IFERROR(__xludf.DUMMYFUNCTION("""COMPUTED_VALUE"""),74.66)</f>
        <v>74.66</v>
      </c>
      <c r="F82" s="141">
        <f ca="1">IFERROR(__xludf.DUMMYFUNCTION("""COMPUTED_VALUE"""),74.7)</f>
        <v>74.7</v>
      </c>
      <c r="G82" s="143">
        <f ca="1">IFERROR(__xludf.DUMMYFUNCTION("""COMPUTED_VALUE"""),6264829)</f>
        <v>6264829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IFERROR(__xludf.DUMMYFUNCTION("""COMPUTED_VALUE"""),74.67)</f>
        <v>74.67</v>
      </c>
      <c r="D83" s="141">
        <f ca="1">IFERROR(__xludf.DUMMYFUNCTION("""COMPUTED_VALUE"""),75)</f>
        <v>75</v>
      </c>
      <c r="E83" s="141">
        <f ca="1">IFERROR(__xludf.DUMMYFUNCTION("""COMPUTED_VALUE"""),74.67)</f>
        <v>74.67</v>
      </c>
      <c r="F83" s="141">
        <f ca="1">IFERROR(__xludf.DUMMYFUNCTION("""COMPUTED_VALUE"""),74.98)</f>
        <v>74.98</v>
      </c>
      <c r="G83" s="143">
        <f ca="1">IFERROR(__xludf.DUMMYFUNCTION("""COMPUTED_VALUE"""),8485054)</f>
        <v>8485054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IFERROR(__xludf.DUMMYFUNCTION("""COMPUTED_VALUE"""),74.91)</f>
        <v>74.91</v>
      </c>
      <c r="D84" s="141">
        <f ca="1">IFERROR(__xludf.DUMMYFUNCTION("""COMPUTED_VALUE"""),74.92)</f>
        <v>74.92</v>
      </c>
      <c r="E84" s="141">
        <f ca="1">IFERROR(__xludf.DUMMYFUNCTION("""COMPUTED_VALUE"""),74.81)</f>
        <v>74.81</v>
      </c>
      <c r="F84" s="141">
        <f ca="1">IFERROR(__xludf.DUMMYFUNCTION("""COMPUTED_VALUE"""),74.88)</f>
        <v>74.88</v>
      </c>
      <c r="G84" s="143">
        <f ca="1">IFERROR(__xludf.DUMMYFUNCTION("""COMPUTED_VALUE"""),20337487)</f>
        <v>20337487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IFERROR(__xludf.DUMMYFUNCTION("""COMPUTED_VALUE"""),74.95)</f>
        <v>74.95</v>
      </c>
      <c r="D85" s="141">
        <f ca="1">IFERROR(__xludf.DUMMYFUNCTION("""COMPUTED_VALUE"""),74.99)</f>
        <v>74.989999999999995</v>
      </c>
      <c r="E85" s="141">
        <f ca="1">IFERROR(__xludf.DUMMYFUNCTION("""COMPUTED_VALUE"""),74.91)</f>
        <v>74.91</v>
      </c>
      <c r="F85" s="141">
        <f ca="1">IFERROR(__xludf.DUMMYFUNCTION("""COMPUTED_VALUE"""),74.98)</f>
        <v>74.98</v>
      </c>
      <c r="G85" s="143">
        <f ca="1">IFERROR(__xludf.DUMMYFUNCTION("""COMPUTED_VALUE"""),6287206)</f>
        <v>6287206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IFERROR(__xludf.DUMMYFUNCTION("""COMPUTED_VALUE"""),75.1)</f>
        <v>75.099999999999994</v>
      </c>
      <c r="D86" s="141">
        <f ca="1">IFERROR(__xludf.DUMMYFUNCTION("""COMPUTED_VALUE"""),75.15)</f>
        <v>75.150000000000006</v>
      </c>
      <c r="E86" s="141">
        <f ca="1">IFERROR(__xludf.DUMMYFUNCTION("""COMPUTED_VALUE"""),75.05)</f>
        <v>75.05</v>
      </c>
      <c r="F86" s="141">
        <f ca="1">IFERROR(__xludf.DUMMYFUNCTION("""COMPUTED_VALUE"""),75.07)</f>
        <v>75.069999999999993</v>
      </c>
      <c r="G86" s="143">
        <f ca="1">IFERROR(__xludf.DUMMYFUNCTION("""COMPUTED_VALUE"""),6179948)</f>
        <v>6179948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IFERROR(__xludf.DUMMYFUNCTION("""COMPUTED_VALUE"""),75.03)</f>
        <v>75.03</v>
      </c>
      <c r="D87" s="141">
        <f ca="1">IFERROR(__xludf.DUMMYFUNCTION("""COMPUTED_VALUE"""),75.08)</f>
        <v>75.08</v>
      </c>
      <c r="E87" s="141">
        <f ca="1">IFERROR(__xludf.DUMMYFUNCTION("""COMPUTED_VALUE"""),74.97)</f>
        <v>74.97</v>
      </c>
      <c r="F87" s="141">
        <f ca="1">IFERROR(__xludf.DUMMYFUNCTION("""COMPUTED_VALUE"""),75.07)</f>
        <v>75.069999999999993</v>
      </c>
      <c r="G87" s="143">
        <f ca="1">IFERROR(__xludf.DUMMYFUNCTION("""COMPUTED_VALUE"""),7164496)</f>
        <v>7164496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IFERROR(__xludf.DUMMYFUNCTION("""COMPUTED_VALUE"""),74.99)</f>
        <v>74.989999999999995</v>
      </c>
      <c r="D88" s="141">
        <f ca="1">IFERROR(__xludf.DUMMYFUNCTION("""COMPUTED_VALUE"""),75.02)</f>
        <v>75.02</v>
      </c>
      <c r="E88" s="141">
        <f ca="1">IFERROR(__xludf.DUMMYFUNCTION("""COMPUTED_VALUE"""),74.9)</f>
        <v>74.900000000000006</v>
      </c>
      <c r="F88" s="141">
        <f ca="1">IFERROR(__xludf.DUMMYFUNCTION("""COMPUTED_VALUE"""),74.92)</f>
        <v>74.92</v>
      </c>
      <c r="G88" s="143">
        <f ca="1">IFERROR(__xludf.DUMMYFUNCTION("""COMPUTED_VALUE"""),6041657)</f>
        <v>6041657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IFERROR(__xludf.DUMMYFUNCTION("""COMPUTED_VALUE"""),75.04)</f>
        <v>75.040000000000006</v>
      </c>
      <c r="D89" s="141">
        <f ca="1">IFERROR(__xludf.DUMMYFUNCTION("""COMPUTED_VALUE"""),75.05)</f>
        <v>75.05</v>
      </c>
      <c r="E89" s="141">
        <f ca="1">IFERROR(__xludf.DUMMYFUNCTION("""COMPUTED_VALUE"""),74.91)</f>
        <v>74.91</v>
      </c>
      <c r="F89" s="141">
        <f ca="1">IFERROR(__xludf.DUMMYFUNCTION("""COMPUTED_VALUE"""),75.02)</f>
        <v>75.02</v>
      </c>
      <c r="G89" s="143">
        <f ca="1">IFERROR(__xludf.DUMMYFUNCTION("""COMPUTED_VALUE"""),6912339)</f>
        <v>6912339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IFERROR(__xludf.DUMMYFUNCTION("""COMPUTED_VALUE"""),74.96)</f>
        <v>74.959999999999994</v>
      </c>
      <c r="D90" s="141">
        <f ca="1">IFERROR(__xludf.DUMMYFUNCTION("""COMPUTED_VALUE"""),75.06)</f>
        <v>75.06</v>
      </c>
      <c r="E90" s="141">
        <f ca="1">IFERROR(__xludf.DUMMYFUNCTION("""COMPUTED_VALUE"""),74.89)</f>
        <v>74.89</v>
      </c>
      <c r="F90" s="141">
        <f ca="1">IFERROR(__xludf.DUMMYFUNCTION("""COMPUTED_VALUE"""),75.06)</f>
        <v>75.06</v>
      </c>
      <c r="G90" s="143">
        <f ca="1">IFERROR(__xludf.DUMMYFUNCTION("""COMPUTED_VALUE"""),7706623)</f>
        <v>7706623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IFERROR(__xludf.DUMMYFUNCTION("""COMPUTED_VALUE"""),75.04)</f>
        <v>75.040000000000006</v>
      </c>
      <c r="D91" s="141">
        <f ca="1">IFERROR(__xludf.DUMMYFUNCTION("""COMPUTED_VALUE"""),75.12)</f>
        <v>75.12</v>
      </c>
      <c r="E91" s="141">
        <f ca="1">IFERROR(__xludf.DUMMYFUNCTION("""COMPUTED_VALUE"""),75.01)</f>
        <v>75.010000000000005</v>
      </c>
      <c r="F91" s="141">
        <f ca="1">IFERROR(__xludf.DUMMYFUNCTION("""COMPUTED_VALUE"""),75.1)</f>
        <v>75.099999999999994</v>
      </c>
      <c r="G91" s="143">
        <f ca="1">IFERROR(__xludf.DUMMYFUNCTION("""COMPUTED_VALUE"""),7399731)</f>
        <v>7399731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IFERROR(__xludf.DUMMYFUNCTION("""COMPUTED_VALUE"""),75.07)</f>
        <v>75.069999999999993</v>
      </c>
      <c r="D92" s="141">
        <f ca="1">IFERROR(__xludf.DUMMYFUNCTION("""COMPUTED_VALUE"""),75.08)</f>
        <v>75.08</v>
      </c>
      <c r="E92" s="141">
        <f ca="1">IFERROR(__xludf.DUMMYFUNCTION("""COMPUTED_VALUE"""),74.71)</f>
        <v>74.709999999999994</v>
      </c>
      <c r="F92" s="141">
        <f ca="1">IFERROR(__xludf.DUMMYFUNCTION("""COMPUTED_VALUE"""),74.73)</f>
        <v>74.73</v>
      </c>
      <c r="G92" s="143">
        <f ca="1">IFERROR(__xludf.DUMMYFUNCTION("""COMPUTED_VALUE"""),8938694)</f>
        <v>8938694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IFERROR(__xludf.DUMMYFUNCTION("""COMPUTED_VALUE"""),74.51)</f>
        <v>74.510000000000005</v>
      </c>
      <c r="D93" s="141">
        <f ca="1">IFERROR(__xludf.DUMMYFUNCTION("""COMPUTED_VALUE"""),74.72)</f>
        <v>74.72</v>
      </c>
      <c r="E93" s="141">
        <f ca="1">IFERROR(__xludf.DUMMYFUNCTION("""COMPUTED_VALUE"""),74.5)</f>
        <v>74.5</v>
      </c>
      <c r="F93" s="141">
        <f ca="1">IFERROR(__xludf.DUMMYFUNCTION("""COMPUTED_VALUE"""),74.6)</f>
        <v>74.599999999999994</v>
      </c>
      <c r="G93" s="143">
        <f ca="1">IFERROR(__xludf.DUMMYFUNCTION("""COMPUTED_VALUE"""),7109490)</f>
        <v>7109490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IFERROR(__xludf.DUMMYFUNCTION("""COMPUTED_VALUE"""),74.66)</f>
        <v>74.66</v>
      </c>
      <c r="D94" s="141">
        <f ca="1">IFERROR(__xludf.DUMMYFUNCTION("""COMPUTED_VALUE"""),74.68)</f>
        <v>74.680000000000007</v>
      </c>
      <c r="E94" s="141">
        <f ca="1">IFERROR(__xludf.DUMMYFUNCTION("""COMPUTED_VALUE"""),74.54)</f>
        <v>74.540000000000006</v>
      </c>
      <c r="F94" s="141">
        <f ca="1">IFERROR(__xludf.DUMMYFUNCTION("""COMPUTED_VALUE"""),74.58)</f>
        <v>74.58</v>
      </c>
      <c r="G94" s="143">
        <f ca="1">IFERROR(__xludf.DUMMYFUNCTION("""COMPUTED_VALUE"""),7106704)</f>
        <v>7106704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IFERROR(__xludf.DUMMYFUNCTION("""COMPUTED_VALUE"""),74.24)</f>
        <v>74.239999999999995</v>
      </c>
      <c r="D95" s="141">
        <f ca="1">IFERROR(__xludf.DUMMYFUNCTION("""COMPUTED_VALUE"""),74.29)</f>
        <v>74.290000000000006</v>
      </c>
      <c r="E95" s="141">
        <f ca="1">IFERROR(__xludf.DUMMYFUNCTION("""COMPUTED_VALUE"""),74.17)</f>
        <v>74.17</v>
      </c>
      <c r="F95" s="141">
        <f ca="1">IFERROR(__xludf.DUMMYFUNCTION("""COMPUTED_VALUE"""),74.25)</f>
        <v>74.25</v>
      </c>
      <c r="G95" s="143">
        <f ca="1">IFERROR(__xludf.DUMMYFUNCTION("""COMPUTED_VALUE"""),7085098)</f>
        <v>7085098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IFERROR(__xludf.DUMMYFUNCTION("""COMPUTED_VALUE"""),74.26)</f>
        <v>74.260000000000005</v>
      </c>
      <c r="D96" s="141">
        <f ca="1">IFERROR(__xludf.DUMMYFUNCTION("""COMPUTED_VALUE"""),74.37)</f>
        <v>74.37</v>
      </c>
      <c r="E96" s="141">
        <f ca="1">IFERROR(__xludf.DUMMYFUNCTION("""COMPUTED_VALUE"""),74.24)</f>
        <v>74.239999999999995</v>
      </c>
      <c r="F96" s="141">
        <f ca="1">IFERROR(__xludf.DUMMYFUNCTION("""COMPUTED_VALUE"""),74.29)</f>
        <v>74.290000000000006</v>
      </c>
      <c r="G96" s="143">
        <f ca="1">IFERROR(__xludf.DUMMYFUNCTION("""COMPUTED_VALUE"""),11476211)</f>
        <v>11476211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IFERROR(__xludf.DUMMYFUNCTION("""COMPUTED_VALUE"""),74.24)</f>
        <v>74.239999999999995</v>
      </c>
      <c r="D97" s="141">
        <f ca="1">IFERROR(__xludf.DUMMYFUNCTION("""COMPUTED_VALUE"""),74.26)</f>
        <v>74.260000000000005</v>
      </c>
      <c r="E97" s="141">
        <f ca="1">IFERROR(__xludf.DUMMYFUNCTION("""COMPUTED_VALUE"""),74.04)</f>
        <v>74.040000000000006</v>
      </c>
      <c r="F97" s="141">
        <f ca="1">IFERROR(__xludf.DUMMYFUNCTION("""COMPUTED_VALUE"""),74.08)</f>
        <v>74.08</v>
      </c>
      <c r="G97" s="143">
        <f ca="1">IFERROR(__xludf.DUMMYFUNCTION("""COMPUTED_VALUE"""),10862842)</f>
        <v>10862842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IFERROR(__xludf.DUMMYFUNCTION("""COMPUTED_VALUE"""),74.3)</f>
        <v>74.3</v>
      </c>
      <c r="D98" s="141">
        <f ca="1">IFERROR(__xludf.DUMMYFUNCTION("""COMPUTED_VALUE"""),74.4)</f>
        <v>74.400000000000006</v>
      </c>
      <c r="E98" s="141">
        <f ca="1">IFERROR(__xludf.DUMMYFUNCTION("""COMPUTED_VALUE"""),74.28)</f>
        <v>74.28</v>
      </c>
      <c r="F98" s="141">
        <f ca="1">IFERROR(__xludf.DUMMYFUNCTION("""COMPUTED_VALUE"""),74.37)</f>
        <v>74.37</v>
      </c>
      <c r="G98" s="143">
        <f ca="1">IFERROR(__xludf.DUMMYFUNCTION("""COMPUTED_VALUE"""),6461208)</f>
        <v>6461208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IFERROR(__xludf.DUMMYFUNCTION("""COMPUTED_VALUE"""),74.26)</f>
        <v>74.260000000000005</v>
      </c>
      <c r="D99" s="141">
        <f ca="1">IFERROR(__xludf.DUMMYFUNCTION("""COMPUTED_VALUE"""),74.43)</f>
        <v>74.430000000000007</v>
      </c>
      <c r="E99" s="141">
        <f ca="1">IFERROR(__xludf.DUMMYFUNCTION("""COMPUTED_VALUE"""),74.26)</f>
        <v>74.260000000000005</v>
      </c>
      <c r="F99" s="141">
        <f ca="1">IFERROR(__xludf.DUMMYFUNCTION("""COMPUTED_VALUE"""),74.33)</f>
        <v>74.33</v>
      </c>
      <c r="G99" s="143">
        <f ca="1">IFERROR(__xludf.DUMMYFUNCTION("""COMPUTED_VALUE"""),7073176)</f>
        <v>7073176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IFERROR(__xludf.DUMMYFUNCTION("""COMPUTED_VALUE"""),74.32)</f>
        <v>74.319999999999993</v>
      </c>
      <c r="D100" s="141">
        <f ca="1">IFERROR(__xludf.DUMMYFUNCTION("""COMPUTED_VALUE"""),74.37)</f>
        <v>74.37</v>
      </c>
      <c r="E100" s="141">
        <f ca="1">IFERROR(__xludf.DUMMYFUNCTION("""COMPUTED_VALUE"""),74.28)</f>
        <v>74.28</v>
      </c>
      <c r="F100" s="141">
        <f ca="1">IFERROR(__xludf.DUMMYFUNCTION("""COMPUTED_VALUE"""),74.31)</f>
        <v>74.31</v>
      </c>
      <c r="G100" s="143">
        <f ca="1">IFERROR(__xludf.DUMMYFUNCTION("""COMPUTED_VALUE"""),7235146)</f>
        <v>7235146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IFERROR(__xludf.DUMMYFUNCTION("""COMPUTED_VALUE"""),74.46)</f>
        <v>74.459999999999994</v>
      </c>
      <c r="D101" s="141">
        <f ca="1">IFERROR(__xludf.DUMMYFUNCTION("""COMPUTED_VALUE"""),74.53)</f>
        <v>74.53</v>
      </c>
      <c r="E101" s="141">
        <f ca="1">IFERROR(__xludf.DUMMYFUNCTION("""COMPUTED_VALUE"""),74.42)</f>
        <v>74.42</v>
      </c>
      <c r="F101" s="141">
        <f ca="1">IFERROR(__xludf.DUMMYFUNCTION("""COMPUTED_VALUE"""),74.52)</f>
        <v>74.52</v>
      </c>
      <c r="G101" s="143">
        <f ca="1">IFERROR(__xludf.DUMMYFUNCTION("""COMPUTED_VALUE"""),5229393)</f>
        <v>5229393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IFERROR(__xludf.DUMMYFUNCTION("""COMPUTED_VALUE"""),74.48)</f>
        <v>74.48</v>
      </c>
      <c r="D102" s="141">
        <f ca="1">IFERROR(__xludf.DUMMYFUNCTION("""COMPUTED_VALUE"""),74.54)</f>
        <v>74.540000000000006</v>
      </c>
      <c r="E102" s="141">
        <f ca="1">IFERROR(__xludf.DUMMYFUNCTION("""COMPUTED_VALUE"""),74.44)</f>
        <v>74.44</v>
      </c>
      <c r="F102" s="141">
        <f ca="1">IFERROR(__xludf.DUMMYFUNCTION("""COMPUTED_VALUE"""),74.49)</f>
        <v>74.489999999999995</v>
      </c>
      <c r="G102" s="143">
        <f ca="1">IFERROR(__xludf.DUMMYFUNCTION("""COMPUTED_VALUE"""),7129742)</f>
        <v>7129742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IFERROR(__xludf.DUMMYFUNCTION("""COMPUTED_VALUE"""),74.36)</f>
        <v>74.36</v>
      </c>
      <c r="D103" s="141">
        <f ca="1">IFERROR(__xludf.DUMMYFUNCTION("""COMPUTED_VALUE"""),74.41)</f>
        <v>74.41</v>
      </c>
      <c r="E103" s="141">
        <f ca="1">IFERROR(__xludf.DUMMYFUNCTION("""COMPUTED_VALUE"""),74.27)</f>
        <v>74.27</v>
      </c>
      <c r="F103" s="141">
        <f ca="1">IFERROR(__xludf.DUMMYFUNCTION("""COMPUTED_VALUE"""),74.27)</f>
        <v>74.27</v>
      </c>
      <c r="G103" s="143">
        <f ca="1">IFERROR(__xludf.DUMMYFUNCTION("""COMPUTED_VALUE"""),7105106)</f>
        <v>7105106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IFERROR(__xludf.DUMMYFUNCTION("""COMPUTED_VALUE"""),74.4)</f>
        <v>74.400000000000006</v>
      </c>
      <c r="D104" s="141">
        <f ca="1">IFERROR(__xludf.DUMMYFUNCTION("""COMPUTED_VALUE"""),74.42)</f>
        <v>74.42</v>
      </c>
      <c r="E104" s="141">
        <f ca="1">IFERROR(__xludf.DUMMYFUNCTION("""COMPUTED_VALUE"""),74.16)</f>
        <v>74.16</v>
      </c>
      <c r="F104" s="141">
        <f ca="1">IFERROR(__xludf.DUMMYFUNCTION("""COMPUTED_VALUE"""),74.16)</f>
        <v>74.16</v>
      </c>
      <c r="G104" s="143">
        <f ca="1">IFERROR(__xludf.DUMMYFUNCTION("""COMPUTED_VALUE"""),6473412)</f>
        <v>6473412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IFERROR(__xludf.DUMMYFUNCTION("""COMPUTED_VALUE"""),74.21)</f>
        <v>74.209999999999994</v>
      </c>
      <c r="D105" s="141">
        <f ca="1">IFERROR(__xludf.DUMMYFUNCTION("""COMPUTED_VALUE"""),74.28)</f>
        <v>74.28</v>
      </c>
      <c r="E105" s="141">
        <f ca="1">IFERROR(__xludf.DUMMYFUNCTION("""COMPUTED_VALUE"""),74.19)</f>
        <v>74.19</v>
      </c>
      <c r="F105" s="141">
        <f ca="1">IFERROR(__xludf.DUMMYFUNCTION("""COMPUTED_VALUE"""),74.2)</f>
        <v>74.2</v>
      </c>
      <c r="G105" s="143">
        <f ca="1">IFERROR(__xludf.DUMMYFUNCTION("""COMPUTED_VALUE"""),6908725)</f>
        <v>6908725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IFERROR(__xludf.DUMMYFUNCTION("""COMPUTED_VALUE"""),74.33)</f>
        <v>74.33</v>
      </c>
      <c r="D106" s="141">
        <f ca="1">IFERROR(__xludf.DUMMYFUNCTION("""COMPUTED_VALUE"""),74.38)</f>
        <v>74.38</v>
      </c>
      <c r="E106" s="141">
        <f ca="1">IFERROR(__xludf.DUMMYFUNCTION("""COMPUTED_VALUE"""),74.18)</f>
        <v>74.180000000000007</v>
      </c>
      <c r="F106" s="141">
        <f ca="1">IFERROR(__xludf.DUMMYFUNCTION("""COMPUTED_VALUE"""),74.26)</f>
        <v>74.260000000000005</v>
      </c>
      <c r="G106" s="143">
        <f ca="1">IFERROR(__xludf.DUMMYFUNCTION("""COMPUTED_VALUE"""),8009243)</f>
        <v>8009243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IFERROR(__xludf.DUMMYFUNCTION("""COMPUTED_VALUE"""),74.34)</f>
        <v>74.34</v>
      </c>
      <c r="D107" s="141">
        <f ca="1">IFERROR(__xludf.DUMMYFUNCTION("""COMPUTED_VALUE"""),74.36)</f>
        <v>74.36</v>
      </c>
      <c r="E107" s="141">
        <f ca="1">IFERROR(__xludf.DUMMYFUNCTION("""COMPUTED_VALUE"""),74.2)</f>
        <v>74.2</v>
      </c>
      <c r="F107" s="141">
        <f ca="1">IFERROR(__xludf.DUMMYFUNCTION("""COMPUTED_VALUE"""),74.23)</f>
        <v>74.23</v>
      </c>
      <c r="G107" s="143">
        <f ca="1">IFERROR(__xludf.DUMMYFUNCTION("""COMPUTED_VALUE"""),7527455)</f>
        <v>7527455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IFERROR(__xludf.DUMMYFUNCTION("""COMPUTED_VALUE"""),74.31)</f>
        <v>74.31</v>
      </c>
      <c r="D108" s="141">
        <f ca="1">IFERROR(__xludf.DUMMYFUNCTION("""COMPUTED_VALUE"""),74.4)</f>
        <v>74.400000000000006</v>
      </c>
      <c r="E108" s="141">
        <f ca="1">IFERROR(__xludf.DUMMYFUNCTION("""COMPUTED_VALUE"""),74.29)</f>
        <v>74.290000000000006</v>
      </c>
      <c r="F108" s="141">
        <f ca="1">IFERROR(__xludf.DUMMYFUNCTION("""COMPUTED_VALUE"""),74.34)</f>
        <v>74.34</v>
      </c>
      <c r="G108" s="143">
        <f ca="1">IFERROR(__xludf.DUMMYFUNCTION("""COMPUTED_VALUE"""),8461082)</f>
        <v>8461082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IFERROR(__xludf.DUMMYFUNCTION("""COMPUTED_VALUE"""),74.55)</f>
        <v>74.55</v>
      </c>
      <c r="D109" s="141">
        <f ca="1">IFERROR(__xludf.DUMMYFUNCTION("""COMPUTED_VALUE"""),74.55)</f>
        <v>74.55</v>
      </c>
      <c r="E109" s="141">
        <f ca="1">IFERROR(__xludf.DUMMYFUNCTION("""COMPUTED_VALUE"""),74.4)</f>
        <v>74.400000000000006</v>
      </c>
      <c r="F109" s="141">
        <f ca="1">IFERROR(__xludf.DUMMYFUNCTION("""COMPUTED_VALUE"""),74.52)</f>
        <v>74.52</v>
      </c>
      <c r="G109" s="143">
        <f ca="1">IFERROR(__xludf.DUMMYFUNCTION("""COMPUTED_VALUE"""),6818362)</f>
        <v>6818362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IFERROR(__xludf.DUMMYFUNCTION("""COMPUTED_VALUE"""),74.62)</f>
        <v>74.62</v>
      </c>
      <c r="D110" s="141">
        <f ca="1">IFERROR(__xludf.DUMMYFUNCTION("""COMPUTED_VALUE"""),74.68)</f>
        <v>74.680000000000007</v>
      </c>
      <c r="E110" s="141">
        <f ca="1">IFERROR(__xludf.DUMMYFUNCTION("""COMPUTED_VALUE"""),74.55)</f>
        <v>74.55</v>
      </c>
      <c r="F110" s="141">
        <f ca="1">IFERROR(__xludf.DUMMYFUNCTION("""COMPUTED_VALUE"""),74.65)</f>
        <v>74.650000000000006</v>
      </c>
      <c r="G110" s="143">
        <f ca="1">IFERROR(__xludf.DUMMYFUNCTION("""COMPUTED_VALUE"""),5734438)</f>
        <v>5734438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IFERROR(__xludf.DUMMYFUNCTION("""COMPUTED_VALUE"""),74.7)</f>
        <v>74.7</v>
      </c>
      <c r="D111" s="141">
        <f ca="1">IFERROR(__xludf.DUMMYFUNCTION("""COMPUTED_VALUE"""),74.89)</f>
        <v>74.89</v>
      </c>
      <c r="E111" s="141">
        <f ca="1">IFERROR(__xludf.DUMMYFUNCTION("""COMPUTED_VALUE"""),74.7)</f>
        <v>74.7</v>
      </c>
      <c r="F111" s="141">
        <f ca="1">IFERROR(__xludf.DUMMYFUNCTION("""COMPUTED_VALUE"""),74.82)</f>
        <v>74.819999999999993</v>
      </c>
      <c r="G111" s="143">
        <f ca="1">IFERROR(__xludf.DUMMYFUNCTION("""COMPUTED_VALUE"""),7446483)</f>
        <v>7446483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IFERROR(__xludf.DUMMYFUNCTION("""COMPUTED_VALUE"""),74.78)</f>
        <v>74.78</v>
      </c>
      <c r="D112" s="141">
        <f ca="1">IFERROR(__xludf.DUMMYFUNCTION("""COMPUTED_VALUE"""),74.9)</f>
        <v>74.900000000000006</v>
      </c>
      <c r="E112" s="141">
        <f ca="1">IFERROR(__xludf.DUMMYFUNCTION("""COMPUTED_VALUE"""),74.68)</f>
        <v>74.680000000000007</v>
      </c>
      <c r="F112" s="141">
        <f ca="1">IFERROR(__xludf.DUMMYFUNCTION("""COMPUTED_VALUE"""),74.9)</f>
        <v>74.900000000000006</v>
      </c>
      <c r="G112" s="143">
        <f ca="1">IFERROR(__xludf.DUMMYFUNCTION("""COMPUTED_VALUE"""),7327056)</f>
        <v>7327056</v>
      </c>
      <c r="H112" s="26"/>
    </row>
    <row r="113" spans="1:8" ht="17.25" customHeight="1" x14ac:dyDescent="0.2">
      <c r="A113" s="26"/>
      <c r="B113" s="139">
        <f ca="1">IFERROR(__xludf.DUMMYFUNCTION("""COMPUTED_VALUE"""),45989.5451388888)</f>
        <v>45989.545138888803</v>
      </c>
      <c r="C113" s="141">
        <f ca="1">IFERROR(__xludf.DUMMYFUNCTION("""COMPUTED_VALUE"""),74.86)</f>
        <v>74.86</v>
      </c>
      <c r="D113" s="141">
        <f ca="1">IFERROR(__xludf.DUMMYFUNCTION("""COMPUTED_VALUE"""),74.88)</f>
        <v>74.88</v>
      </c>
      <c r="E113" s="141">
        <f ca="1">IFERROR(__xludf.DUMMYFUNCTION("""COMPUTED_VALUE"""),74.71)</f>
        <v>74.709999999999994</v>
      </c>
      <c r="F113" s="141">
        <f ca="1">IFERROR(__xludf.DUMMYFUNCTION("""COMPUTED_VALUE"""),74.78)</f>
        <v>74.78</v>
      </c>
      <c r="G113" s="143">
        <f ca="1">IFERROR(__xludf.DUMMYFUNCTION("""COMPUTED_VALUE"""),4812064)</f>
        <v>4812064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IFERROR(__xludf.DUMMYFUNCTION("""COMPUTED_VALUE"""),74.27)</f>
        <v>74.27</v>
      </c>
      <c r="D114" s="141">
        <f ca="1">IFERROR(__xludf.DUMMYFUNCTION("""COMPUTED_VALUE"""),74.3)</f>
        <v>74.3</v>
      </c>
      <c r="E114" s="141">
        <f ca="1">IFERROR(__xludf.DUMMYFUNCTION("""COMPUTED_VALUE"""),74.21)</f>
        <v>74.209999999999994</v>
      </c>
      <c r="F114" s="141">
        <f ca="1">IFERROR(__xludf.DUMMYFUNCTION("""COMPUTED_VALUE"""),74.25)</f>
        <v>74.25</v>
      </c>
      <c r="G114" s="143">
        <f ca="1">IFERROR(__xludf.DUMMYFUNCTION("""COMPUTED_VALUE"""),6891545)</f>
        <v>6891545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IFERROR(__xludf.DUMMYFUNCTION("""COMPUTED_VALUE"""),74.25)</f>
        <v>74.25</v>
      </c>
      <c r="D115" s="141">
        <f ca="1">IFERROR(__xludf.DUMMYFUNCTION("""COMPUTED_VALUE"""),74.36)</f>
        <v>74.36</v>
      </c>
      <c r="E115" s="141">
        <f ca="1">IFERROR(__xludf.DUMMYFUNCTION("""COMPUTED_VALUE"""),74.22)</f>
        <v>74.22</v>
      </c>
      <c r="F115" s="141">
        <f ca="1">IFERROR(__xludf.DUMMYFUNCTION("""COMPUTED_VALUE"""),74.32)</f>
        <v>74.319999999999993</v>
      </c>
      <c r="G115" s="143">
        <f ca="1">IFERROR(__xludf.DUMMYFUNCTION("""COMPUTED_VALUE"""),6756934)</f>
        <v>6756934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IFERROR(__xludf.DUMMYFUNCTION("""COMPUTED_VALUE"""),74.41)</f>
        <v>74.41</v>
      </c>
      <c r="D116" s="141">
        <f ca="1">IFERROR(__xludf.DUMMYFUNCTION("""COMPUTED_VALUE"""),74.47)</f>
        <v>74.47</v>
      </c>
      <c r="E116" s="141">
        <f ca="1">IFERROR(__xludf.DUMMYFUNCTION("""COMPUTED_VALUE"""),74.34)</f>
        <v>74.34</v>
      </c>
      <c r="F116" s="141">
        <f ca="1">IFERROR(__xludf.DUMMYFUNCTION("""COMPUTED_VALUE"""),74.43)</f>
        <v>74.430000000000007</v>
      </c>
      <c r="G116" s="143">
        <f ca="1">IFERROR(__xludf.DUMMYFUNCTION("""COMPUTED_VALUE"""),9774004)</f>
        <v>9774004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IFERROR(__xludf.DUMMYFUNCTION("""COMPUTED_VALUE"""),74.36)</f>
        <v>74.36</v>
      </c>
      <c r="D117" s="141">
        <f ca="1">IFERROR(__xludf.DUMMYFUNCTION("""COMPUTED_VALUE"""),74.37)</f>
        <v>74.37</v>
      </c>
      <c r="E117" s="141">
        <f ca="1">IFERROR(__xludf.DUMMYFUNCTION("""COMPUTED_VALUE"""),74.26)</f>
        <v>74.260000000000005</v>
      </c>
      <c r="F117" s="141">
        <f ca="1">IFERROR(__xludf.DUMMYFUNCTION("""COMPUTED_VALUE"""),74.29)</f>
        <v>74.290000000000006</v>
      </c>
      <c r="G117" s="143">
        <f ca="1">IFERROR(__xludf.DUMMYFUNCTION("""COMPUTED_VALUE"""),7337759)</f>
        <v>7337759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IFERROR(__xludf.DUMMYFUNCTION("""COMPUTED_VALUE"""),74.31)</f>
        <v>74.31</v>
      </c>
      <c r="D118" s="141">
        <f ca="1">IFERROR(__xludf.DUMMYFUNCTION("""COMPUTED_VALUE"""),74.33)</f>
        <v>74.33</v>
      </c>
      <c r="E118" s="141">
        <f ca="1">IFERROR(__xludf.DUMMYFUNCTION("""COMPUTED_VALUE"""),74.15)</f>
        <v>74.150000000000006</v>
      </c>
      <c r="F118" s="141">
        <f ca="1">IFERROR(__xludf.DUMMYFUNCTION("""COMPUTED_VALUE"""),74.2)</f>
        <v>74.2</v>
      </c>
      <c r="G118" s="143">
        <f ca="1">IFERROR(__xludf.DUMMYFUNCTION("""COMPUTED_VALUE"""),7270931)</f>
        <v>7270931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IFERROR(__xludf.DUMMYFUNCTION("""COMPUTED_VALUE"""),74.2)</f>
        <v>74.2</v>
      </c>
      <c r="D119" s="141">
        <f ca="1">IFERROR(__xludf.DUMMYFUNCTION("""COMPUTED_VALUE"""),74.21)</f>
        <v>74.209999999999994</v>
      </c>
      <c r="E119" s="141">
        <f ca="1">IFERROR(__xludf.DUMMYFUNCTION("""COMPUTED_VALUE"""),73.98)</f>
        <v>73.98</v>
      </c>
      <c r="F119" s="141">
        <f ca="1">IFERROR(__xludf.DUMMYFUNCTION("""COMPUTED_VALUE"""),74.09)</f>
        <v>74.09</v>
      </c>
      <c r="G119" s="143">
        <f ca="1">IFERROR(__xludf.DUMMYFUNCTION("""COMPUTED_VALUE"""),8585743)</f>
        <v>8585743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IFERROR(__xludf.DUMMYFUNCTION("""COMPUTED_VALUE"""),74.21)</f>
        <v>74.209999999999994</v>
      </c>
      <c r="D120" s="141">
        <f ca="1">IFERROR(__xludf.DUMMYFUNCTION("""COMPUTED_VALUE"""),74.21)</f>
        <v>74.209999999999994</v>
      </c>
      <c r="E120" s="141">
        <f ca="1">IFERROR(__xludf.DUMMYFUNCTION("""COMPUTED_VALUE"""),74.01)</f>
        <v>74.010000000000005</v>
      </c>
      <c r="F120" s="141">
        <f ca="1">IFERROR(__xludf.DUMMYFUNCTION("""COMPUTED_VALUE"""),74.04)</f>
        <v>74.040000000000006</v>
      </c>
      <c r="G120" s="143">
        <f ca="1">IFERROR(__xludf.DUMMYFUNCTION("""COMPUTED_VALUE"""),6665233)</f>
        <v>6665233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IFERROR(__xludf.DUMMYFUNCTION("""COMPUTED_VALUE"""),74.01)</f>
        <v>74.010000000000005</v>
      </c>
      <c r="D121" s="141">
        <f ca="1">IFERROR(__xludf.DUMMYFUNCTION("""COMPUTED_VALUE"""),74.27)</f>
        <v>74.27</v>
      </c>
      <c r="E121" s="141">
        <f ca="1">IFERROR(__xludf.DUMMYFUNCTION("""COMPUTED_VALUE"""),74)</f>
        <v>74</v>
      </c>
      <c r="F121" s="141">
        <f ca="1">IFERROR(__xludf.DUMMYFUNCTION("""COMPUTED_VALUE"""),74.26)</f>
        <v>74.260000000000005</v>
      </c>
      <c r="G121" s="143">
        <f ca="1">IFERROR(__xludf.DUMMYFUNCTION("""COMPUTED_VALUE"""),8771110)</f>
        <v>8771110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IFERROR(__xludf.DUMMYFUNCTION("""COMPUTED_VALUE"""),74.41)</f>
        <v>74.41</v>
      </c>
      <c r="D122" s="141">
        <f ca="1">IFERROR(__xludf.DUMMYFUNCTION("""COMPUTED_VALUE"""),74.43)</f>
        <v>74.430000000000007</v>
      </c>
      <c r="E122" s="141">
        <f ca="1">IFERROR(__xludf.DUMMYFUNCTION("""COMPUTED_VALUE"""),74.24)</f>
        <v>74.239999999999995</v>
      </c>
      <c r="F122" s="141">
        <f ca="1">IFERROR(__xludf.DUMMYFUNCTION("""COMPUTED_VALUE"""),74.26)</f>
        <v>74.260000000000005</v>
      </c>
      <c r="G122" s="143">
        <f ca="1">IFERROR(__xludf.DUMMYFUNCTION("""COMPUTED_VALUE"""),8924551)</f>
        <v>8924551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IFERROR(__xludf.DUMMYFUNCTION("""COMPUTED_VALUE"""),74.05)</f>
        <v>74.05</v>
      </c>
      <c r="D123" s="141">
        <f ca="1">IFERROR(__xludf.DUMMYFUNCTION("""COMPUTED_VALUE"""),74.09)</f>
        <v>74.09</v>
      </c>
      <c r="E123" s="141">
        <f ca="1">IFERROR(__xludf.DUMMYFUNCTION("""COMPUTED_VALUE"""),74.01)</f>
        <v>74.010000000000005</v>
      </c>
      <c r="F123" s="141">
        <f ca="1">IFERROR(__xludf.DUMMYFUNCTION("""COMPUTED_VALUE"""),74.03)</f>
        <v>74.03</v>
      </c>
      <c r="G123" s="143">
        <f ca="1">IFERROR(__xludf.DUMMYFUNCTION("""COMPUTED_VALUE"""),8117594)</f>
        <v>8117594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IFERROR(__xludf.DUMMYFUNCTION("""COMPUTED_VALUE"""),74.17)</f>
        <v>74.17</v>
      </c>
      <c r="D124" s="141">
        <f ca="1">IFERROR(__xludf.DUMMYFUNCTION("""COMPUTED_VALUE"""),74.24)</f>
        <v>74.239999999999995</v>
      </c>
      <c r="E124" s="141">
        <f ca="1">IFERROR(__xludf.DUMMYFUNCTION("""COMPUTED_VALUE"""),74.08)</f>
        <v>74.08</v>
      </c>
      <c r="F124" s="141">
        <f ca="1">IFERROR(__xludf.DUMMYFUNCTION("""COMPUTED_VALUE"""),74.12)</f>
        <v>74.12</v>
      </c>
      <c r="G124" s="143">
        <f ca="1">IFERROR(__xludf.DUMMYFUNCTION("""COMPUTED_VALUE"""),10495849)</f>
        <v>10495849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IFERROR(__xludf.DUMMYFUNCTION("""COMPUTED_VALUE"""),74.12)</f>
        <v>74.12</v>
      </c>
      <c r="D125" s="141">
        <f ca="1">IFERROR(__xludf.DUMMYFUNCTION("""COMPUTED_VALUE"""),74.27)</f>
        <v>74.27</v>
      </c>
      <c r="E125" s="141">
        <f ca="1">IFERROR(__xludf.DUMMYFUNCTION("""COMPUTED_VALUE"""),74.06)</f>
        <v>74.06</v>
      </c>
      <c r="F125" s="141">
        <f ca="1">IFERROR(__xludf.DUMMYFUNCTION("""COMPUTED_VALUE"""),74.26)</f>
        <v>74.260000000000005</v>
      </c>
      <c r="G125" s="143">
        <f ca="1">IFERROR(__xludf.DUMMYFUNCTION("""COMPUTED_VALUE"""),6999456)</f>
        <v>6999456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IFERROR(__xludf.DUMMYFUNCTION("""COMPUTED_VALUE"""),74.18)</f>
        <v>74.180000000000007</v>
      </c>
      <c r="D126" s="141">
        <f ca="1">IFERROR(__xludf.DUMMYFUNCTION("""COMPUTED_VALUE"""),74.27)</f>
        <v>74.27</v>
      </c>
      <c r="E126" s="141">
        <f ca="1">IFERROR(__xludf.DUMMYFUNCTION("""COMPUTED_VALUE"""),74.17)</f>
        <v>74.17</v>
      </c>
      <c r="F126" s="141">
        <f ca="1">IFERROR(__xludf.DUMMYFUNCTION("""COMPUTED_VALUE"""),74.24)</f>
        <v>74.239999999999995</v>
      </c>
      <c r="G126" s="143">
        <f ca="1">IFERROR(__xludf.DUMMYFUNCTION("""COMPUTED_VALUE"""),10071296)</f>
        <v>10071296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IFERROR(__xludf.DUMMYFUNCTION("""COMPUTED_VALUE"""),74.15)</f>
        <v>74.150000000000006</v>
      </c>
      <c r="D127" s="141">
        <f ca="1">IFERROR(__xludf.DUMMYFUNCTION("""COMPUTED_VALUE"""),74.2)</f>
        <v>74.2</v>
      </c>
      <c r="E127" s="141">
        <f ca="1">IFERROR(__xludf.DUMMYFUNCTION("""COMPUTED_VALUE"""),74.08)</f>
        <v>74.08</v>
      </c>
      <c r="F127" s="141">
        <f ca="1">IFERROR(__xludf.DUMMYFUNCTION("""COMPUTED_VALUE"""),74.15)</f>
        <v>74.150000000000006</v>
      </c>
      <c r="G127" s="143">
        <f ca="1">IFERROR(__xludf.DUMMYFUNCTION("""COMPUTED_VALUE"""),6940506)</f>
        <v>6940506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IFERROR(__xludf.DUMMYFUNCTION("""COMPUTED_VALUE"""),74.07)</f>
        <v>74.069999999999993</v>
      </c>
      <c r="D128" s="141">
        <f ca="1">IFERROR(__xludf.DUMMYFUNCTION("""COMPUTED_VALUE"""),74.13)</f>
        <v>74.13</v>
      </c>
      <c r="E128" s="141">
        <f ca="1">IFERROR(__xludf.DUMMYFUNCTION("""COMPUTED_VALUE"""),74.02)</f>
        <v>74.02</v>
      </c>
      <c r="F128" s="141">
        <f ca="1">IFERROR(__xludf.DUMMYFUNCTION("""COMPUTED_VALUE"""),74.04)</f>
        <v>74.040000000000006</v>
      </c>
      <c r="G128" s="143">
        <f ca="1">IFERROR(__xludf.DUMMYFUNCTION("""COMPUTED_VALUE"""),7540430)</f>
        <v>7540430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IFERROR(__xludf.DUMMYFUNCTION("""COMPUTED_VALUE"""),74.03)</f>
        <v>74.03</v>
      </c>
      <c r="D129" s="141">
        <f ca="1">IFERROR(__xludf.DUMMYFUNCTION("""COMPUTED_VALUE"""),74.04)</f>
        <v>74.040000000000006</v>
      </c>
      <c r="E129" s="141">
        <f ca="1">IFERROR(__xludf.DUMMYFUNCTION("""COMPUTED_VALUE"""),73.97)</f>
        <v>73.97</v>
      </c>
      <c r="F129" s="141">
        <f ca="1">IFERROR(__xludf.DUMMYFUNCTION("""COMPUTED_VALUE"""),74.02)</f>
        <v>74.02</v>
      </c>
      <c r="G129" s="143">
        <f ca="1">IFERROR(__xludf.DUMMYFUNCTION("""COMPUTED_VALUE"""),9855296)</f>
        <v>9855296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IFERROR(__xludf.DUMMYFUNCTION("""COMPUTED_VALUE"""),73.86)</f>
        <v>73.86</v>
      </c>
      <c r="D130" s="141">
        <f ca="1">IFERROR(__xludf.DUMMYFUNCTION("""COMPUTED_VALUE"""),74.02)</f>
        <v>74.02</v>
      </c>
      <c r="E130" s="141">
        <f ca="1">IFERROR(__xludf.DUMMYFUNCTION("""COMPUTED_VALUE"""),73.85)</f>
        <v>73.849999999999994</v>
      </c>
      <c r="F130" s="141">
        <f ca="1">IFERROR(__xludf.DUMMYFUNCTION("""COMPUTED_VALUE"""),74.01)</f>
        <v>74.010000000000005</v>
      </c>
      <c r="G130" s="143">
        <f ca="1">IFERROR(__xludf.DUMMYFUNCTION("""COMPUTED_VALUE"""),10188700)</f>
        <v>10188700</v>
      </c>
      <c r="H130" s="26"/>
    </row>
    <row r="131" spans="1:8" ht="17.25" customHeight="1" x14ac:dyDescent="0.2">
      <c r="A131" s="26"/>
      <c r="B131" s="139">
        <f ca="1">IFERROR(__xludf.DUMMYFUNCTION("""COMPUTED_VALUE"""),46015.5451388888)</f>
        <v>46015.545138888803</v>
      </c>
      <c r="C131" s="141">
        <f ca="1">IFERROR(__xludf.DUMMYFUNCTION("""COMPUTED_VALUE"""),74.08)</f>
        <v>74.08</v>
      </c>
      <c r="D131" s="141">
        <f ca="1">IFERROR(__xludf.DUMMYFUNCTION("""COMPUTED_VALUE"""),74.19)</f>
        <v>74.19</v>
      </c>
      <c r="E131" s="141">
        <f ca="1">IFERROR(__xludf.DUMMYFUNCTION("""COMPUTED_VALUE"""),74.05)</f>
        <v>74.05</v>
      </c>
      <c r="F131" s="141">
        <f ca="1">IFERROR(__xludf.DUMMYFUNCTION("""COMPUTED_VALUE"""),74.19)</f>
        <v>74.19</v>
      </c>
      <c r="G131" s="143">
        <f ca="1">IFERROR(__xludf.DUMMYFUNCTION("""COMPUTED_VALUE"""),5341691)</f>
        <v>5341691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IFERROR(__xludf.DUMMYFUNCTION("""COMPUTED_VALUE"""),74.25)</f>
        <v>74.25</v>
      </c>
      <c r="D132" s="141">
        <f ca="1">IFERROR(__xludf.DUMMYFUNCTION("""COMPUTED_VALUE"""),74.28)</f>
        <v>74.28</v>
      </c>
      <c r="E132" s="141">
        <f ca="1">IFERROR(__xludf.DUMMYFUNCTION("""COMPUTED_VALUE"""),74.14)</f>
        <v>74.14</v>
      </c>
      <c r="F132" s="141">
        <f ca="1">IFERROR(__xludf.DUMMYFUNCTION("""COMPUTED_VALUE"""),74.19)</f>
        <v>74.19</v>
      </c>
      <c r="G132" s="143">
        <f ca="1">IFERROR(__xludf.DUMMYFUNCTION("""COMPUTED_VALUE"""),6730489)</f>
        <v>6730489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IFERROR(__xludf.DUMMYFUNCTION("""COMPUTED_VALUE"""),74.26)</f>
        <v>74.260000000000005</v>
      </c>
      <c r="D133" s="141">
        <f ca="1">IFERROR(__xludf.DUMMYFUNCTION("""COMPUTED_VALUE"""),74.3)</f>
        <v>74.3</v>
      </c>
      <c r="E133" s="141">
        <f ca="1">IFERROR(__xludf.DUMMYFUNCTION("""COMPUTED_VALUE"""),74.21)</f>
        <v>74.209999999999994</v>
      </c>
      <c r="F133" s="141">
        <f ca="1">IFERROR(__xludf.DUMMYFUNCTION("""COMPUTED_VALUE"""),74.3)</f>
        <v>74.3</v>
      </c>
      <c r="G133" s="143">
        <f ca="1">IFERROR(__xludf.DUMMYFUNCTION("""COMPUTED_VALUE"""),9105681)</f>
        <v>9105681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IFERROR(__xludf.DUMMYFUNCTION("""COMPUTED_VALUE"""),74.22)</f>
        <v>74.22</v>
      </c>
      <c r="D134" s="141">
        <f ca="1">IFERROR(__xludf.DUMMYFUNCTION("""COMPUTED_VALUE"""),74.29)</f>
        <v>74.290000000000006</v>
      </c>
      <c r="E134" s="141">
        <f ca="1">IFERROR(__xludf.DUMMYFUNCTION("""COMPUTED_VALUE"""),74.18)</f>
        <v>74.180000000000007</v>
      </c>
      <c r="F134" s="141">
        <f ca="1">IFERROR(__xludf.DUMMYFUNCTION("""COMPUTED_VALUE"""),74.27)</f>
        <v>74.27</v>
      </c>
      <c r="G134" s="143">
        <f ca="1">IFERROR(__xludf.DUMMYFUNCTION("""COMPUTED_VALUE"""),7743230)</f>
        <v>7743230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IFERROR(__xludf.DUMMYFUNCTION("""COMPUTED_VALUE"""),74.17)</f>
        <v>74.17</v>
      </c>
      <c r="D135" s="141">
        <f ca="1">IFERROR(__xludf.DUMMYFUNCTION("""COMPUTED_VALUE"""),74.25)</f>
        <v>74.25</v>
      </c>
      <c r="E135" s="141">
        <f ca="1">IFERROR(__xludf.DUMMYFUNCTION("""COMPUTED_VALUE"""),74.06)</f>
        <v>74.06</v>
      </c>
      <c r="F135" s="141">
        <f ca="1">IFERROR(__xludf.DUMMYFUNCTION("""COMPUTED_VALUE"""),74.07)</f>
        <v>74.069999999999993</v>
      </c>
      <c r="G135" s="143">
        <f ca="1">IFERROR(__xludf.DUMMYFUNCTION("""COMPUTED_VALUE"""),8846925)</f>
        <v>8846925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IFERROR(__xludf.DUMMYFUNCTION("""COMPUTED_VALUE"""),74.13)</f>
        <v>74.13</v>
      </c>
      <c r="D136" s="141">
        <f ca="1">IFERROR(__xludf.DUMMYFUNCTION("""COMPUTED_VALUE"""),74.16)</f>
        <v>74.16</v>
      </c>
      <c r="E136" s="141">
        <f ca="1">IFERROR(__xludf.DUMMYFUNCTION("""COMPUTED_VALUE"""),74.02)</f>
        <v>74.02</v>
      </c>
      <c r="F136" s="141">
        <f ca="1">IFERROR(__xludf.DUMMYFUNCTION("""COMPUTED_VALUE"""),74.04)</f>
        <v>74.040000000000006</v>
      </c>
      <c r="G136" s="143">
        <f ca="1">IFERROR(__xludf.DUMMYFUNCTION("""COMPUTED_VALUE"""),7453517)</f>
        <v>7453517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IFERROR(__xludf.DUMMYFUNCTION("""COMPUTED_VALUE"""),74.11)</f>
        <v>74.11</v>
      </c>
      <c r="D137" s="141">
        <f ca="1">IFERROR(__xludf.DUMMYFUNCTION("""COMPUTED_VALUE"""),74.21)</f>
        <v>74.209999999999994</v>
      </c>
      <c r="E137" s="141">
        <f ca="1">IFERROR(__xludf.DUMMYFUNCTION("""COMPUTED_VALUE"""),74.08)</f>
        <v>74.08</v>
      </c>
      <c r="F137" s="141">
        <f ca="1">IFERROR(__xludf.DUMMYFUNCTION("""COMPUTED_VALUE"""),74.18)</f>
        <v>74.180000000000007</v>
      </c>
      <c r="G137" s="143">
        <f ca="1">IFERROR(__xludf.DUMMYFUNCTION("""COMPUTED_VALUE"""),11059141)</f>
        <v>11059141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IFERROR(__xludf.DUMMYFUNCTION("""COMPUTED_VALUE"""),74.13)</f>
        <v>74.13</v>
      </c>
      <c r="D138" s="141">
        <f ca="1">IFERROR(__xludf.DUMMYFUNCTION("""COMPUTED_VALUE"""),74.19)</f>
        <v>74.19</v>
      </c>
      <c r="E138" s="141">
        <f ca="1">IFERROR(__xludf.DUMMYFUNCTION("""COMPUTED_VALUE"""),74.03)</f>
        <v>74.03</v>
      </c>
      <c r="F138" s="141">
        <f ca="1">IFERROR(__xludf.DUMMYFUNCTION("""COMPUTED_VALUE"""),74.18)</f>
        <v>74.180000000000007</v>
      </c>
      <c r="G138" s="143">
        <f ca="1">IFERROR(__xludf.DUMMYFUNCTION("""COMPUTED_VALUE"""),9078967)</f>
        <v>9078967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IFERROR(__xludf.DUMMYFUNCTION("""COMPUTED_VALUE"""),74.3)</f>
        <v>74.3</v>
      </c>
      <c r="D139" s="141">
        <f ca="1">IFERROR(__xludf.DUMMYFUNCTION("""COMPUTED_VALUE"""),74.32)</f>
        <v>74.319999999999993</v>
      </c>
      <c r="E139" s="141">
        <f ca="1">IFERROR(__xludf.DUMMYFUNCTION("""COMPUTED_VALUE"""),74.2)</f>
        <v>74.2</v>
      </c>
      <c r="F139" s="141">
        <f ca="1">IFERROR(__xludf.DUMMYFUNCTION("""COMPUTED_VALUE"""),74.26)</f>
        <v>74.260000000000005</v>
      </c>
      <c r="G139" s="143">
        <f ca="1">IFERROR(__xludf.DUMMYFUNCTION("""COMPUTED_VALUE"""),11576554)</f>
        <v>11576554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IFERROR(__xludf.DUMMYFUNCTION("""COMPUTED_VALUE"""),74.12)</f>
        <v>74.12</v>
      </c>
      <c r="D140" s="141">
        <f ca="1">IFERROR(__xludf.DUMMYFUNCTION("""COMPUTED_VALUE"""),74.18)</f>
        <v>74.180000000000007</v>
      </c>
      <c r="E140" s="141">
        <f ca="1">IFERROR(__xludf.DUMMYFUNCTION("""COMPUTED_VALUE"""),74.1)</f>
        <v>74.099999999999994</v>
      </c>
      <c r="F140" s="141">
        <f ca="1">IFERROR(__xludf.DUMMYFUNCTION("""COMPUTED_VALUE"""),74.13)</f>
        <v>74.13</v>
      </c>
      <c r="G140" s="143">
        <f ca="1">IFERROR(__xludf.DUMMYFUNCTION("""COMPUTED_VALUE"""),9906798)</f>
        <v>9906798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IFERROR(__xludf.DUMMYFUNCTION("""COMPUTED_VALUE"""),74.18)</f>
        <v>74.180000000000007</v>
      </c>
      <c r="D141" s="141">
        <f ca="1">IFERROR(__xludf.DUMMYFUNCTION("""COMPUTED_VALUE"""),74.36)</f>
        <v>74.36</v>
      </c>
      <c r="E141" s="141">
        <f ca="1">IFERROR(__xludf.DUMMYFUNCTION("""COMPUTED_VALUE"""),74.13)</f>
        <v>74.13</v>
      </c>
      <c r="F141" s="141">
        <f ca="1">IFERROR(__xludf.DUMMYFUNCTION("""COMPUTED_VALUE"""),74.29)</f>
        <v>74.290000000000006</v>
      </c>
      <c r="G141" s="143">
        <f ca="1">IFERROR(__xludf.DUMMYFUNCTION("""COMPUTED_VALUE"""),10536750)</f>
        <v>10536750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IFERROR(__xludf.DUMMYFUNCTION("""COMPUTED_VALUE"""),74.21)</f>
        <v>74.209999999999994</v>
      </c>
      <c r="D142" s="141">
        <f ca="1">IFERROR(__xludf.DUMMYFUNCTION("""COMPUTED_VALUE"""),74.3)</f>
        <v>74.3</v>
      </c>
      <c r="E142" s="141">
        <f ca="1">IFERROR(__xludf.DUMMYFUNCTION("""COMPUTED_VALUE"""),74.16)</f>
        <v>74.16</v>
      </c>
      <c r="F142" s="141">
        <f ca="1">IFERROR(__xludf.DUMMYFUNCTION("""COMPUTED_VALUE"""),74.22)</f>
        <v>74.22</v>
      </c>
      <c r="G142" s="143">
        <f ca="1">IFERROR(__xludf.DUMMYFUNCTION("""COMPUTED_VALUE"""),9851026)</f>
        <v>9851026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IFERROR(__xludf.DUMMYFUNCTION("""COMPUTED_VALUE"""),74.31)</f>
        <v>74.31</v>
      </c>
      <c r="D143" s="141">
        <f ca="1">IFERROR(__xludf.DUMMYFUNCTION("""COMPUTED_VALUE"""),74.32)</f>
        <v>74.319999999999993</v>
      </c>
      <c r="E143" s="141">
        <f ca="1">IFERROR(__xludf.DUMMYFUNCTION("""COMPUTED_VALUE"""),74.22)</f>
        <v>74.22</v>
      </c>
      <c r="F143" s="141">
        <f ca="1">IFERROR(__xludf.DUMMYFUNCTION("""COMPUTED_VALUE"""),74.28)</f>
        <v>74.28</v>
      </c>
      <c r="G143" s="143">
        <f ca="1">IFERROR(__xludf.DUMMYFUNCTION("""COMPUTED_VALUE"""),11835203)</f>
        <v>11835203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IFERROR(__xludf.DUMMYFUNCTION("""COMPUTED_VALUE"""),74.32)</f>
        <v>74.319999999999993</v>
      </c>
      <c r="D144" s="141">
        <f ca="1">IFERROR(__xludf.DUMMYFUNCTION("""COMPUTED_VALUE"""),74.46)</f>
        <v>74.459999999999994</v>
      </c>
      <c r="E144" s="141">
        <f ca="1">IFERROR(__xludf.DUMMYFUNCTION("""COMPUTED_VALUE"""),74.32)</f>
        <v>74.319999999999993</v>
      </c>
      <c r="F144" s="141">
        <f ca="1">IFERROR(__xludf.DUMMYFUNCTION("""COMPUTED_VALUE"""),74.43)</f>
        <v>74.430000000000007</v>
      </c>
      <c r="G144" s="143">
        <f ca="1">IFERROR(__xludf.DUMMYFUNCTION("""COMPUTED_VALUE"""),8765864)</f>
        <v>8765864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IFERROR(__xludf.DUMMYFUNCTION("""COMPUTED_VALUE"""),74.45)</f>
        <v>74.45</v>
      </c>
      <c r="D145" s="141">
        <f ca="1">IFERROR(__xludf.DUMMYFUNCTION("""COMPUTED_VALUE"""),74.47)</f>
        <v>74.47</v>
      </c>
      <c r="E145" s="141">
        <f ca="1">IFERROR(__xludf.DUMMYFUNCTION("""COMPUTED_VALUE"""),74.32)</f>
        <v>74.319999999999993</v>
      </c>
      <c r="F145" s="141">
        <f ca="1">IFERROR(__xludf.DUMMYFUNCTION("""COMPUTED_VALUE"""),74.32)</f>
        <v>74.319999999999993</v>
      </c>
      <c r="G145" s="143">
        <f ca="1">IFERROR(__xludf.DUMMYFUNCTION("""COMPUTED_VALUE"""),9959630)</f>
        <v>9959630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IFERROR(__xludf.DUMMYFUNCTION("""COMPUTED_VALUE"""),74.32)</f>
        <v>74.319999999999993</v>
      </c>
      <c r="D146" s="141">
        <f ca="1">IFERROR(__xludf.DUMMYFUNCTION("""COMPUTED_VALUE"""),74.33)</f>
        <v>74.33</v>
      </c>
      <c r="E146" s="141">
        <f ca="1">IFERROR(__xludf.DUMMYFUNCTION("""COMPUTED_VALUE"""),74.18)</f>
        <v>74.180000000000007</v>
      </c>
      <c r="F146" s="141">
        <f ca="1">IFERROR(__xludf.DUMMYFUNCTION("""COMPUTED_VALUE"""),74.2)</f>
        <v>74.2</v>
      </c>
      <c r="G146" s="143">
        <f ca="1">IFERROR(__xludf.DUMMYFUNCTION("""COMPUTED_VALUE"""),16105148)</f>
        <v>16105148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IFERROR(__xludf.DUMMYFUNCTION("""COMPUTED_VALUE"""),73.91)</f>
        <v>73.91</v>
      </c>
      <c r="D147" s="141">
        <f ca="1">IFERROR(__xludf.DUMMYFUNCTION("""COMPUTED_VALUE"""),74.03)</f>
        <v>74.03</v>
      </c>
      <c r="E147" s="141">
        <f ca="1">IFERROR(__xludf.DUMMYFUNCTION("""COMPUTED_VALUE"""),73.9)</f>
        <v>73.900000000000006</v>
      </c>
      <c r="F147" s="141">
        <f ca="1">IFERROR(__xludf.DUMMYFUNCTION("""COMPUTED_VALUE"""),73.93)</f>
        <v>73.930000000000007</v>
      </c>
      <c r="G147" s="143">
        <f ca="1">IFERROR(__xludf.DUMMYFUNCTION("""COMPUTED_VALUE"""),12982677)</f>
        <v>12982677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IFERROR(__xludf.DUMMYFUNCTION("""COMPUTED_VALUE"""),74.01)</f>
        <v>74.010000000000005</v>
      </c>
      <c r="D148" s="141">
        <f ca="1">IFERROR(__xludf.DUMMYFUNCTION("""COMPUTED_VALUE"""),74.16)</f>
        <v>74.16</v>
      </c>
      <c r="E148" s="141">
        <f ca="1">IFERROR(__xludf.DUMMYFUNCTION("""COMPUTED_VALUE"""),73.95)</f>
        <v>73.95</v>
      </c>
      <c r="F148" s="141">
        <f ca="1">IFERROR(__xludf.DUMMYFUNCTION("""COMPUTED_VALUE"""),74.14)</f>
        <v>74.14</v>
      </c>
      <c r="G148" s="143">
        <f ca="1">IFERROR(__xludf.DUMMYFUNCTION("""COMPUTED_VALUE"""),11453175)</f>
        <v>11453175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IFERROR(__xludf.DUMMYFUNCTION("""COMPUTED_VALUE"""),74.09)</f>
        <v>74.09</v>
      </c>
      <c r="D149" s="141">
        <f ca="1">IFERROR(__xludf.DUMMYFUNCTION("""COMPUTED_VALUE"""),74.21)</f>
        <v>74.209999999999994</v>
      </c>
      <c r="E149" s="141">
        <f ca="1">IFERROR(__xludf.DUMMYFUNCTION("""COMPUTED_VALUE"""),74.05)</f>
        <v>74.05</v>
      </c>
      <c r="F149" s="141">
        <f ca="1">IFERROR(__xludf.DUMMYFUNCTION("""COMPUTED_VALUE"""),74.17)</f>
        <v>74.17</v>
      </c>
      <c r="G149" s="143">
        <f ca="1">IFERROR(__xludf.DUMMYFUNCTION("""COMPUTED_VALUE"""),13512416)</f>
        <v>13512416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IFERROR(__xludf.DUMMYFUNCTION("""COMPUTED_VALUE"""),74.2)</f>
        <v>74.2</v>
      </c>
      <c r="D150" s="141">
        <f ca="1">IFERROR(__xludf.DUMMYFUNCTION("""COMPUTED_VALUE"""),74.26)</f>
        <v>74.260000000000005</v>
      </c>
      <c r="E150" s="141">
        <f ca="1">IFERROR(__xludf.DUMMYFUNCTION("""COMPUTED_VALUE"""),74.12)</f>
        <v>74.12</v>
      </c>
      <c r="F150" s="141">
        <f ca="1">IFERROR(__xludf.DUMMYFUNCTION("""COMPUTED_VALUE"""),74.25)</f>
        <v>74.25</v>
      </c>
      <c r="G150" s="143">
        <f ca="1">IFERROR(__xludf.DUMMYFUNCTION("""COMPUTED_VALUE"""),8079852)</f>
        <v>8079852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IFERROR(__xludf.DUMMYFUNCTION("""COMPUTED_VALUE"""),74.34)</f>
        <v>74.34</v>
      </c>
      <c r="D151" s="141">
        <f ca="1">IFERROR(__xludf.DUMMYFUNCTION("""COMPUTED_VALUE"""),74.38)</f>
        <v>74.38</v>
      </c>
      <c r="E151" s="141">
        <f ca="1">IFERROR(__xludf.DUMMYFUNCTION("""COMPUTED_VALUE"""),74.31)</f>
        <v>74.31</v>
      </c>
      <c r="F151" s="141">
        <f ca="1">IFERROR(__xludf.DUMMYFUNCTION("""COMPUTED_VALUE"""),74.34)</f>
        <v>74.34</v>
      </c>
      <c r="G151" s="143">
        <f ca="1">IFERROR(__xludf.DUMMYFUNCTION("""COMPUTED_VALUE"""),7137288)</f>
        <v>7137288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IFERROR(__xludf.DUMMYFUNCTION("""COMPUTED_VALUE"""),74.31)</f>
        <v>74.31</v>
      </c>
      <c r="D152" s="141">
        <f ca="1">IFERROR(__xludf.DUMMYFUNCTION("""COMPUTED_VALUE"""),74.38)</f>
        <v>74.38</v>
      </c>
      <c r="E152" s="141">
        <f ca="1">IFERROR(__xludf.DUMMYFUNCTION("""COMPUTED_VALUE"""),74.25)</f>
        <v>74.25</v>
      </c>
      <c r="F152" s="141">
        <f ca="1">IFERROR(__xludf.DUMMYFUNCTION("""COMPUTED_VALUE"""),74.28)</f>
        <v>74.28</v>
      </c>
      <c r="G152" s="143">
        <f ca="1">IFERROR(__xludf.DUMMYFUNCTION("""COMPUTED_VALUE"""),9827943)</f>
        <v>9827943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IFERROR(__xludf.DUMMYFUNCTION("""COMPUTED_VALUE"""),74.24)</f>
        <v>74.239999999999995</v>
      </c>
      <c r="D153" s="141">
        <f ca="1">IFERROR(__xludf.DUMMYFUNCTION("""COMPUTED_VALUE"""),74.26)</f>
        <v>74.260000000000005</v>
      </c>
      <c r="E153" s="141">
        <f ca="1">IFERROR(__xludf.DUMMYFUNCTION("""COMPUTED_VALUE"""),74.15)</f>
        <v>74.150000000000006</v>
      </c>
      <c r="F153" s="141">
        <f ca="1">IFERROR(__xludf.DUMMYFUNCTION("""COMPUTED_VALUE"""),74.25)</f>
        <v>74.25</v>
      </c>
      <c r="G153" s="143">
        <f ca="1">IFERROR(__xludf.DUMMYFUNCTION("""COMPUTED_VALUE"""),9328279)</f>
        <v>9328279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IFERROR(__xludf.DUMMYFUNCTION("""COMPUTED_VALUE"""),74.15)</f>
        <v>74.150000000000006</v>
      </c>
      <c r="D154" s="141">
        <f ca="1">IFERROR(__xludf.DUMMYFUNCTION("""COMPUTED_VALUE"""),74.32)</f>
        <v>74.319999999999993</v>
      </c>
      <c r="E154" s="141">
        <f ca="1">IFERROR(__xludf.DUMMYFUNCTION("""COMPUTED_VALUE"""),74.14)</f>
        <v>74.14</v>
      </c>
      <c r="F154" s="141">
        <f ca="1">IFERROR(__xludf.DUMMYFUNCTION("""COMPUTED_VALUE"""),74.26)</f>
        <v>74.260000000000005</v>
      </c>
      <c r="G154" s="143">
        <f ca="1">IFERROR(__xludf.DUMMYFUNCTION("""COMPUTED_VALUE"""),16397326)</f>
        <v>16397326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IFERROR(__xludf.DUMMYFUNCTION("""COMPUTED_VALUE"""),74.25)</f>
        <v>74.25</v>
      </c>
      <c r="D155" s="141">
        <f ca="1">IFERROR(__xludf.DUMMYFUNCTION("""COMPUTED_VALUE"""),74.3)</f>
        <v>74.3</v>
      </c>
      <c r="E155" s="141">
        <f ca="1">IFERROR(__xludf.DUMMYFUNCTION("""COMPUTED_VALUE"""),74.17)</f>
        <v>74.17</v>
      </c>
      <c r="F155" s="141">
        <f ca="1">IFERROR(__xludf.DUMMYFUNCTION("""COMPUTED_VALUE"""),74.23)</f>
        <v>74.23</v>
      </c>
      <c r="G155" s="143">
        <f ca="1">IFERROR(__xludf.DUMMYFUNCTION("""COMPUTED_VALUE"""),8977461)</f>
        <v>8977461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IFERROR(__xludf.DUMMYFUNCTION("""COMPUTED_VALUE"""),74.03)</f>
        <v>74.03</v>
      </c>
      <c r="D156" s="141">
        <f ca="1">IFERROR(__xludf.DUMMYFUNCTION("""COMPUTED_VALUE"""),74.04)</f>
        <v>74.040000000000006</v>
      </c>
      <c r="E156" s="141">
        <f ca="1">IFERROR(__xludf.DUMMYFUNCTION("""COMPUTED_VALUE"""),73.89)</f>
        <v>73.89</v>
      </c>
      <c r="F156" s="141">
        <f ca="1">IFERROR(__xludf.DUMMYFUNCTION("""COMPUTED_VALUE"""),73.91)</f>
        <v>73.91</v>
      </c>
      <c r="G156" s="143">
        <f ca="1">IFERROR(__xludf.DUMMYFUNCTION("""COMPUTED_VALUE"""),8636352)</f>
        <v>8636352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IFERROR(__xludf.DUMMYFUNCTION("""COMPUTED_VALUE"""),73.86)</f>
        <v>73.86</v>
      </c>
      <c r="D157" s="141">
        <f ca="1">IFERROR(__xludf.DUMMYFUNCTION("""COMPUTED_VALUE"""),73.94)</f>
        <v>73.94</v>
      </c>
      <c r="E157" s="141">
        <f ca="1">IFERROR(__xludf.DUMMYFUNCTION("""COMPUTED_VALUE"""),73.84)</f>
        <v>73.84</v>
      </c>
      <c r="F157" s="141">
        <f ca="1">IFERROR(__xludf.DUMMYFUNCTION("""COMPUTED_VALUE"""),73.93)</f>
        <v>73.930000000000007</v>
      </c>
      <c r="G157" s="143">
        <f ca="1">IFERROR(__xludf.DUMMYFUNCTION("""COMPUTED_VALUE"""),11287100)</f>
        <v>11287100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IFERROR(__xludf.DUMMYFUNCTION("""COMPUTED_VALUE"""),73.89)</f>
        <v>73.89</v>
      </c>
      <c r="D158" s="141">
        <f ca="1">IFERROR(__xludf.DUMMYFUNCTION("""COMPUTED_VALUE"""),73.96)</f>
        <v>73.959999999999994</v>
      </c>
      <c r="E158" s="141">
        <f ca="1">IFERROR(__xludf.DUMMYFUNCTION("""COMPUTED_VALUE"""),73.85)</f>
        <v>73.849999999999994</v>
      </c>
      <c r="F158" s="141">
        <f ca="1">IFERROR(__xludf.DUMMYFUNCTION("""COMPUTED_VALUE"""),73.9)</f>
        <v>73.900000000000006</v>
      </c>
      <c r="G158" s="143">
        <f ca="1">IFERROR(__xludf.DUMMYFUNCTION("""COMPUTED_VALUE"""),11709972)</f>
        <v>11709972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IFERROR(__xludf.DUMMYFUNCTION("""COMPUTED_VALUE"""),74.06)</f>
        <v>74.06</v>
      </c>
      <c r="D159" s="141">
        <f ca="1">IFERROR(__xludf.DUMMYFUNCTION("""COMPUTED_VALUE"""),74.24)</f>
        <v>74.239999999999995</v>
      </c>
      <c r="E159" s="141">
        <f ca="1">IFERROR(__xludf.DUMMYFUNCTION("""COMPUTED_VALUE"""),74.01)</f>
        <v>74.010000000000005</v>
      </c>
      <c r="F159" s="141">
        <f ca="1">IFERROR(__xludf.DUMMYFUNCTION("""COMPUTED_VALUE"""),74.22)</f>
        <v>74.22</v>
      </c>
      <c r="G159" s="143">
        <f ca="1">IFERROR(__xludf.DUMMYFUNCTION("""COMPUTED_VALUE"""),12216651)</f>
        <v>12216651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IFERROR(__xludf.DUMMYFUNCTION("""COMPUTED_VALUE"""),74.23)</f>
        <v>74.23</v>
      </c>
      <c r="D160" s="141">
        <f ca="1">IFERROR(__xludf.DUMMYFUNCTION("""COMPUTED_VALUE"""),74.25)</f>
        <v>74.25</v>
      </c>
      <c r="E160" s="141">
        <f ca="1">IFERROR(__xludf.DUMMYFUNCTION("""COMPUTED_VALUE"""),74.13)</f>
        <v>74.13</v>
      </c>
      <c r="F160" s="141">
        <f ca="1">IFERROR(__xludf.DUMMYFUNCTION("""COMPUTED_VALUE"""),74.23)</f>
        <v>74.23</v>
      </c>
      <c r="G160" s="143">
        <f ca="1">IFERROR(__xludf.DUMMYFUNCTION("""COMPUTED_VALUE"""),8257231)</f>
        <v>8257231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IFERROR(__xludf.DUMMYFUNCTION("""COMPUTED_VALUE"""),74.17)</f>
        <v>74.17</v>
      </c>
      <c r="D161" s="141">
        <f ca="1">IFERROR(__xludf.DUMMYFUNCTION("""COMPUTED_VALUE"""),74.27)</f>
        <v>74.27</v>
      </c>
      <c r="E161" s="141">
        <f ca="1">IFERROR(__xludf.DUMMYFUNCTION("""COMPUTED_VALUE"""),74.14)</f>
        <v>74.14</v>
      </c>
      <c r="F161" s="141">
        <f ca="1">IFERROR(__xludf.DUMMYFUNCTION("""COMPUTED_VALUE"""),74.25)</f>
        <v>74.25</v>
      </c>
      <c r="G161" s="143">
        <f ca="1">IFERROR(__xludf.DUMMYFUNCTION("""COMPUTED_VALUE"""),9429759)</f>
        <v>9429759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IFERROR(__xludf.DUMMYFUNCTION("""COMPUTED_VALUE"""),74.45)</f>
        <v>74.45</v>
      </c>
      <c r="D162" s="141">
        <f ca="1">IFERROR(__xludf.DUMMYFUNCTION("""COMPUTED_VALUE"""),74.52)</f>
        <v>74.52</v>
      </c>
      <c r="E162" s="141">
        <f ca="1">IFERROR(__xludf.DUMMYFUNCTION("""COMPUTED_VALUE"""),74.43)</f>
        <v>74.430000000000007</v>
      </c>
      <c r="F162" s="141">
        <f ca="1">IFERROR(__xludf.DUMMYFUNCTION("""COMPUTED_VALUE"""),74.47)</f>
        <v>74.47</v>
      </c>
      <c r="G162" s="143">
        <f ca="1">IFERROR(__xludf.DUMMYFUNCTION("""COMPUTED_VALUE"""),8288737)</f>
        <v>8288737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IFERROR(__xludf.DUMMYFUNCTION("""COMPUTED_VALUE"""),74.31)</f>
        <v>74.31</v>
      </c>
      <c r="D163" s="141">
        <f ca="1">IFERROR(__xludf.DUMMYFUNCTION("""COMPUTED_VALUE"""),74.48)</f>
        <v>74.48</v>
      </c>
      <c r="E163" s="141">
        <f ca="1">IFERROR(__xludf.DUMMYFUNCTION("""COMPUTED_VALUE"""),74.29)</f>
        <v>74.290000000000006</v>
      </c>
      <c r="F163" s="141">
        <f ca="1">IFERROR(__xludf.DUMMYFUNCTION("""COMPUTED_VALUE"""),74.32)</f>
        <v>74.319999999999993</v>
      </c>
      <c r="G163" s="143">
        <f ca="1">IFERROR(__xludf.DUMMYFUNCTION("""COMPUTED_VALUE"""),7968828)</f>
        <v>7968828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IFERROR(__xludf.DUMMYFUNCTION("""COMPUTED_VALUE"""),74.46)</f>
        <v>74.459999999999994</v>
      </c>
      <c r="D164" s="141">
        <f ca="1">IFERROR(__xludf.DUMMYFUNCTION("""COMPUTED_VALUE"""),74.68)</f>
        <v>74.680000000000007</v>
      </c>
      <c r="E164" s="141">
        <f ca="1">IFERROR(__xludf.DUMMYFUNCTION("""COMPUTED_VALUE"""),74.43)</f>
        <v>74.430000000000007</v>
      </c>
      <c r="F164" s="141">
        <f ca="1">IFERROR(__xludf.DUMMYFUNCTION("""COMPUTED_VALUE"""),74.66)</f>
        <v>74.66</v>
      </c>
      <c r="G164" s="143">
        <f ca="1">IFERROR(__xludf.DUMMYFUNCTION("""COMPUTED_VALUE"""),9884338)</f>
        <v>9884338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IFERROR(__xludf.DUMMYFUNCTION("""COMPUTED_VALUE"""),74.84)</f>
        <v>74.84</v>
      </c>
      <c r="D165" s="141">
        <f ca="1">IFERROR(__xludf.DUMMYFUNCTION("""COMPUTED_VALUE"""),74.9)</f>
        <v>74.900000000000006</v>
      </c>
      <c r="E165" s="141">
        <f ca="1">IFERROR(__xludf.DUMMYFUNCTION("""COMPUTED_VALUE"""),74.81)</f>
        <v>74.81</v>
      </c>
      <c r="F165" s="141">
        <f ca="1">IFERROR(__xludf.DUMMYFUNCTION("""COMPUTED_VALUE"""),74.88)</f>
        <v>74.88</v>
      </c>
      <c r="G165" s="143">
        <f ca="1">IFERROR(__xludf.DUMMYFUNCTION("""COMPUTED_VALUE"""),8307935)</f>
        <v>8307935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IFERROR(__xludf.DUMMYFUNCTION("""COMPUTED_VALUE"""),74.89)</f>
        <v>74.89</v>
      </c>
      <c r="D166" s="141">
        <f ca="1">IFERROR(__xludf.DUMMYFUNCTION("""COMPUTED_VALUE"""),74.91)</f>
        <v>74.91</v>
      </c>
      <c r="E166" s="141">
        <f ca="1">IFERROR(__xludf.DUMMYFUNCTION("""COMPUTED_VALUE"""),74.83)</f>
        <v>74.83</v>
      </c>
      <c r="F166" s="141">
        <f ca="1">IFERROR(__xludf.DUMMYFUNCTION("""COMPUTED_VALUE"""),74.87)</f>
        <v>74.87</v>
      </c>
      <c r="G166" s="143">
        <f ca="1">IFERROR(__xludf.DUMMYFUNCTION("""COMPUTED_VALUE"""),9689024)</f>
        <v>9689024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IFERROR(__xludf.DUMMYFUNCTION("""COMPUTED_VALUE"""),74.79)</f>
        <v>74.790000000000006</v>
      </c>
      <c r="D167" s="141">
        <f ca="1">IFERROR(__xludf.DUMMYFUNCTION("""COMPUTED_VALUE"""),74.86)</f>
        <v>74.86</v>
      </c>
      <c r="E167" s="141">
        <f ca="1">IFERROR(__xludf.DUMMYFUNCTION("""COMPUTED_VALUE"""),74.77)</f>
        <v>74.77</v>
      </c>
      <c r="F167" s="141">
        <f ca="1">IFERROR(__xludf.DUMMYFUNCTION("""COMPUTED_VALUE"""),74.79)</f>
        <v>74.790000000000006</v>
      </c>
      <c r="G167" s="143">
        <f ca="1">IFERROR(__xludf.DUMMYFUNCTION("""COMPUTED_VALUE"""),6972463)</f>
        <v>6972463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IFERROR(__xludf.DUMMYFUNCTION("""COMPUTED_VALUE"""),74.72)</f>
        <v>74.72</v>
      </c>
      <c r="D168" s="141">
        <f ca="1">IFERROR(__xludf.DUMMYFUNCTION("""COMPUTED_VALUE"""),74.85)</f>
        <v>74.849999999999994</v>
      </c>
      <c r="E168" s="141">
        <f ca="1">IFERROR(__xludf.DUMMYFUNCTION("""COMPUTED_VALUE"""),74.72)</f>
        <v>74.72</v>
      </c>
      <c r="F168" s="141">
        <f ca="1">IFERROR(__xludf.DUMMYFUNCTION("""COMPUTED_VALUE"""),74.82)</f>
        <v>74.819999999999993</v>
      </c>
      <c r="G168" s="143">
        <f ca="1">IFERROR(__xludf.DUMMYFUNCTION("""COMPUTED_VALUE"""),8147869)</f>
        <v>8147869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IFERROR(__xludf.DUMMYFUNCTION("""COMPUTED_VALUE"""),74.83)</f>
        <v>74.83</v>
      </c>
      <c r="D169" s="141">
        <f ca="1">IFERROR(__xludf.DUMMYFUNCTION("""COMPUTED_VALUE"""),74.84)</f>
        <v>74.84</v>
      </c>
      <c r="E169" s="141">
        <f ca="1">IFERROR(__xludf.DUMMYFUNCTION("""COMPUTED_VALUE"""),74.69)</f>
        <v>74.69</v>
      </c>
      <c r="F169" s="141">
        <f ca="1">IFERROR(__xludf.DUMMYFUNCTION("""COMPUTED_VALUE"""),74.81)</f>
        <v>74.81</v>
      </c>
      <c r="G169" s="143">
        <f ca="1">IFERROR(__xludf.DUMMYFUNCTION("""COMPUTED_VALUE"""),9131324)</f>
        <v>9131324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IFERROR(__xludf.DUMMYFUNCTION("""COMPUTED_VALUE"""),74.84)</f>
        <v>74.84</v>
      </c>
      <c r="D170" s="141">
        <f ca="1">IFERROR(__xludf.DUMMYFUNCTION("""COMPUTED_VALUE"""),75.02)</f>
        <v>75.02</v>
      </c>
      <c r="E170" s="141">
        <f ca="1">IFERROR(__xludf.DUMMYFUNCTION("""COMPUTED_VALUE"""),74.84)</f>
        <v>74.84</v>
      </c>
      <c r="F170" s="141">
        <f ca="1">IFERROR(__xludf.DUMMYFUNCTION("""COMPUTED_VALUE"""),74.97)</f>
        <v>74.97</v>
      </c>
      <c r="G170" s="143">
        <f ca="1">IFERROR(__xludf.DUMMYFUNCTION("""COMPUTED_VALUE"""),6282861)</f>
        <v>6282861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IFERROR(__xludf.DUMMYFUNCTION("""COMPUTED_VALUE"""),74.95)</f>
        <v>74.95</v>
      </c>
      <c r="D171" s="141">
        <f ca="1">IFERROR(__xludf.DUMMYFUNCTION("""COMPUTED_VALUE"""),74.97)</f>
        <v>74.97</v>
      </c>
      <c r="E171" s="141">
        <f ca="1">IFERROR(__xludf.DUMMYFUNCTION("""COMPUTED_VALUE"""),74.89)</f>
        <v>74.89</v>
      </c>
      <c r="F171" s="141">
        <f ca="1">IFERROR(__xludf.DUMMYFUNCTION("""COMPUTED_VALUE"""),74.93)</f>
        <v>74.930000000000007</v>
      </c>
      <c r="G171" s="143">
        <f ca="1">IFERROR(__xludf.DUMMYFUNCTION("""COMPUTED_VALUE"""),9848838)</f>
        <v>9848838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IFERROR(__xludf.DUMMYFUNCTION("""COMPUTED_VALUE"""),74.88)</f>
        <v>74.88</v>
      </c>
      <c r="D172" s="141">
        <f ca="1">IFERROR(__xludf.DUMMYFUNCTION("""COMPUTED_VALUE"""),74.97)</f>
        <v>74.97</v>
      </c>
      <c r="E172" s="141">
        <f ca="1">IFERROR(__xludf.DUMMYFUNCTION("""COMPUTED_VALUE"""),74.87)</f>
        <v>74.87</v>
      </c>
      <c r="F172" s="141">
        <f ca="1">IFERROR(__xludf.DUMMYFUNCTION("""COMPUTED_VALUE"""),74.91)</f>
        <v>74.91</v>
      </c>
      <c r="G172" s="143">
        <f ca="1">IFERROR(__xludf.DUMMYFUNCTION("""COMPUTED_VALUE"""),6998886)</f>
        <v>6998886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IFERROR(__xludf.DUMMYFUNCTION("""COMPUTED_VALUE"""),74.93)</f>
        <v>74.930000000000007</v>
      </c>
      <c r="D173" s="141">
        <f ca="1">IFERROR(__xludf.DUMMYFUNCTION("""COMPUTED_VALUE"""),75.03)</f>
        <v>75.03</v>
      </c>
      <c r="E173" s="141">
        <f ca="1">IFERROR(__xludf.DUMMYFUNCTION("""COMPUTED_VALUE"""),74.93)</f>
        <v>74.930000000000007</v>
      </c>
      <c r="F173" s="141">
        <f ca="1">IFERROR(__xludf.DUMMYFUNCTION("""COMPUTED_VALUE"""),75.02)</f>
        <v>75.02</v>
      </c>
      <c r="G173" s="143">
        <f ca="1">IFERROR(__xludf.DUMMYFUNCTION("""COMPUTED_VALUE"""),14870824)</f>
        <v>14870824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IFERROR(__xludf.DUMMYFUNCTION("""COMPUTED_VALUE"""),75.15)</f>
        <v>75.150000000000006</v>
      </c>
      <c r="D174" s="141">
        <f ca="1">IFERROR(__xludf.DUMMYFUNCTION("""COMPUTED_VALUE"""),75.23)</f>
        <v>75.23</v>
      </c>
      <c r="E174" s="141">
        <f ca="1">IFERROR(__xludf.DUMMYFUNCTION("""COMPUTED_VALUE"""),75.13)</f>
        <v>75.13</v>
      </c>
      <c r="F174" s="141">
        <f ca="1">IFERROR(__xludf.DUMMYFUNCTION("""COMPUTED_VALUE"""),75.17)</f>
        <v>75.17</v>
      </c>
      <c r="G174" s="143">
        <f ca="1">IFERROR(__xludf.DUMMYFUNCTION("""COMPUTED_VALUE"""),8494995)</f>
        <v>8494995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IFERROR(__xludf.DUMMYFUNCTION("""COMPUTED_VALUE"""),74.72)</f>
        <v>74.72</v>
      </c>
      <c r="D175" s="141">
        <f ca="1">IFERROR(__xludf.DUMMYFUNCTION("""COMPUTED_VALUE"""),74.74)</f>
        <v>74.739999999999995</v>
      </c>
      <c r="E175" s="141">
        <f ca="1">IFERROR(__xludf.DUMMYFUNCTION("""COMPUTED_VALUE"""),74.55)</f>
        <v>74.55</v>
      </c>
      <c r="F175" s="141">
        <f ca="1">IFERROR(__xludf.DUMMYFUNCTION("""COMPUTED_VALUE"""),74.64)</f>
        <v>74.64</v>
      </c>
      <c r="G175" s="143">
        <f ca="1">IFERROR(__xludf.DUMMYFUNCTION("""COMPUTED_VALUE"""),7881030)</f>
        <v>7881030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IFERROR(__xludf.DUMMYFUNCTION("""COMPUTED_VALUE"""),74.33)</f>
        <v>74.33</v>
      </c>
      <c r="D176" s="141">
        <f ca="1">IFERROR(__xludf.DUMMYFUNCTION("""COMPUTED_VALUE"""),74.66)</f>
        <v>74.66</v>
      </c>
      <c r="E176" s="141">
        <f ca="1">IFERROR(__xludf.DUMMYFUNCTION("""COMPUTED_VALUE"""),74.31)</f>
        <v>74.31</v>
      </c>
      <c r="F176" s="141">
        <f ca="1">IFERROR(__xludf.DUMMYFUNCTION("""COMPUTED_VALUE"""),74.56)</f>
        <v>74.56</v>
      </c>
      <c r="G176" s="143">
        <f ca="1">IFERROR(__xludf.DUMMYFUNCTION("""COMPUTED_VALUE"""),8934162)</f>
        <v>8934162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IFERROR(__xludf.DUMMYFUNCTION("""COMPUTED_VALUE"""),74.57)</f>
        <v>74.569999999999993</v>
      </c>
      <c r="D177" s="141">
        <f ca="1">IFERROR(__xludf.DUMMYFUNCTION("""COMPUTED_VALUE"""),74.6)</f>
        <v>74.599999999999994</v>
      </c>
      <c r="E177" s="141">
        <f ca="1">IFERROR(__xludf.DUMMYFUNCTION("""COMPUTED_VALUE"""),74.5)</f>
        <v>74.5</v>
      </c>
      <c r="F177" s="141">
        <f ca="1">IFERROR(__xludf.DUMMYFUNCTION("""COMPUTED_VALUE"""),74.51)</f>
        <v>74.510000000000005</v>
      </c>
      <c r="G177" s="143">
        <f ca="1">IFERROR(__xludf.DUMMYFUNCTION("""COMPUTED_VALUE"""),11300622)</f>
        <v>11300622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IFERROR(__xludf.DUMMYFUNCTION("""COMPUTED_VALUE"""),74.28)</f>
        <v>74.28</v>
      </c>
      <c r="D178" s="141">
        <f ca="1">IFERROR(__xludf.DUMMYFUNCTION("""COMPUTED_VALUE"""),74.37)</f>
        <v>74.37</v>
      </c>
      <c r="E178" s="141">
        <f ca="1">IFERROR(__xludf.DUMMYFUNCTION("""COMPUTED_VALUE"""),74.24)</f>
        <v>74.239999999999995</v>
      </c>
      <c r="F178" s="141">
        <f ca="1">IFERROR(__xludf.DUMMYFUNCTION("""COMPUTED_VALUE"""),74.34)</f>
        <v>74.34</v>
      </c>
      <c r="G178" s="143">
        <f ca="1">IFERROR(__xludf.DUMMYFUNCTION("""COMPUTED_VALUE"""),10009663)</f>
        <v>10009663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IFERROR(__xludf.DUMMYFUNCTION("""COMPUTED_VALUE"""),74.12)</f>
        <v>74.12</v>
      </c>
      <c r="D179" s="141">
        <f ca="1">IFERROR(__xludf.DUMMYFUNCTION("""COMPUTED_VALUE"""),74.42)</f>
        <v>74.42</v>
      </c>
      <c r="E179" s="141">
        <f ca="1">IFERROR(__xludf.DUMMYFUNCTION("""COMPUTED_VALUE"""),74.07)</f>
        <v>74.069999999999993</v>
      </c>
      <c r="F179" s="141">
        <f ca="1">IFERROR(__xludf.DUMMYFUNCTION("""COMPUTED_VALUE"""),74.24)</f>
        <v>74.239999999999995</v>
      </c>
      <c r="G179" s="143">
        <f ca="1">IFERROR(__xludf.DUMMYFUNCTION("""COMPUTED_VALUE"""),10876348)</f>
        <v>10876348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IFERROR(__xludf.DUMMYFUNCTION("""COMPUTED_VALUE"""),74.15)</f>
        <v>74.150000000000006</v>
      </c>
      <c r="D180" s="141">
        <f ca="1">IFERROR(__xludf.DUMMYFUNCTION("""COMPUTED_VALUE"""),74.5)</f>
        <v>74.5</v>
      </c>
      <c r="E180" s="141">
        <f ca="1">IFERROR(__xludf.DUMMYFUNCTION("""COMPUTED_VALUE"""),74.11)</f>
        <v>74.11</v>
      </c>
      <c r="F180" s="141">
        <f ca="1">IFERROR(__xludf.DUMMYFUNCTION("""COMPUTED_VALUE"""),74.45)</f>
        <v>74.45</v>
      </c>
      <c r="G180" s="143">
        <f ca="1">IFERROR(__xludf.DUMMYFUNCTION("""COMPUTED_VALUE"""),8198482)</f>
        <v>8198482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IFERROR(__xludf.DUMMYFUNCTION("""COMPUTED_VALUE"""),74.39)</f>
        <v>74.39</v>
      </c>
      <c r="D181" s="141">
        <f ca="1">IFERROR(__xludf.DUMMYFUNCTION("""COMPUTED_VALUE"""),74.45)</f>
        <v>74.45</v>
      </c>
      <c r="E181" s="141">
        <f ca="1">IFERROR(__xludf.DUMMYFUNCTION("""COMPUTED_VALUE"""),74.21)</f>
        <v>74.209999999999994</v>
      </c>
      <c r="F181" s="141">
        <f ca="1">IFERROR(__xludf.DUMMYFUNCTION("""COMPUTED_VALUE"""),74.22)</f>
        <v>74.22</v>
      </c>
      <c r="G181" s="143">
        <f ca="1">IFERROR(__xludf.DUMMYFUNCTION("""COMPUTED_VALUE"""),8586491)</f>
        <v>8586491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IFERROR(__xludf.DUMMYFUNCTION("""COMPUTED_VALUE"""),74.08)</f>
        <v>74.08</v>
      </c>
      <c r="D182" s="141">
        <f ca="1">IFERROR(__xludf.DUMMYFUNCTION("""COMPUTED_VALUE"""),74.1)</f>
        <v>74.099999999999994</v>
      </c>
      <c r="E182" s="141">
        <f ca="1">IFERROR(__xludf.DUMMYFUNCTION("""COMPUTED_VALUE"""),73.85)</f>
        <v>73.849999999999994</v>
      </c>
      <c r="F182" s="141">
        <f ca="1">IFERROR(__xludf.DUMMYFUNCTION("""COMPUTED_VALUE"""),73.89)</f>
        <v>73.89</v>
      </c>
      <c r="G182" s="143">
        <f ca="1">IFERROR(__xludf.DUMMYFUNCTION("""COMPUTED_VALUE"""),9009616)</f>
        <v>9009616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IFERROR(__xludf.DUMMYFUNCTION("""COMPUTED_VALUE"""),73.78)</f>
        <v>73.78</v>
      </c>
      <c r="D183" s="141">
        <f ca="1">IFERROR(__xludf.DUMMYFUNCTION("""COMPUTED_VALUE"""),73.83)</f>
        <v>73.83</v>
      </c>
      <c r="E183" s="141">
        <f ca="1">IFERROR(__xludf.DUMMYFUNCTION("""COMPUTED_VALUE"""),73.56)</f>
        <v>73.56</v>
      </c>
      <c r="F183" s="141">
        <f ca="1">IFERROR(__xludf.DUMMYFUNCTION("""COMPUTED_VALUE"""),73.62)</f>
        <v>73.62</v>
      </c>
      <c r="G183" s="143">
        <f ca="1">IFERROR(__xludf.DUMMYFUNCTION("""COMPUTED_VALUE"""),12383450)</f>
        <v>12383450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IFERROR(__xludf.DUMMYFUNCTION("""COMPUTED_VALUE"""),73.74)</f>
        <v>73.739999999999995</v>
      </c>
      <c r="D184" s="141">
        <f ca="1">IFERROR(__xludf.DUMMYFUNCTION("""COMPUTED_VALUE"""),73.8)</f>
        <v>73.8</v>
      </c>
      <c r="E184" s="141">
        <f ca="1">IFERROR(__xludf.DUMMYFUNCTION("""COMPUTED_VALUE"""),73.51)</f>
        <v>73.510000000000005</v>
      </c>
      <c r="F184" s="141">
        <f ca="1">IFERROR(__xludf.DUMMYFUNCTION("""COMPUTED_VALUE"""),73.55)</f>
        <v>73.55</v>
      </c>
      <c r="G184" s="143">
        <f ca="1">IFERROR(__xludf.DUMMYFUNCTION("""COMPUTED_VALUE"""),7060142)</f>
        <v>7060142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IFERROR(__xludf.DUMMYFUNCTION("""COMPUTED_VALUE"""),73.83)</f>
        <v>73.83</v>
      </c>
      <c r="D185" s="141">
        <f ca="1">IFERROR(__xludf.DUMMYFUNCTION("""COMPUTED_VALUE"""),73.88)</f>
        <v>73.88</v>
      </c>
      <c r="E185" s="141">
        <f ca="1">IFERROR(__xludf.DUMMYFUNCTION("""COMPUTED_VALUE"""),73.74)</f>
        <v>73.739999999999995</v>
      </c>
      <c r="F185" s="141">
        <f ca="1">IFERROR(__xludf.DUMMYFUNCTION("""COMPUTED_VALUE"""),73.83)</f>
        <v>73.83</v>
      </c>
      <c r="G185" s="143">
        <f ca="1">IFERROR(__xludf.DUMMYFUNCTION("""COMPUTED_VALUE"""),7716574)</f>
        <v>7716574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IFERROR(__xludf.DUMMYFUNCTION("""COMPUTED_VALUE"""),73.93)</f>
        <v>73.930000000000007</v>
      </c>
      <c r="D186" s="141">
        <f ca="1">IFERROR(__xludf.DUMMYFUNCTION("""COMPUTED_VALUE"""),74.01)</f>
        <v>74.010000000000005</v>
      </c>
      <c r="E186" s="141">
        <f ca="1">IFERROR(__xludf.DUMMYFUNCTION("""COMPUTED_VALUE"""),73.93)</f>
        <v>73.930000000000007</v>
      </c>
      <c r="F186" s="141">
        <f ca="1">IFERROR(__xludf.DUMMYFUNCTION("""COMPUTED_VALUE"""),73.98)</f>
        <v>73.98</v>
      </c>
      <c r="G186" s="143">
        <f ca="1">IFERROR(__xludf.DUMMYFUNCTION("""COMPUTED_VALUE"""),5948527)</f>
        <v>5948527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IFERROR(__xludf.DUMMYFUNCTION("""COMPUTED_VALUE"""),73.89)</f>
        <v>73.89</v>
      </c>
      <c r="D187" s="141">
        <f ca="1">IFERROR(__xludf.DUMMYFUNCTION("""COMPUTED_VALUE"""),73.95)</f>
        <v>73.95</v>
      </c>
      <c r="E187" s="141">
        <f ca="1">IFERROR(__xludf.DUMMYFUNCTION("""COMPUTED_VALUE"""),73.67)</f>
        <v>73.67</v>
      </c>
      <c r="F187" s="141">
        <f ca="1">IFERROR(__xludf.DUMMYFUNCTION("""COMPUTED_VALUE"""),73.68)</f>
        <v>73.680000000000007</v>
      </c>
      <c r="G187" s="143">
        <f ca="1">IFERROR(__xludf.DUMMYFUNCTION("""COMPUTED_VALUE"""),9210941)</f>
        <v>9210941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IFERROR(__xludf.DUMMYFUNCTION("""COMPUTED_VALUE"""),73.52)</f>
        <v>73.52</v>
      </c>
      <c r="D188" s="141">
        <f ca="1">IFERROR(__xludf.DUMMYFUNCTION("""COMPUTED_VALUE"""),73.86)</f>
        <v>73.86</v>
      </c>
      <c r="E188" s="141">
        <f ca="1">IFERROR(__xludf.DUMMYFUNCTION("""COMPUTED_VALUE"""),73.5)</f>
        <v>73.5</v>
      </c>
      <c r="F188" s="141">
        <f ca="1">IFERROR(__xludf.DUMMYFUNCTION("""COMPUTED_VALUE"""),73.76)</f>
        <v>73.760000000000005</v>
      </c>
      <c r="G188" s="143">
        <f ca="1">IFERROR(__xludf.DUMMYFUNCTION("""COMPUTED_VALUE"""),8861681)</f>
        <v>8861681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IFERROR(__xludf.DUMMYFUNCTION("""COMPUTED_VALUE"""),73.52)</f>
        <v>73.52</v>
      </c>
      <c r="D189" s="141">
        <f ca="1">IFERROR(__xludf.DUMMYFUNCTION("""COMPUTED_VALUE"""),73.53)</f>
        <v>73.53</v>
      </c>
      <c r="E189" s="141">
        <f ca="1">IFERROR(__xludf.DUMMYFUNCTION("""COMPUTED_VALUE"""),73.16)</f>
        <v>73.16</v>
      </c>
      <c r="F189" s="141">
        <f ca="1">IFERROR(__xludf.DUMMYFUNCTION("""COMPUTED_VALUE"""),73.17)</f>
        <v>73.17</v>
      </c>
      <c r="G189" s="143">
        <f ca="1">IFERROR(__xludf.DUMMYFUNCTION("""COMPUTED_VALUE"""),12983191)</f>
        <v>12983191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IFERROR(__xludf.DUMMYFUNCTION("""COMPUTED_VALUE"""),73.3)</f>
        <v>73.3</v>
      </c>
      <c r="D190" s="141">
        <f ca="1">IFERROR(__xludf.DUMMYFUNCTION("""COMPUTED_VALUE"""),73.61)</f>
        <v>73.61</v>
      </c>
      <c r="E190" s="141">
        <f ca="1">IFERROR(__xludf.DUMMYFUNCTION("""COMPUTED_VALUE"""),73.24)</f>
        <v>73.239999999999995</v>
      </c>
      <c r="F190" s="141">
        <f ca="1">IFERROR(__xludf.DUMMYFUNCTION("""COMPUTED_VALUE"""),73.45)</f>
        <v>73.45</v>
      </c>
      <c r="G190" s="143">
        <f ca="1">IFERROR(__xludf.DUMMYFUNCTION("""COMPUTED_VALUE"""),14898763)</f>
        <v>14898763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IFERROR(__xludf.DUMMYFUNCTION("""COMPUTED_VALUE"""),73.18)</f>
        <v>73.180000000000007</v>
      </c>
      <c r="D191" s="141">
        <f ca="1">IFERROR(__xludf.DUMMYFUNCTION("""COMPUTED_VALUE"""),73.41)</f>
        <v>73.41</v>
      </c>
      <c r="E191" s="141">
        <f ca="1">IFERROR(__xludf.DUMMYFUNCTION("""COMPUTED_VALUE"""),73.12)</f>
        <v>73.12</v>
      </c>
      <c r="F191" s="141">
        <f ca="1">IFERROR(__xludf.DUMMYFUNCTION("""COMPUTED_VALUE"""),73.26)</f>
        <v>73.260000000000005</v>
      </c>
      <c r="G191" s="143">
        <f ca="1">IFERROR(__xludf.DUMMYFUNCTION("""COMPUTED_VALUE"""),11800758)</f>
        <v>11800758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IFERROR(__xludf.DUMMYFUNCTION("""COMPUTED_VALUE"""),73.57)</f>
        <v>73.569999999999993</v>
      </c>
      <c r="D192" s="141">
        <f ca="1">IFERROR(__xludf.DUMMYFUNCTION("""COMPUTED_VALUE"""),73.62)</f>
        <v>73.62</v>
      </c>
      <c r="E192" s="141">
        <f ca="1">IFERROR(__xludf.DUMMYFUNCTION("""COMPUTED_VALUE"""),73.45)</f>
        <v>73.45</v>
      </c>
      <c r="F192" s="141">
        <f ca="1">IFERROR(__xludf.DUMMYFUNCTION("""COMPUTED_VALUE"""),73.54)</f>
        <v>73.540000000000006</v>
      </c>
      <c r="G192" s="143">
        <f ca="1">IFERROR(__xludf.DUMMYFUNCTION("""COMPUTED_VALUE"""),9313456)</f>
        <v>9313456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IFERROR(__xludf.DUMMYFUNCTION("""COMPUTED_VALUE"""),73.33)</f>
        <v>73.33</v>
      </c>
      <c r="D193" s="141">
        <f ca="1">IFERROR(__xludf.DUMMYFUNCTION("""COMPUTED_VALUE"""),73.43)</f>
        <v>73.430000000000007</v>
      </c>
      <c r="E193" s="141">
        <f ca="1">IFERROR(__xludf.DUMMYFUNCTION("""COMPUTED_VALUE"""),73.1)</f>
        <v>73.099999999999994</v>
      </c>
      <c r="F193" s="141">
        <f ca="1">IFERROR(__xludf.DUMMYFUNCTION("""COMPUTED_VALUE"""),73.11)</f>
        <v>73.11</v>
      </c>
      <c r="G193" s="143">
        <f ca="1">IFERROR(__xludf.DUMMYFUNCTION("""COMPUTED_VALUE"""),8602893)</f>
        <v>8602893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IFERROR(__xludf.DUMMYFUNCTION("""COMPUTED_VALUE"""),72.98)</f>
        <v>72.98</v>
      </c>
      <c r="D194" s="141">
        <f ca="1">IFERROR(__xludf.DUMMYFUNCTION("""COMPUTED_VALUE"""),73.21)</f>
        <v>73.209999999999994</v>
      </c>
      <c r="E194" s="141">
        <f ca="1">IFERROR(__xludf.DUMMYFUNCTION("""COMPUTED_VALUE"""),72.94)</f>
        <v>72.94</v>
      </c>
      <c r="F194" s="141">
        <f ca="1">IFERROR(__xludf.DUMMYFUNCTION("""COMPUTED_VALUE"""),73.11)</f>
        <v>73.11</v>
      </c>
      <c r="G194" s="143">
        <f ca="1">IFERROR(__xludf.DUMMYFUNCTION("""COMPUTED_VALUE"""),13021837)</f>
        <v>13021837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IFERROR(__xludf.DUMMYFUNCTION("""COMPUTED_VALUE"""),73.48)</f>
        <v>73.48</v>
      </c>
      <c r="D195" s="141">
        <f ca="1">IFERROR(__xludf.DUMMYFUNCTION("""COMPUTED_VALUE"""),73.6)</f>
        <v>73.599999999999994</v>
      </c>
      <c r="E195" s="141">
        <f ca="1">IFERROR(__xludf.DUMMYFUNCTION("""COMPUTED_VALUE"""),73.42)</f>
        <v>73.42</v>
      </c>
      <c r="F195" s="141">
        <f ca="1">IFERROR(__xludf.DUMMYFUNCTION("""COMPUTED_VALUE"""),73.48)</f>
        <v>73.48</v>
      </c>
      <c r="G195" s="143">
        <f ca="1">IFERROR(__xludf.DUMMYFUNCTION("""COMPUTED_VALUE"""),10353779)</f>
        <v>10353779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IFERROR(__xludf.DUMMYFUNCTION("""COMPUTED_VALUE"""),73.67)</f>
        <v>73.67</v>
      </c>
      <c r="D196" s="141">
        <f ca="1">IFERROR(__xludf.DUMMYFUNCTION("""COMPUTED_VALUE"""),73.78)</f>
        <v>73.78</v>
      </c>
      <c r="E196" s="141">
        <f ca="1">IFERROR(__xludf.DUMMYFUNCTION("""COMPUTED_VALUE"""),73.57)</f>
        <v>73.569999999999993</v>
      </c>
      <c r="F196" s="141">
        <f ca="1">IFERROR(__xludf.DUMMYFUNCTION("""COMPUTED_VALUE"""),73.64)</f>
        <v>73.64</v>
      </c>
      <c r="G196" s="143">
        <f ca="1">IFERROR(__xludf.DUMMYFUNCTION("""COMPUTED_VALUE"""),10948304)</f>
        <v>10948304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IFERROR(__xludf.DUMMYFUNCTION("""COMPUTED_VALUE"""),73.43)</f>
        <v>73.430000000000007</v>
      </c>
      <c r="D197" s="141">
        <f ca="1">IFERROR(__xludf.DUMMYFUNCTION("""COMPUTED_VALUE"""),73.56)</f>
        <v>73.56</v>
      </c>
      <c r="E197" s="141">
        <f ca="1">IFERROR(__xludf.DUMMYFUNCTION("""COMPUTED_VALUE"""),73.39)</f>
        <v>73.39</v>
      </c>
      <c r="F197" s="141">
        <f ca="1">IFERROR(__xludf.DUMMYFUNCTION("""COMPUTED_VALUE"""),73.42)</f>
        <v>73.42</v>
      </c>
      <c r="G197" s="143">
        <f ca="1">IFERROR(__xludf.DUMMYFUNCTION("""COMPUTED_VALUE"""),9624795)</f>
        <v>9624795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IFERROR(__xludf.DUMMYFUNCTION("""COMPUTED_VALUE"""),73.36)</f>
        <v>73.36</v>
      </c>
      <c r="D198" s="141">
        <f ca="1">IFERROR(__xludf.DUMMYFUNCTION("""COMPUTED_VALUE"""),73.65)</f>
        <v>73.650000000000006</v>
      </c>
      <c r="E198" s="141">
        <f ca="1">IFERROR(__xludf.DUMMYFUNCTION("""COMPUTED_VALUE"""),73.34)</f>
        <v>73.34</v>
      </c>
      <c r="F198" s="141">
        <f ca="1">IFERROR(__xludf.DUMMYFUNCTION("""COMPUTED_VALUE"""),73.58)</f>
        <v>73.58</v>
      </c>
      <c r="G198" s="143">
        <f ca="1">IFERROR(__xludf.DUMMYFUNCTION("""COMPUTED_VALUE"""),7975625)</f>
        <v>7975625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IFERROR(__xludf.DUMMYFUNCTION("""COMPUTED_VALUE"""),73.44)</f>
        <v>73.44</v>
      </c>
      <c r="D199" s="141">
        <f ca="1">IFERROR(__xludf.DUMMYFUNCTION("""COMPUTED_VALUE"""),73.56)</f>
        <v>73.56</v>
      </c>
      <c r="E199" s="141">
        <f ca="1">IFERROR(__xludf.DUMMYFUNCTION("""COMPUTED_VALUE"""),73.42)</f>
        <v>73.42</v>
      </c>
      <c r="F199" s="141">
        <f ca="1">IFERROR(__xludf.DUMMYFUNCTION("""COMPUTED_VALUE"""),73.47)</f>
        <v>73.47</v>
      </c>
      <c r="G199" s="143">
        <f ca="1">IFERROR(__xludf.DUMMYFUNCTION("""COMPUTED_VALUE"""),9844314)</f>
        <v>9844314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IFERROR(__xludf.DUMMYFUNCTION("""COMPUTED_VALUE"""),73.49)</f>
        <v>73.489999999999995</v>
      </c>
      <c r="D200" s="141">
        <f ca="1">IFERROR(__xludf.DUMMYFUNCTION("""COMPUTED_VALUE"""),73.6)</f>
        <v>73.599999999999994</v>
      </c>
      <c r="E200" s="141">
        <f ca="1">IFERROR(__xludf.DUMMYFUNCTION("""COMPUTED_VALUE"""),73.25)</f>
        <v>73.25</v>
      </c>
      <c r="F200" s="141">
        <f ca="1">IFERROR(__xludf.DUMMYFUNCTION("""COMPUTED_VALUE"""),73.58)</f>
        <v>73.58</v>
      </c>
      <c r="G200" s="143">
        <f ca="1">IFERROR(__xludf.DUMMYFUNCTION("""COMPUTED_VALUE"""),7269993)</f>
        <v>7269993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IFERROR(__xludf.DUMMYFUNCTION("""COMPUTED_VALUE"""),73.94)</f>
        <v>73.94</v>
      </c>
      <c r="D201" s="141">
        <f ca="1">IFERROR(__xludf.DUMMYFUNCTION("""COMPUTED_VALUE"""),73.95)</f>
        <v>73.95</v>
      </c>
      <c r="E201" s="141">
        <f ca="1">IFERROR(__xludf.DUMMYFUNCTION("""COMPUTED_VALUE"""),73.67)</f>
        <v>73.67</v>
      </c>
      <c r="F201" s="141">
        <f ca="1">IFERROR(__xludf.DUMMYFUNCTION("""COMPUTED_VALUE"""),73.72)</f>
        <v>73.72</v>
      </c>
      <c r="G201" s="143">
        <f ca="1">IFERROR(__xludf.DUMMYFUNCTION("""COMPUTED_VALUE"""),5760154)</f>
        <v>5760154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IFERROR(__xludf.DUMMYFUNCTION("""COMPUTED_VALUE"""),73.68)</f>
        <v>73.680000000000007</v>
      </c>
      <c r="D202" s="141">
        <f ca="1">IFERROR(__xludf.DUMMYFUNCTION("""COMPUTED_VALUE"""),73.89)</f>
        <v>73.89</v>
      </c>
      <c r="E202" s="141">
        <f ca="1">IFERROR(__xludf.DUMMYFUNCTION("""COMPUTED_VALUE"""),73.58)</f>
        <v>73.58</v>
      </c>
      <c r="F202" s="141">
        <f ca="1">IFERROR(__xludf.DUMMYFUNCTION("""COMPUTED_VALUE"""),73.75)</f>
        <v>73.75</v>
      </c>
      <c r="G202" s="143">
        <f ca="1">IFERROR(__xludf.DUMMYFUNCTION("""COMPUTED_VALUE"""),5646825)</f>
        <v>5646825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IFERROR(__xludf.DUMMYFUNCTION("""COMPUTED_VALUE"""),73.74)</f>
        <v>73.739999999999995</v>
      </c>
      <c r="D203" s="141">
        <f ca="1">IFERROR(__xludf.DUMMYFUNCTION("""COMPUTED_VALUE"""),73.77)</f>
        <v>73.77</v>
      </c>
      <c r="E203" s="141">
        <f ca="1">IFERROR(__xludf.DUMMYFUNCTION("""COMPUTED_VALUE"""),73.63)</f>
        <v>73.63</v>
      </c>
      <c r="F203" s="141">
        <f ca="1">IFERROR(__xludf.DUMMYFUNCTION("""COMPUTED_VALUE"""),73.64)</f>
        <v>73.64</v>
      </c>
      <c r="G203" s="143">
        <f ca="1">IFERROR(__xludf.DUMMYFUNCTION("""COMPUTED_VALUE"""),6334275)</f>
        <v>6334275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IFERROR(__xludf.DUMMYFUNCTION("""COMPUTED_VALUE"""),73.64)</f>
        <v>73.64</v>
      </c>
      <c r="D204" s="141">
        <f ca="1">IFERROR(__xludf.DUMMYFUNCTION("""COMPUTED_VALUE"""),73.82)</f>
        <v>73.819999999999993</v>
      </c>
      <c r="E204" s="141">
        <f ca="1">IFERROR(__xludf.DUMMYFUNCTION("""COMPUTED_VALUE"""),73.6)</f>
        <v>73.599999999999994</v>
      </c>
      <c r="F204" s="141">
        <f ca="1">IFERROR(__xludf.DUMMYFUNCTION("""COMPUTED_VALUE"""),73.8)</f>
        <v>73.8</v>
      </c>
      <c r="G204" s="143">
        <f ca="1">IFERROR(__xludf.DUMMYFUNCTION("""COMPUTED_VALUE"""),6438078)</f>
        <v>6438078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IFERROR(__xludf.DUMMYFUNCTION("""COMPUTED_VALUE"""),73.84)</f>
        <v>73.84</v>
      </c>
      <c r="D205" s="141">
        <f ca="1">IFERROR(__xludf.DUMMYFUNCTION("""COMPUTED_VALUE"""),73.99)</f>
        <v>73.989999999999995</v>
      </c>
      <c r="E205" s="141">
        <f ca="1">IFERROR(__xludf.DUMMYFUNCTION("""COMPUTED_VALUE"""),73.78)</f>
        <v>73.78</v>
      </c>
      <c r="F205" s="141">
        <f ca="1">IFERROR(__xludf.DUMMYFUNCTION("""COMPUTED_VALUE"""),73.98)</f>
        <v>73.98</v>
      </c>
      <c r="G205" s="143">
        <f ca="1">IFERROR(__xludf.DUMMYFUNCTION("""COMPUTED_VALUE"""),5600139)</f>
        <v>5600139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IFERROR(__xludf.DUMMYFUNCTION("""COMPUTED_VALUE"""),73.9)</f>
        <v>73.900000000000006</v>
      </c>
      <c r="D206" s="141">
        <f ca="1">IFERROR(__xludf.DUMMYFUNCTION("""COMPUTED_VALUE"""),73.93)</f>
        <v>73.930000000000007</v>
      </c>
      <c r="E206" s="141">
        <f ca="1">IFERROR(__xludf.DUMMYFUNCTION("""COMPUTED_VALUE"""),73.82)</f>
        <v>73.819999999999993</v>
      </c>
      <c r="F206" s="141">
        <f ca="1">IFERROR(__xludf.DUMMYFUNCTION("""COMPUTED_VALUE"""),73.88)</f>
        <v>73.88</v>
      </c>
      <c r="G206" s="143">
        <f ca="1">IFERROR(__xludf.DUMMYFUNCTION("""COMPUTED_VALUE"""),6724343)</f>
        <v>6724343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IFERROR(__xludf.DUMMYFUNCTION("""COMPUTED_VALUE"""),73.94)</f>
        <v>73.94</v>
      </c>
      <c r="D207" s="141">
        <f ca="1">IFERROR(__xludf.DUMMYFUNCTION("""COMPUTED_VALUE"""),73.96)</f>
        <v>73.959999999999994</v>
      </c>
      <c r="E207" s="141">
        <f ca="1">IFERROR(__xludf.DUMMYFUNCTION("""COMPUTED_VALUE"""),73.72)</f>
        <v>73.72</v>
      </c>
      <c r="F207" s="141">
        <f ca="1">IFERROR(__xludf.DUMMYFUNCTION("""COMPUTED_VALUE"""),73.77)</f>
        <v>73.77</v>
      </c>
      <c r="G207" s="143">
        <f ca="1">IFERROR(__xludf.DUMMYFUNCTION("""COMPUTED_VALUE"""),7582499)</f>
        <v>7582499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IFERROR(__xludf.DUMMYFUNCTION("""COMPUTED_VALUE"""),74.06)</f>
        <v>74.06</v>
      </c>
      <c r="D208" s="141">
        <f ca="1">IFERROR(__xludf.DUMMYFUNCTION("""COMPUTED_VALUE"""),74.15)</f>
        <v>74.150000000000006</v>
      </c>
      <c r="E208" s="141">
        <f ca="1">IFERROR(__xludf.DUMMYFUNCTION("""COMPUTED_VALUE"""),74.01)</f>
        <v>74.010000000000005</v>
      </c>
      <c r="F208" s="141">
        <f ca="1">IFERROR(__xludf.DUMMYFUNCTION("""COMPUTED_VALUE"""),74.06)</f>
        <v>74.06</v>
      </c>
      <c r="G208" s="143">
        <f ca="1">IFERROR(__xludf.DUMMYFUNCTION("""COMPUTED_VALUE"""),5806931)</f>
        <v>5806931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IFERROR(__xludf.DUMMYFUNCTION("""COMPUTED_VALUE"""),74.05)</f>
        <v>74.05</v>
      </c>
      <c r="D209" s="141">
        <f ca="1">IFERROR(__xludf.DUMMYFUNCTION("""COMPUTED_VALUE"""),74.06)</f>
        <v>74.06</v>
      </c>
      <c r="E209" s="141">
        <f ca="1">IFERROR(__xludf.DUMMYFUNCTION("""COMPUTED_VALUE"""),73.93)</f>
        <v>73.930000000000007</v>
      </c>
      <c r="F209" s="141">
        <f ca="1">IFERROR(__xludf.DUMMYFUNCTION("""COMPUTED_VALUE"""),74.01)</f>
        <v>74.010000000000005</v>
      </c>
      <c r="G209" s="143">
        <f ca="1">IFERROR(__xludf.DUMMYFUNCTION("""COMPUTED_VALUE"""),7609616)</f>
        <v>7609616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IFERROR(__xludf.DUMMYFUNCTION("""COMPUTED_VALUE"""),73.94)</f>
        <v>73.94</v>
      </c>
      <c r="D210" s="141">
        <f ca="1">IFERROR(__xludf.DUMMYFUNCTION("""COMPUTED_VALUE"""),73.97)</f>
        <v>73.97</v>
      </c>
      <c r="E210" s="141">
        <f ca="1">IFERROR(__xludf.DUMMYFUNCTION("""COMPUTED_VALUE"""),73.77)</f>
        <v>73.77</v>
      </c>
      <c r="F210" s="141">
        <f ca="1">IFERROR(__xludf.DUMMYFUNCTION("""COMPUTED_VALUE"""),73.78)</f>
        <v>73.78</v>
      </c>
      <c r="G210" s="143">
        <f ca="1">IFERROR(__xludf.DUMMYFUNCTION("""COMPUTED_VALUE"""),5852614)</f>
        <v>5852614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IFERROR(__xludf.DUMMYFUNCTION("""COMPUTED_VALUE"""),73.96)</f>
        <v>73.959999999999994</v>
      </c>
      <c r="D211" s="141">
        <f ca="1">IFERROR(__xludf.DUMMYFUNCTION("""COMPUTED_VALUE"""),73.98)</f>
        <v>73.98</v>
      </c>
      <c r="E211" s="141">
        <f ca="1">IFERROR(__xludf.DUMMYFUNCTION("""COMPUTED_VALUE"""),73.85)</f>
        <v>73.849999999999994</v>
      </c>
      <c r="F211" s="141">
        <f ca="1">IFERROR(__xludf.DUMMYFUNCTION("""COMPUTED_VALUE"""),73.86)</f>
        <v>73.86</v>
      </c>
      <c r="G211" s="143">
        <f ca="1">IFERROR(__xludf.DUMMYFUNCTION("""COMPUTED_VALUE"""),5936814)</f>
        <v>5936814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IFERROR(__xludf.DUMMYFUNCTION("""COMPUTED_VALUE"""),73.86)</f>
        <v>73.86</v>
      </c>
      <c r="D212" s="141">
        <f ca="1">IFERROR(__xludf.DUMMYFUNCTION("""COMPUTED_VALUE"""),73.93)</f>
        <v>73.930000000000007</v>
      </c>
      <c r="E212" s="141">
        <f ca="1">IFERROR(__xludf.DUMMYFUNCTION("""COMPUTED_VALUE"""),73.62)</f>
        <v>73.62</v>
      </c>
      <c r="F212" s="141">
        <f ca="1">IFERROR(__xludf.DUMMYFUNCTION("""COMPUTED_VALUE"""),73.73)</f>
        <v>73.73</v>
      </c>
      <c r="G212" s="143">
        <f ca="1">IFERROR(__xludf.DUMMYFUNCTION("""COMPUTED_VALUE"""),6181452)</f>
        <v>6181452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IFERROR(__xludf.DUMMYFUNCTION("""COMPUTED_VALUE"""),73.75)</f>
        <v>73.75</v>
      </c>
      <c r="D213" s="141">
        <f ca="1">IFERROR(__xludf.DUMMYFUNCTION("""COMPUTED_VALUE"""),73.89)</f>
        <v>73.89</v>
      </c>
      <c r="E213" s="141">
        <f ca="1">IFERROR(__xludf.DUMMYFUNCTION("""COMPUTED_VALUE"""),73.66)</f>
        <v>73.66</v>
      </c>
      <c r="F213" s="141">
        <f ca="1">IFERROR(__xludf.DUMMYFUNCTION("""COMPUTED_VALUE"""),73.86)</f>
        <v>73.86</v>
      </c>
      <c r="G213" s="143">
        <f ca="1">IFERROR(__xludf.DUMMYFUNCTION("""COMPUTED_VALUE"""),5118167)</f>
        <v>5118167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IFERROR(__xludf.DUMMYFUNCTION("""COMPUTED_VALUE"""),73.8)</f>
        <v>73.8</v>
      </c>
      <c r="D214" s="141">
        <f ca="1">IFERROR(__xludf.DUMMYFUNCTION("""COMPUTED_VALUE"""),73.85)</f>
        <v>73.849999999999994</v>
      </c>
      <c r="E214" s="141">
        <f ca="1">IFERROR(__xludf.DUMMYFUNCTION("""COMPUTED_VALUE"""),73.7)</f>
        <v>73.7</v>
      </c>
      <c r="F214" s="141">
        <f ca="1">IFERROR(__xludf.DUMMYFUNCTION("""COMPUTED_VALUE"""),73.74)</f>
        <v>73.739999999999995</v>
      </c>
      <c r="G214" s="143">
        <f ca="1">IFERROR(__xludf.DUMMYFUNCTION("""COMPUTED_VALUE"""),6095172)</f>
        <v>6095172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IFERROR(__xludf.DUMMYFUNCTION("""COMPUTED_VALUE"""),73.65)</f>
        <v>73.650000000000006</v>
      </c>
      <c r="D215" s="141">
        <f ca="1">IFERROR(__xludf.DUMMYFUNCTION("""COMPUTED_VALUE"""),73.72)</f>
        <v>73.72</v>
      </c>
      <c r="E215" s="141">
        <f ca="1">IFERROR(__xludf.DUMMYFUNCTION("""COMPUTED_VALUE"""),73.6)</f>
        <v>73.599999999999994</v>
      </c>
      <c r="F215" s="141">
        <f ca="1">IFERROR(__xludf.DUMMYFUNCTION("""COMPUTED_VALUE"""),73.72)</f>
        <v>73.72</v>
      </c>
      <c r="G215" s="143">
        <f ca="1">IFERROR(__xludf.DUMMYFUNCTION("""COMPUTED_VALUE"""),7241980)</f>
        <v>7241980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IFERROR(__xludf.DUMMYFUNCTION("""COMPUTED_VALUE"""),73.55)</f>
        <v>73.55</v>
      </c>
      <c r="D216" s="141">
        <f ca="1">IFERROR(__xludf.DUMMYFUNCTION("""COMPUTED_VALUE"""),73.55)</f>
        <v>73.55</v>
      </c>
      <c r="E216" s="141">
        <f ca="1">IFERROR(__xludf.DUMMYFUNCTION("""COMPUTED_VALUE"""),73.32)</f>
        <v>73.319999999999993</v>
      </c>
      <c r="F216" s="141">
        <f ca="1">IFERROR(__xludf.DUMMYFUNCTION("""COMPUTED_VALUE"""),73.39)</f>
        <v>73.39</v>
      </c>
      <c r="G216" s="143">
        <f ca="1">IFERROR(__xludf.DUMMYFUNCTION("""COMPUTED_VALUE"""),7206969)</f>
        <v>7206969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IFERROR(__xludf.DUMMYFUNCTION("""COMPUTED_VALUE"""),73.53)</f>
        <v>73.53</v>
      </c>
      <c r="D217" s="141">
        <f ca="1">IFERROR(__xludf.DUMMYFUNCTION("""COMPUTED_VALUE"""),73.58)</f>
        <v>73.58</v>
      </c>
      <c r="E217" s="141">
        <f ca="1">IFERROR(__xludf.DUMMYFUNCTION("""COMPUTED_VALUE"""),73.44)</f>
        <v>73.44</v>
      </c>
      <c r="F217" s="141">
        <f ca="1">IFERROR(__xludf.DUMMYFUNCTION("""COMPUTED_VALUE"""),73.5)</f>
        <v>73.5</v>
      </c>
      <c r="G217" s="143">
        <f ca="1">IFERROR(__xludf.DUMMYFUNCTION("""COMPUTED_VALUE"""),7829147)</f>
        <v>7829147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IFERROR(__xludf.DUMMYFUNCTION("""COMPUTED_VALUE"""),73.3)</f>
        <v>73.3</v>
      </c>
      <c r="D218" s="141">
        <f ca="1">IFERROR(__xludf.DUMMYFUNCTION("""COMPUTED_VALUE"""),73.53)</f>
        <v>73.53</v>
      </c>
      <c r="E218" s="141">
        <f ca="1">IFERROR(__xludf.DUMMYFUNCTION("""COMPUTED_VALUE"""),73.26)</f>
        <v>73.260000000000005</v>
      </c>
      <c r="F218" s="141">
        <f ca="1">IFERROR(__xludf.DUMMYFUNCTION("""COMPUTED_VALUE"""),73.36)</f>
        <v>73.36</v>
      </c>
      <c r="G218" s="143">
        <f ca="1">IFERROR(__xludf.DUMMYFUNCTION("""COMPUTED_VALUE"""),6933061)</f>
        <v>6933061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IFERROR(__xludf.DUMMYFUNCTION("""COMPUTED_VALUE"""),73.26)</f>
        <v>73.260000000000005</v>
      </c>
      <c r="D219" s="141">
        <f ca="1">IFERROR(__xludf.DUMMYFUNCTION("""COMPUTED_VALUE"""),73.28)</f>
        <v>73.28</v>
      </c>
      <c r="E219" s="141">
        <f ca="1">IFERROR(__xludf.DUMMYFUNCTION("""COMPUTED_VALUE"""),72.98)</f>
        <v>72.98</v>
      </c>
      <c r="F219" s="141">
        <f ca="1">IFERROR(__xludf.DUMMYFUNCTION("""COMPUTED_VALUE"""),73.11)</f>
        <v>73.11</v>
      </c>
      <c r="G219" s="143">
        <f ca="1">IFERROR(__xludf.DUMMYFUNCTION("""COMPUTED_VALUE"""),7912179)</f>
        <v>7912179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IFERROR(__xludf.DUMMYFUNCTION("""COMPUTED_VALUE"""),73.19)</f>
        <v>73.19</v>
      </c>
      <c r="D220" s="141">
        <f ca="1">IFERROR(__xludf.DUMMYFUNCTION("""COMPUTED_VALUE"""),73.31)</f>
        <v>73.31</v>
      </c>
      <c r="E220" s="141">
        <f ca="1">IFERROR(__xludf.DUMMYFUNCTION("""COMPUTED_VALUE"""),73.18)</f>
        <v>73.180000000000007</v>
      </c>
      <c r="F220" s="141">
        <f ca="1">IFERROR(__xludf.DUMMYFUNCTION("""COMPUTED_VALUE"""),73.24)</f>
        <v>73.239999999999995</v>
      </c>
      <c r="G220" s="143">
        <f ca="1">IFERROR(__xludf.DUMMYFUNCTION("""COMPUTED_VALUE"""),8336196)</f>
        <v>8336196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IFERROR(__xludf.DUMMYFUNCTION("""COMPUTED_VALUE"""),73.5)</f>
        <v>73.5</v>
      </c>
      <c r="D221" s="141">
        <f ca="1">IFERROR(__xludf.DUMMYFUNCTION("""COMPUTED_VALUE"""),73.57)</f>
        <v>73.569999999999993</v>
      </c>
      <c r="E221" s="141">
        <f ca="1">IFERROR(__xludf.DUMMYFUNCTION("""COMPUTED_VALUE"""),73.47)</f>
        <v>73.47</v>
      </c>
      <c r="F221" s="141">
        <f ca="1">IFERROR(__xludf.DUMMYFUNCTION("""COMPUTED_VALUE"""),73.55)</f>
        <v>73.55</v>
      </c>
      <c r="G221" s="143">
        <f ca="1">IFERROR(__xludf.DUMMYFUNCTION("""COMPUTED_VALUE"""),7658318)</f>
        <v>7658318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IFERROR(__xludf.DUMMYFUNCTION("""COMPUTED_VALUE"""),73.65)</f>
        <v>73.650000000000006</v>
      </c>
      <c r="D222" s="141">
        <f ca="1">IFERROR(__xludf.DUMMYFUNCTION("""COMPUTED_VALUE"""),73.65)</f>
        <v>73.650000000000006</v>
      </c>
      <c r="E222" s="141">
        <f ca="1">IFERROR(__xludf.DUMMYFUNCTION("""COMPUTED_VALUE"""),73.32)</f>
        <v>73.319999999999993</v>
      </c>
      <c r="F222" s="141">
        <f ca="1">IFERROR(__xludf.DUMMYFUNCTION("""COMPUTED_VALUE"""),73.36)</f>
        <v>73.36</v>
      </c>
      <c r="G222" s="143">
        <f ca="1">IFERROR(__xludf.DUMMYFUNCTION("""COMPUTED_VALUE"""),9777000)</f>
        <v>9777000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IFERROR(__xludf.DUMMYFUNCTION("""COMPUTED_VALUE"""),73.56)</f>
        <v>73.56</v>
      </c>
      <c r="D223" s="141">
        <f ca="1">IFERROR(__xludf.DUMMYFUNCTION("""COMPUTED_VALUE"""),73.61)</f>
        <v>73.61</v>
      </c>
      <c r="E223" s="141">
        <f ca="1">IFERROR(__xludf.DUMMYFUNCTION("""COMPUTED_VALUE"""),73.52)</f>
        <v>73.52</v>
      </c>
      <c r="F223" s="141">
        <f ca="1">IFERROR(__xludf.DUMMYFUNCTION("""COMPUTED_VALUE"""),73.55)</f>
        <v>73.55</v>
      </c>
      <c r="G223" s="143">
        <f ca="1">IFERROR(__xludf.DUMMYFUNCTION("""COMPUTED_VALUE"""),7382796)</f>
        <v>7382796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IFERROR(__xludf.DUMMYFUNCTION("""COMPUTED_VALUE"""),73.47)</f>
        <v>73.47</v>
      </c>
      <c r="D224" s="141">
        <f ca="1">IFERROR(__xludf.DUMMYFUNCTION("""COMPUTED_VALUE"""),73.5)</f>
        <v>73.5</v>
      </c>
      <c r="E224" s="141">
        <f ca="1">IFERROR(__xludf.DUMMYFUNCTION("""COMPUTED_VALUE"""),73.36)</f>
        <v>73.36</v>
      </c>
      <c r="F224" s="141">
        <f ca="1">IFERROR(__xludf.DUMMYFUNCTION("""COMPUTED_VALUE"""),73.37)</f>
        <v>73.37</v>
      </c>
      <c r="G224" s="143">
        <f ca="1">IFERROR(__xludf.DUMMYFUNCTION("""COMPUTED_VALUE"""),9494208)</f>
        <v>9494208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IFERROR(__xludf.DUMMYFUNCTION("""COMPUTED_VALUE"""),73.21)</f>
        <v>73.209999999999994</v>
      </c>
      <c r="D225" s="141">
        <f ca="1">IFERROR(__xludf.DUMMYFUNCTION("""COMPUTED_VALUE"""),73.22)</f>
        <v>73.22</v>
      </c>
      <c r="E225" s="141">
        <f ca="1">IFERROR(__xludf.DUMMYFUNCTION("""COMPUTED_VALUE"""),73.13)</f>
        <v>73.13</v>
      </c>
      <c r="F225" s="141">
        <f ca="1">IFERROR(__xludf.DUMMYFUNCTION("""COMPUTED_VALUE"""),73.15)</f>
        <v>73.150000000000006</v>
      </c>
      <c r="G225" s="143">
        <f ca="1">IFERROR(__xludf.DUMMYFUNCTION("""COMPUTED_VALUE"""),7431708)</f>
        <v>7431708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IFERROR(__xludf.DUMMYFUNCTION("""COMPUTED_VALUE"""),73.13)</f>
        <v>73.13</v>
      </c>
      <c r="D226" s="141">
        <f ca="1">IFERROR(__xludf.DUMMYFUNCTION("""COMPUTED_VALUE"""),73.19)</f>
        <v>73.19</v>
      </c>
      <c r="E226" s="141">
        <f ca="1">IFERROR(__xludf.DUMMYFUNCTION("""COMPUTED_VALUE"""),73.03)</f>
        <v>73.03</v>
      </c>
      <c r="F226" s="141">
        <f ca="1">IFERROR(__xludf.DUMMYFUNCTION("""COMPUTED_VALUE"""),73.18)</f>
        <v>73.180000000000007</v>
      </c>
      <c r="G226" s="143">
        <f ca="1">IFERROR(__xludf.DUMMYFUNCTION("""COMPUTED_VALUE"""),10760977)</f>
        <v>10760977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IFERROR(__xludf.DUMMYFUNCTION("""COMPUTED_VALUE"""),73.22)</f>
        <v>73.22</v>
      </c>
      <c r="D227" s="141">
        <f ca="1">IFERROR(__xludf.DUMMYFUNCTION("""COMPUTED_VALUE"""),73.38)</f>
        <v>73.38</v>
      </c>
      <c r="E227" s="141">
        <f ca="1">IFERROR(__xludf.DUMMYFUNCTION("""COMPUTED_VALUE"""),73.15)</f>
        <v>73.150000000000006</v>
      </c>
      <c r="F227" s="141">
        <f ca="1">IFERROR(__xludf.DUMMYFUNCTION("""COMPUTED_VALUE"""),73.16)</f>
        <v>73.16</v>
      </c>
      <c r="G227" s="143">
        <f ca="1">IFERROR(__xludf.DUMMYFUNCTION("""COMPUTED_VALUE"""),6262495)</f>
        <v>6262495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IFERROR(__xludf.DUMMYFUNCTION("""COMPUTED_VALUE"""),72.82)</f>
        <v>72.819999999999993</v>
      </c>
      <c r="D228" s="141">
        <f ca="1">IFERROR(__xludf.DUMMYFUNCTION("""COMPUTED_VALUE"""),72.83)</f>
        <v>72.83</v>
      </c>
      <c r="E228" s="141">
        <f ca="1">IFERROR(__xludf.DUMMYFUNCTION("""COMPUTED_VALUE"""),72.69)</f>
        <v>72.69</v>
      </c>
      <c r="F228" s="141">
        <f ca="1">IFERROR(__xludf.DUMMYFUNCTION("""COMPUTED_VALUE"""),72.74)</f>
        <v>72.739999999999995</v>
      </c>
      <c r="G228" s="143">
        <f ca="1">IFERROR(__xludf.DUMMYFUNCTION("""COMPUTED_VALUE"""),12189889)</f>
        <v>12189889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IFERROR(__xludf.DUMMYFUNCTION("""COMPUTED_VALUE"""),72.78)</f>
        <v>72.78</v>
      </c>
      <c r="D229" s="141">
        <f ca="1">IFERROR(__xludf.DUMMYFUNCTION("""COMPUTED_VALUE"""),72.86)</f>
        <v>72.86</v>
      </c>
      <c r="E229" s="141">
        <f ca="1">IFERROR(__xludf.DUMMYFUNCTION("""COMPUTED_VALUE"""),72.59)</f>
        <v>72.59</v>
      </c>
      <c r="F229" s="141">
        <f ca="1">IFERROR(__xludf.DUMMYFUNCTION("""COMPUTED_VALUE"""),72.69)</f>
        <v>72.69</v>
      </c>
      <c r="G229" s="143">
        <f ca="1">IFERROR(__xludf.DUMMYFUNCTION("""COMPUTED_VALUE"""),8771711)</f>
        <v>8771711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IFERROR(__xludf.DUMMYFUNCTION("""COMPUTED_VALUE"""),72.47)</f>
        <v>72.47</v>
      </c>
      <c r="D230" s="141">
        <f ca="1">IFERROR(__xludf.DUMMYFUNCTION("""COMPUTED_VALUE"""),72.55)</f>
        <v>72.55</v>
      </c>
      <c r="E230" s="141">
        <f ca="1">IFERROR(__xludf.DUMMYFUNCTION("""COMPUTED_VALUE"""),72.34)</f>
        <v>72.34</v>
      </c>
      <c r="F230" s="141">
        <f ca="1">IFERROR(__xludf.DUMMYFUNCTION("""COMPUTED_VALUE"""),72.45)</f>
        <v>72.45</v>
      </c>
      <c r="G230" s="143">
        <f ca="1">IFERROR(__xludf.DUMMYFUNCTION("""COMPUTED_VALUE"""),13221170)</f>
        <v>13221170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IFERROR(__xludf.DUMMYFUNCTION("""COMPUTED_VALUE"""),72.47)</f>
        <v>72.47</v>
      </c>
      <c r="D231" s="141">
        <f ca="1">IFERROR(__xludf.DUMMYFUNCTION("""COMPUTED_VALUE"""),72.9)</f>
        <v>72.900000000000006</v>
      </c>
      <c r="E231" s="141">
        <f ca="1">IFERROR(__xludf.DUMMYFUNCTION("""COMPUTED_VALUE"""),72.46)</f>
        <v>72.459999999999994</v>
      </c>
      <c r="F231" s="141">
        <f ca="1">IFERROR(__xludf.DUMMYFUNCTION("""COMPUTED_VALUE"""),72.85)</f>
        <v>72.849999999999994</v>
      </c>
      <c r="G231" s="143">
        <f ca="1">IFERROR(__xludf.DUMMYFUNCTION("""COMPUTED_VALUE"""),11123006)</f>
        <v>11123006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IFERROR(__xludf.DUMMYFUNCTION("""COMPUTED_VALUE"""),72.65)</f>
        <v>72.650000000000006</v>
      </c>
      <c r="D232" s="141">
        <f ca="1">IFERROR(__xludf.DUMMYFUNCTION("""COMPUTED_VALUE"""),72.94)</f>
        <v>72.94</v>
      </c>
      <c r="E232" s="141">
        <f ca="1">IFERROR(__xludf.DUMMYFUNCTION("""COMPUTED_VALUE"""),72.58)</f>
        <v>72.58</v>
      </c>
      <c r="F232" s="141">
        <f ca="1">IFERROR(__xludf.DUMMYFUNCTION("""COMPUTED_VALUE"""),72.93)</f>
        <v>72.930000000000007</v>
      </c>
      <c r="G232" s="143">
        <f ca="1">IFERROR(__xludf.DUMMYFUNCTION("""COMPUTED_VALUE"""),10364598)</f>
        <v>10364598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IFERROR(__xludf.DUMMYFUNCTION("""COMPUTED_VALUE"""),73.04)</f>
        <v>73.040000000000006</v>
      </c>
      <c r="D233" s="141">
        <f ca="1">IFERROR(__xludf.DUMMYFUNCTION("""COMPUTED_VALUE"""),73.05)</f>
        <v>73.05</v>
      </c>
      <c r="E233" s="141">
        <f ca="1">IFERROR(__xludf.DUMMYFUNCTION("""COMPUTED_VALUE"""),72.82)</f>
        <v>72.819999999999993</v>
      </c>
      <c r="F233" s="141">
        <f ca="1">IFERROR(__xludf.DUMMYFUNCTION("""COMPUTED_VALUE"""),73)</f>
        <v>73</v>
      </c>
      <c r="G233" s="143">
        <f ca="1">IFERROR(__xludf.DUMMYFUNCTION("""COMPUTED_VALUE"""),6824183)</f>
        <v>6824183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IFERROR(__xludf.DUMMYFUNCTION("""COMPUTED_VALUE"""),73.26)</f>
        <v>73.260000000000005</v>
      </c>
      <c r="D234" s="141">
        <f ca="1">IFERROR(__xludf.DUMMYFUNCTION("""COMPUTED_VALUE"""),73.28)</f>
        <v>73.28</v>
      </c>
      <c r="E234" s="141">
        <f ca="1">IFERROR(__xludf.DUMMYFUNCTION("""COMPUTED_VALUE"""),73.13)</f>
        <v>73.13</v>
      </c>
      <c r="F234" s="141">
        <f ca="1">IFERROR(__xludf.DUMMYFUNCTION("""COMPUTED_VALUE"""),73.21)</f>
        <v>73.209999999999994</v>
      </c>
      <c r="G234" s="143">
        <f ca="1">IFERROR(__xludf.DUMMYFUNCTION("""COMPUTED_VALUE"""),7379325)</f>
        <v>7379325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IFERROR(__xludf.DUMMYFUNCTION("""COMPUTED_VALUE"""),73.29)</f>
        <v>73.290000000000006</v>
      </c>
      <c r="D235" s="141">
        <f ca="1">IFERROR(__xludf.DUMMYFUNCTION("""COMPUTED_VALUE"""),73.34)</f>
        <v>73.34</v>
      </c>
      <c r="E235" s="141">
        <f ca="1">IFERROR(__xludf.DUMMYFUNCTION("""COMPUTED_VALUE"""),73.24)</f>
        <v>73.239999999999995</v>
      </c>
      <c r="F235" s="141">
        <f ca="1">IFERROR(__xludf.DUMMYFUNCTION("""COMPUTED_VALUE"""),73.28)</f>
        <v>73.28</v>
      </c>
      <c r="G235" s="143">
        <f ca="1">IFERROR(__xludf.DUMMYFUNCTION("""COMPUTED_VALUE"""),7353305)</f>
        <v>7353305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IFERROR(__xludf.DUMMYFUNCTION("""COMPUTED_VALUE"""),73.29)</f>
        <v>73.290000000000006</v>
      </c>
      <c r="D236" s="141">
        <f ca="1">IFERROR(__xludf.DUMMYFUNCTION("""COMPUTED_VALUE"""),73.47)</f>
        <v>73.47</v>
      </c>
      <c r="E236" s="141">
        <f ca="1">IFERROR(__xludf.DUMMYFUNCTION("""COMPUTED_VALUE"""),73.24)</f>
        <v>73.239999999999995</v>
      </c>
      <c r="F236" s="141">
        <f ca="1">IFERROR(__xludf.DUMMYFUNCTION("""COMPUTED_VALUE"""),73.42)</f>
        <v>73.42</v>
      </c>
      <c r="G236" s="143">
        <f ca="1">IFERROR(__xludf.DUMMYFUNCTION("""COMPUTED_VALUE"""),7245494)</f>
        <v>7245494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IFERROR(__xludf.DUMMYFUNCTION("""COMPUTED_VALUE"""),73.47)</f>
        <v>73.47</v>
      </c>
      <c r="D237" s="141">
        <f ca="1">IFERROR(__xludf.DUMMYFUNCTION("""COMPUTED_VALUE"""),73.55)</f>
        <v>73.55</v>
      </c>
      <c r="E237" s="141">
        <f ca="1">IFERROR(__xludf.DUMMYFUNCTION("""COMPUTED_VALUE"""),73.38)</f>
        <v>73.38</v>
      </c>
      <c r="F237" s="141">
        <f ca="1">IFERROR(__xludf.DUMMYFUNCTION("""COMPUTED_VALUE"""),73.46)</f>
        <v>73.459999999999994</v>
      </c>
      <c r="G237" s="143">
        <f ca="1">IFERROR(__xludf.DUMMYFUNCTION("""COMPUTED_VALUE"""),9178332)</f>
        <v>9178332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IFERROR(__xludf.DUMMYFUNCTION("""COMPUTED_VALUE"""),73)</f>
        <v>73</v>
      </c>
      <c r="D238" s="141">
        <f ca="1">IFERROR(__xludf.DUMMYFUNCTION("""COMPUTED_VALUE"""),73.19)</f>
        <v>73.19</v>
      </c>
      <c r="E238" s="141">
        <f ca="1">IFERROR(__xludf.DUMMYFUNCTION("""COMPUTED_VALUE"""),72.94)</f>
        <v>72.94</v>
      </c>
      <c r="F238" s="141">
        <f ca="1">IFERROR(__xludf.DUMMYFUNCTION("""COMPUTED_VALUE"""),73.18)</f>
        <v>73.180000000000007</v>
      </c>
      <c r="G238" s="143">
        <f ca="1">IFERROR(__xludf.DUMMYFUNCTION("""COMPUTED_VALUE"""),7268319)</f>
        <v>7268319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IFERROR(__xludf.DUMMYFUNCTION("""COMPUTED_VALUE"""),73.27)</f>
        <v>73.27</v>
      </c>
      <c r="D239" s="141">
        <f ca="1">IFERROR(__xludf.DUMMYFUNCTION("""COMPUTED_VALUE"""),73.3)</f>
        <v>73.3</v>
      </c>
      <c r="E239" s="141">
        <f ca="1">IFERROR(__xludf.DUMMYFUNCTION("""COMPUTED_VALUE"""),73.16)</f>
        <v>73.16</v>
      </c>
      <c r="F239" s="141">
        <f ca="1">IFERROR(__xludf.DUMMYFUNCTION("""COMPUTED_VALUE"""),73.2)</f>
        <v>73.2</v>
      </c>
      <c r="G239" s="143">
        <f ca="1">IFERROR(__xludf.DUMMYFUNCTION("""COMPUTED_VALUE"""),7682672)</f>
        <v>7682672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IFERROR(__xludf.DUMMYFUNCTION("""COMPUTED_VALUE"""),73.04)</f>
        <v>73.040000000000006</v>
      </c>
      <c r="D240" s="141">
        <f ca="1">IFERROR(__xludf.DUMMYFUNCTION("""COMPUTED_VALUE"""),73.12)</f>
        <v>73.12</v>
      </c>
      <c r="E240" s="141">
        <f ca="1">IFERROR(__xludf.DUMMYFUNCTION("""COMPUTED_VALUE"""),72.98)</f>
        <v>72.98</v>
      </c>
      <c r="F240" s="141">
        <f ca="1">IFERROR(__xludf.DUMMYFUNCTION("""COMPUTED_VALUE"""),73.06)</f>
        <v>73.06</v>
      </c>
      <c r="G240" s="143">
        <f ca="1">IFERROR(__xludf.DUMMYFUNCTION("""COMPUTED_VALUE"""),9330688)</f>
        <v>9330688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IFERROR(__xludf.DUMMYFUNCTION("""COMPUTED_VALUE"""),73.19)</f>
        <v>73.19</v>
      </c>
      <c r="D241" s="141">
        <f ca="1">IFERROR(__xludf.DUMMYFUNCTION("""COMPUTED_VALUE"""),73.23)</f>
        <v>73.23</v>
      </c>
      <c r="E241" s="141">
        <f ca="1">IFERROR(__xludf.DUMMYFUNCTION("""COMPUTED_VALUE"""),73.13)</f>
        <v>73.13</v>
      </c>
      <c r="F241" s="141">
        <f ca="1">IFERROR(__xludf.DUMMYFUNCTION("""COMPUTED_VALUE"""),73.16)</f>
        <v>73.16</v>
      </c>
      <c r="G241" s="143">
        <f ca="1">IFERROR(__xludf.DUMMYFUNCTION("""COMPUTED_VALUE"""),6815030)</f>
        <v>6815030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IFERROR(__xludf.DUMMYFUNCTION("""COMPUTED_VALUE"""),72.94)</f>
        <v>72.94</v>
      </c>
      <c r="D242" s="141">
        <f ca="1">IFERROR(__xludf.DUMMYFUNCTION("""COMPUTED_VALUE"""),72.95)</f>
        <v>72.95</v>
      </c>
      <c r="E242" s="141">
        <f ca="1">IFERROR(__xludf.DUMMYFUNCTION("""COMPUTED_VALUE"""),72.82)</f>
        <v>72.819999999999993</v>
      </c>
      <c r="F242" s="141">
        <f ca="1">IFERROR(__xludf.DUMMYFUNCTION("""COMPUTED_VALUE"""),72.83)</f>
        <v>72.83</v>
      </c>
      <c r="G242" s="143">
        <f ca="1">IFERROR(__xludf.DUMMYFUNCTION("""COMPUTED_VALUE"""),8487197)</f>
        <v>8487197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IFERROR(__xludf.DUMMYFUNCTION("""COMPUTED_VALUE"""),72.98)</f>
        <v>72.98</v>
      </c>
      <c r="D243" s="141">
        <f ca="1">IFERROR(__xludf.DUMMYFUNCTION("""COMPUTED_VALUE"""),73.01)</f>
        <v>73.010000000000005</v>
      </c>
      <c r="E243" s="141">
        <f ca="1">IFERROR(__xludf.DUMMYFUNCTION("""COMPUTED_VALUE"""),72.8)</f>
        <v>72.8</v>
      </c>
      <c r="F243" s="141">
        <f ca="1">IFERROR(__xludf.DUMMYFUNCTION("""COMPUTED_VALUE"""),72.81)</f>
        <v>72.81</v>
      </c>
      <c r="G243" s="143">
        <f ca="1">IFERROR(__xludf.DUMMYFUNCTION("""COMPUTED_VALUE"""),14018969)</f>
        <v>14018969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IFERROR(__xludf.DUMMYFUNCTION("""COMPUTED_VALUE"""),72.92)</f>
        <v>72.92</v>
      </c>
      <c r="D244" s="141">
        <f ca="1">IFERROR(__xludf.DUMMYFUNCTION("""COMPUTED_VALUE"""),73)</f>
        <v>73</v>
      </c>
      <c r="E244" s="141">
        <f ca="1">IFERROR(__xludf.DUMMYFUNCTION("""COMPUTED_VALUE"""),72.84)</f>
        <v>72.84</v>
      </c>
      <c r="F244" s="141">
        <f ca="1">IFERROR(__xludf.DUMMYFUNCTION("""COMPUTED_VALUE"""),72.97)</f>
        <v>72.97</v>
      </c>
      <c r="G244" s="143">
        <f ca="1">IFERROR(__xludf.DUMMYFUNCTION("""COMPUTED_VALUE"""),8703469)</f>
        <v>8703469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IFERROR(__xludf.DUMMYFUNCTION("""COMPUTED_VALUE"""),72.97)</f>
        <v>72.97</v>
      </c>
      <c r="D245" s="141">
        <f ca="1">IFERROR(__xludf.DUMMYFUNCTION("""COMPUTED_VALUE"""),73.04)</f>
        <v>73.040000000000006</v>
      </c>
      <c r="E245" s="141">
        <f ca="1">IFERROR(__xludf.DUMMYFUNCTION("""COMPUTED_VALUE"""),72.84)</f>
        <v>72.84</v>
      </c>
      <c r="F245" s="141">
        <f ca="1">IFERROR(__xludf.DUMMYFUNCTION("""COMPUTED_VALUE"""),72.91)</f>
        <v>72.91</v>
      </c>
      <c r="G245" s="143">
        <f ca="1">IFERROR(__xludf.DUMMYFUNCTION("""COMPUTED_VALUE"""),5252524)</f>
        <v>5252524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IFERROR(__xludf.DUMMYFUNCTION("""COMPUTED_VALUE"""),72.98)</f>
        <v>72.98</v>
      </c>
      <c r="D246" s="141">
        <f ca="1">IFERROR(__xludf.DUMMYFUNCTION("""COMPUTED_VALUE"""),73.36)</f>
        <v>73.36</v>
      </c>
      <c r="E246" s="141">
        <f ca="1">IFERROR(__xludf.DUMMYFUNCTION("""COMPUTED_VALUE"""),72.93)</f>
        <v>72.930000000000007</v>
      </c>
      <c r="F246" s="141">
        <f ca="1">IFERROR(__xludf.DUMMYFUNCTION("""COMPUTED_VALUE"""),73.33)</f>
        <v>73.33</v>
      </c>
      <c r="G246" s="143">
        <f ca="1">IFERROR(__xludf.DUMMYFUNCTION("""COMPUTED_VALUE"""),9058743)</f>
        <v>9058743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IFERROR(__xludf.DUMMYFUNCTION("""COMPUTED_VALUE"""),73.21)</f>
        <v>73.209999999999994</v>
      </c>
      <c r="D247" s="141">
        <f ca="1">IFERROR(__xludf.DUMMYFUNCTION("""COMPUTED_VALUE"""),73.29)</f>
        <v>73.290000000000006</v>
      </c>
      <c r="E247" s="141">
        <f ca="1">IFERROR(__xludf.DUMMYFUNCTION("""COMPUTED_VALUE"""),73.11)</f>
        <v>73.11</v>
      </c>
      <c r="F247" s="141">
        <f ca="1">IFERROR(__xludf.DUMMYFUNCTION("""COMPUTED_VALUE"""),73.24)</f>
        <v>73.239999999999995</v>
      </c>
      <c r="G247" s="143">
        <f ca="1">IFERROR(__xludf.DUMMYFUNCTION("""COMPUTED_VALUE"""),7381030)</f>
        <v>7381030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IFERROR(__xludf.DUMMYFUNCTION("""COMPUTED_VALUE"""),73.38)</f>
        <v>73.38</v>
      </c>
      <c r="D248" s="141">
        <f ca="1">IFERROR(__xludf.DUMMYFUNCTION("""COMPUTED_VALUE"""),73.43)</f>
        <v>73.430000000000007</v>
      </c>
      <c r="E248" s="141">
        <f ca="1">IFERROR(__xludf.DUMMYFUNCTION("""COMPUTED_VALUE"""),73.29)</f>
        <v>73.290000000000006</v>
      </c>
      <c r="F248" s="141">
        <f ca="1">IFERROR(__xludf.DUMMYFUNCTION("""COMPUTED_VALUE"""),73.3)</f>
        <v>73.3</v>
      </c>
      <c r="G248" s="143">
        <f ca="1">IFERROR(__xludf.DUMMYFUNCTION("""COMPUTED_VALUE"""),7738295)</f>
        <v>7738295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IFERROR(__xludf.DUMMYFUNCTION("""COMPUTED_VALUE"""),73.34)</f>
        <v>73.34</v>
      </c>
      <c r="D249" s="141">
        <f ca="1">IFERROR(__xludf.DUMMYFUNCTION("""COMPUTED_VALUE"""),73.48)</f>
        <v>73.48</v>
      </c>
      <c r="E249" s="141">
        <f ca="1">IFERROR(__xludf.DUMMYFUNCTION("""COMPUTED_VALUE"""),73.32)</f>
        <v>73.319999999999993</v>
      </c>
      <c r="F249" s="141">
        <f ca="1">IFERROR(__xludf.DUMMYFUNCTION("""COMPUTED_VALUE"""),73.41)</f>
        <v>73.41</v>
      </c>
      <c r="G249" s="143">
        <f ca="1">IFERROR(__xludf.DUMMYFUNCTION("""COMPUTED_VALUE"""),5902839)</f>
        <v>5902839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IFERROR(__xludf.DUMMYFUNCTION("""COMPUTED_VALUE"""),73.42)</f>
        <v>73.42</v>
      </c>
      <c r="D250" s="141">
        <f ca="1">IFERROR(__xludf.DUMMYFUNCTION("""COMPUTED_VALUE"""),73.47)</f>
        <v>73.47</v>
      </c>
      <c r="E250" s="141">
        <f ca="1">IFERROR(__xludf.DUMMYFUNCTION("""COMPUTED_VALUE"""),73.12)</f>
        <v>73.12</v>
      </c>
      <c r="F250" s="141">
        <f ca="1">IFERROR(__xludf.DUMMYFUNCTION("""COMPUTED_VALUE"""),73.14)</f>
        <v>73.14</v>
      </c>
      <c r="G250" s="143">
        <f ca="1">IFERROR(__xludf.DUMMYFUNCTION("""COMPUTED_VALUE"""),8531607)</f>
        <v>8531607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IFERROR(__xludf.DUMMYFUNCTION("""COMPUTED_VALUE"""),73.32)</f>
        <v>73.319999999999993</v>
      </c>
      <c r="D251" s="141">
        <f ca="1">IFERROR(__xludf.DUMMYFUNCTION("""COMPUTED_VALUE"""),73.5)</f>
        <v>73.5</v>
      </c>
      <c r="E251" s="141">
        <f ca="1">IFERROR(__xludf.DUMMYFUNCTION("""COMPUTED_VALUE"""),73.32)</f>
        <v>73.319999999999993</v>
      </c>
      <c r="F251" s="141">
        <f ca="1">IFERROR(__xludf.DUMMYFUNCTION("""COMPUTED_VALUE"""),73.34)</f>
        <v>73.34</v>
      </c>
      <c r="G251" s="143">
        <f ca="1">IFERROR(__xludf.DUMMYFUNCTION("""COMPUTED_VALUE"""),6312453)</f>
        <v>6312453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IFERROR(__xludf.DUMMYFUNCTION("""COMPUTED_VALUE"""),73.17)</f>
        <v>73.17</v>
      </c>
      <c r="D252" s="141">
        <f ca="1">IFERROR(__xludf.DUMMYFUNCTION("""COMPUTED_VALUE"""),73.22)</f>
        <v>73.22</v>
      </c>
      <c r="E252" s="141">
        <f ca="1">IFERROR(__xludf.DUMMYFUNCTION("""COMPUTED_VALUE"""),73.11)</f>
        <v>73.11</v>
      </c>
      <c r="F252" s="141">
        <f ca="1">IFERROR(__xludf.DUMMYFUNCTION("""COMPUTED_VALUE"""),73.14)</f>
        <v>73.14</v>
      </c>
      <c r="G252" s="143">
        <f ca="1">IFERROR(__xludf.DUMMYFUNCTION("""COMPUTED_VALUE"""),7359409)</f>
        <v>7359409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IFERROR(__xludf.DUMMYFUNCTION("""COMPUTED_VALUE"""),73.18)</f>
        <v>73.180000000000007</v>
      </c>
      <c r="D253" s="141">
        <f ca="1">IFERROR(__xludf.DUMMYFUNCTION("""COMPUTED_VALUE"""),73.3)</f>
        <v>73.3</v>
      </c>
      <c r="E253" s="141">
        <f ca="1">IFERROR(__xludf.DUMMYFUNCTION("""COMPUTED_VALUE"""),73.18)</f>
        <v>73.180000000000007</v>
      </c>
      <c r="F253" s="141">
        <f ca="1">IFERROR(__xludf.DUMMYFUNCTION("""COMPUTED_VALUE"""),73.22)</f>
        <v>73.22</v>
      </c>
      <c r="G253" s="143">
        <f ca="1">IFERROR(__xludf.DUMMYFUNCTION("""COMPUTED_VALUE"""),7081818)</f>
        <v>7081818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IFERROR(__xludf.DUMMYFUNCTION("""COMPUTED_VALUE"""),73.48)</f>
        <v>73.48</v>
      </c>
      <c r="D254" s="141">
        <f ca="1">IFERROR(__xludf.DUMMYFUNCTION("""COMPUTED_VALUE"""),73.6)</f>
        <v>73.599999999999994</v>
      </c>
      <c r="E254" s="141">
        <f ca="1">IFERROR(__xludf.DUMMYFUNCTION("""COMPUTED_VALUE"""),73.46)</f>
        <v>73.459999999999994</v>
      </c>
      <c r="F254" s="141">
        <f ca="1">IFERROR(__xludf.DUMMYFUNCTION("""COMPUTED_VALUE"""),73.55)</f>
        <v>73.55</v>
      </c>
      <c r="G254" s="143">
        <f ca="1">IFERROR(__xludf.DUMMYFUNCTION("""COMPUTED_VALUE"""),7819390)</f>
        <v>7819390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IFERROR(__xludf.DUMMYFUNCTION("""COMPUTED_VALUE"""),73.65)</f>
        <v>73.650000000000006</v>
      </c>
      <c r="D255" s="141">
        <f ca="1">IFERROR(__xludf.DUMMYFUNCTION("""COMPUTED_VALUE"""),73.73)</f>
        <v>73.73</v>
      </c>
      <c r="E255" s="141">
        <f ca="1">IFERROR(__xludf.DUMMYFUNCTION("""COMPUTED_VALUE"""),73.59)</f>
        <v>73.59</v>
      </c>
      <c r="F255" s="141">
        <f ca="1">IFERROR(__xludf.DUMMYFUNCTION("""COMPUTED_VALUE"""),73.6)</f>
        <v>73.599999999999994</v>
      </c>
      <c r="G255" s="143">
        <f ca="1">IFERROR(__xludf.DUMMYFUNCTION("""COMPUTED_VALUE"""),7639062)</f>
        <v>7639062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IFERROR(__xludf.DUMMYFUNCTION("""COMPUTED_VALUE"""),73.57)</f>
        <v>73.569999999999993</v>
      </c>
      <c r="D256" s="141">
        <f ca="1">IFERROR(__xludf.DUMMYFUNCTION("""COMPUTED_VALUE"""),73.72)</f>
        <v>73.72</v>
      </c>
      <c r="E256" s="141">
        <f ca="1">IFERROR(__xludf.DUMMYFUNCTION("""COMPUTED_VALUE"""),73.56)</f>
        <v>73.56</v>
      </c>
      <c r="F256" s="141">
        <f ca="1">IFERROR(__xludf.DUMMYFUNCTION("""COMPUTED_VALUE"""),73.67)</f>
        <v>73.67</v>
      </c>
      <c r="G256" s="143">
        <f ca="1">IFERROR(__xludf.DUMMYFUNCTION("""COMPUTED_VALUE"""),5965074)</f>
        <v>5965074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IFERROR(__xludf.DUMMYFUNCTION("""COMPUTED_VALUE"""),73.69)</f>
        <v>73.69</v>
      </c>
      <c r="D257" s="141">
        <f ca="1">IFERROR(__xludf.DUMMYFUNCTION("""COMPUTED_VALUE"""),73.73)</f>
        <v>73.73</v>
      </c>
      <c r="E257" s="141">
        <f ca="1">IFERROR(__xludf.DUMMYFUNCTION("""COMPUTED_VALUE"""),73.64)</f>
        <v>73.64</v>
      </c>
      <c r="F257" s="141">
        <f ca="1">IFERROR(__xludf.DUMMYFUNCTION("""COMPUTED_VALUE"""),73.71)</f>
        <v>73.709999999999994</v>
      </c>
      <c r="G257" s="143">
        <f ca="1">IFERROR(__xludf.DUMMYFUNCTION("""COMPUTED_VALUE"""),7224769)</f>
        <v>7224769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IFERROR(__xludf.DUMMYFUNCTION("""COMPUTED_VALUE"""),73.61)</f>
        <v>73.61</v>
      </c>
      <c r="D258" s="141">
        <f ca="1">IFERROR(__xludf.DUMMYFUNCTION("""COMPUTED_VALUE"""),73.62)</f>
        <v>73.62</v>
      </c>
      <c r="E258" s="141">
        <f ca="1">IFERROR(__xludf.DUMMYFUNCTION("""COMPUTED_VALUE"""),73.4)</f>
        <v>73.400000000000006</v>
      </c>
      <c r="F258" s="141">
        <f ca="1">IFERROR(__xludf.DUMMYFUNCTION("""COMPUTED_VALUE"""),73.41)</f>
        <v>73.41</v>
      </c>
      <c r="G258" s="143">
        <f ca="1">IFERROR(__xludf.DUMMYFUNCTION("""COMPUTED_VALUE"""),11653176)</f>
        <v>11653176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IFERROR(__xludf.DUMMYFUNCTION("""COMPUTED_VALUE"""),73.03)</f>
        <v>73.03</v>
      </c>
      <c r="D259" s="141">
        <f ca="1">IFERROR(__xludf.DUMMYFUNCTION("""COMPUTED_VALUE"""),73.14)</f>
        <v>73.14</v>
      </c>
      <c r="E259" s="141">
        <f ca="1">IFERROR(__xludf.DUMMYFUNCTION("""COMPUTED_VALUE"""),72.99)</f>
        <v>72.989999999999995</v>
      </c>
      <c r="F259" s="141">
        <f ca="1">IFERROR(__xludf.DUMMYFUNCTION("""COMPUTED_VALUE"""),73.06)</f>
        <v>73.06</v>
      </c>
      <c r="G259" s="143">
        <f ca="1">IFERROR(__xludf.DUMMYFUNCTION("""COMPUTED_VALUE"""),20719005)</f>
        <v>20719005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IFERROR(__xludf.DUMMYFUNCTION("""COMPUTED_VALUE"""),73.06)</f>
        <v>73.06</v>
      </c>
      <c r="D260" s="141">
        <f ca="1">IFERROR(__xludf.DUMMYFUNCTION("""COMPUTED_VALUE"""),73.17)</f>
        <v>73.17</v>
      </c>
      <c r="E260" s="141">
        <f ca="1">IFERROR(__xludf.DUMMYFUNCTION("""COMPUTED_VALUE"""),73.04)</f>
        <v>73.040000000000006</v>
      </c>
      <c r="F260" s="141">
        <f ca="1">IFERROR(__xludf.DUMMYFUNCTION("""COMPUTED_VALUE"""),73.11)</f>
        <v>73.11</v>
      </c>
      <c r="G260" s="143">
        <f ca="1">IFERROR(__xludf.DUMMYFUNCTION("""COMPUTED_VALUE"""),7628300)</f>
        <v>7628300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IFERROR(__xludf.DUMMYFUNCTION("""COMPUTED_VALUE"""),73.07)</f>
        <v>73.069999999999993</v>
      </c>
      <c r="D261" s="141">
        <f ca="1">IFERROR(__xludf.DUMMYFUNCTION("""COMPUTED_VALUE"""),73.14)</f>
        <v>73.14</v>
      </c>
      <c r="E261" s="141">
        <f ca="1">IFERROR(__xludf.DUMMYFUNCTION("""COMPUTED_VALUE"""),73.03)</f>
        <v>73.03</v>
      </c>
      <c r="F261" s="141">
        <f ca="1">IFERROR(__xludf.DUMMYFUNCTION("""COMPUTED_VALUE"""),73.14)</f>
        <v>73.14</v>
      </c>
      <c r="G261" s="143">
        <f ca="1">IFERROR(__xludf.DUMMYFUNCTION("""COMPUTED_VALUE"""),10192105)</f>
        <v>10192105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IFERROR(__xludf.DUMMYFUNCTION("""COMPUTED_VALUE"""),73.01)</f>
        <v>73.010000000000005</v>
      </c>
      <c r="D262" s="141">
        <f ca="1">IFERROR(__xludf.DUMMYFUNCTION("""COMPUTED_VALUE"""),73.04)</f>
        <v>73.040000000000006</v>
      </c>
      <c r="E262" s="141">
        <f ca="1">IFERROR(__xludf.DUMMYFUNCTION("""COMPUTED_VALUE"""),72.8)</f>
        <v>72.8</v>
      </c>
      <c r="F262" s="141">
        <f ca="1">IFERROR(__xludf.DUMMYFUNCTION("""COMPUTED_VALUE"""),72.85)</f>
        <v>72.849999999999994</v>
      </c>
      <c r="G262" s="143">
        <f ca="1">IFERROR(__xludf.DUMMYFUNCTION("""COMPUTED_VALUE"""),8412402)</f>
        <v>8412402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IFERROR(__xludf.DUMMYFUNCTION("""COMPUTED_VALUE"""),72.73)</f>
        <v>72.73</v>
      </c>
      <c r="D263" s="141">
        <f ca="1">IFERROR(__xludf.DUMMYFUNCTION("""COMPUTED_VALUE"""),72.74)</f>
        <v>72.739999999999995</v>
      </c>
      <c r="E263" s="141">
        <f ca="1">IFERROR(__xludf.DUMMYFUNCTION("""COMPUTED_VALUE"""),72.59)</f>
        <v>72.59</v>
      </c>
      <c r="F263" s="141">
        <f ca="1">IFERROR(__xludf.DUMMYFUNCTION("""COMPUTED_VALUE"""),72.7)</f>
        <v>72.7</v>
      </c>
      <c r="G263" s="143">
        <f ca="1">IFERROR(__xludf.DUMMYFUNCTION("""COMPUTED_VALUE"""),8944897)</f>
        <v>8944897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IFERROR(__xludf.DUMMYFUNCTION("""COMPUTED_VALUE"""),72.75)</f>
        <v>72.75</v>
      </c>
      <c r="D264" s="141">
        <f ca="1">IFERROR(__xludf.DUMMYFUNCTION("""COMPUTED_VALUE"""),72.92)</f>
        <v>72.92</v>
      </c>
      <c r="E264" s="141">
        <f ca="1">IFERROR(__xludf.DUMMYFUNCTION("""COMPUTED_VALUE"""),72.75)</f>
        <v>72.75</v>
      </c>
      <c r="F264" s="141">
        <f ca="1">IFERROR(__xludf.DUMMYFUNCTION("""COMPUTED_VALUE"""),72.83)</f>
        <v>72.83</v>
      </c>
      <c r="G264" s="143">
        <f ca="1">IFERROR(__xludf.DUMMYFUNCTION("""COMPUTED_VALUE"""),8250731)</f>
        <v>8250731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IFERROR(__xludf.DUMMYFUNCTION("""COMPUTED_VALUE"""),72.83)</f>
        <v>72.83</v>
      </c>
      <c r="D265" s="141">
        <f ca="1">IFERROR(__xludf.DUMMYFUNCTION("""COMPUTED_VALUE"""),72.85)</f>
        <v>72.849999999999994</v>
      </c>
      <c r="E265" s="141">
        <f ca="1">IFERROR(__xludf.DUMMYFUNCTION("""COMPUTED_VALUE"""),72.7)</f>
        <v>72.7</v>
      </c>
      <c r="F265" s="141">
        <f ca="1">IFERROR(__xludf.DUMMYFUNCTION("""COMPUTED_VALUE"""),72.77)</f>
        <v>72.77</v>
      </c>
      <c r="G265" s="143">
        <f ca="1">IFERROR(__xludf.DUMMYFUNCTION("""COMPUTED_VALUE"""),7170799)</f>
        <v>7170799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IFERROR(__xludf.DUMMYFUNCTION("""COMPUTED_VALUE"""),72.65)</f>
        <v>72.650000000000006</v>
      </c>
      <c r="D266" s="141">
        <f ca="1">IFERROR(__xludf.DUMMYFUNCTION("""COMPUTED_VALUE"""),72.75)</f>
        <v>72.75</v>
      </c>
      <c r="E266" s="141">
        <f ca="1">IFERROR(__xludf.DUMMYFUNCTION("""COMPUTED_VALUE"""),72.49)</f>
        <v>72.489999999999995</v>
      </c>
      <c r="F266" s="141">
        <f ca="1">IFERROR(__xludf.DUMMYFUNCTION("""COMPUTED_VALUE"""),72.5)</f>
        <v>72.5</v>
      </c>
      <c r="G266" s="143">
        <f ca="1">IFERROR(__xludf.DUMMYFUNCTION("""COMPUTED_VALUE"""),7595502)</f>
        <v>7595502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IFERROR(__xludf.DUMMYFUNCTION("""COMPUTED_VALUE"""),72.69)</f>
        <v>72.69</v>
      </c>
      <c r="D267" s="141">
        <f ca="1">IFERROR(__xludf.DUMMYFUNCTION("""COMPUTED_VALUE"""),72.79)</f>
        <v>72.790000000000006</v>
      </c>
      <c r="E267" s="141">
        <f ca="1">IFERROR(__xludf.DUMMYFUNCTION("""COMPUTED_VALUE"""),72.63)</f>
        <v>72.63</v>
      </c>
      <c r="F267" s="141">
        <f ca="1">IFERROR(__xludf.DUMMYFUNCTION("""COMPUTED_VALUE"""),72.7)</f>
        <v>72.7</v>
      </c>
      <c r="G267" s="143">
        <f ca="1">IFERROR(__xludf.DUMMYFUNCTION("""COMPUTED_VALUE"""),8081122)</f>
        <v>8081122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IFERROR(__xludf.DUMMYFUNCTION("""COMPUTED_VALUE"""),72.75)</f>
        <v>72.75</v>
      </c>
      <c r="D268" s="141">
        <f ca="1">IFERROR(__xludf.DUMMYFUNCTION("""COMPUTED_VALUE"""),72.89)</f>
        <v>72.89</v>
      </c>
      <c r="E268" s="141">
        <f ca="1">IFERROR(__xludf.DUMMYFUNCTION("""COMPUTED_VALUE"""),72.72)</f>
        <v>72.72</v>
      </c>
      <c r="F268" s="141">
        <f ca="1">IFERROR(__xludf.DUMMYFUNCTION("""COMPUTED_VALUE"""),72.82)</f>
        <v>72.819999999999993</v>
      </c>
      <c r="G268" s="143">
        <f ca="1">IFERROR(__xludf.DUMMYFUNCTION("""COMPUTED_VALUE"""),6181227)</f>
        <v>6181227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IFERROR(__xludf.DUMMYFUNCTION("""COMPUTED_VALUE"""),72.72)</f>
        <v>72.72</v>
      </c>
      <c r="D269" s="141">
        <f ca="1">IFERROR(__xludf.DUMMYFUNCTION("""COMPUTED_VALUE"""),72.83)</f>
        <v>72.83</v>
      </c>
      <c r="E269" s="141">
        <f ca="1">IFERROR(__xludf.DUMMYFUNCTION("""COMPUTED_VALUE"""),72.69)</f>
        <v>72.69</v>
      </c>
      <c r="F269" s="141">
        <f ca="1">IFERROR(__xludf.DUMMYFUNCTION("""COMPUTED_VALUE"""),72.81)</f>
        <v>72.81</v>
      </c>
      <c r="G269" s="143">
        <f ca="1">IFERROR(__xludf.DUMMYFUNCTION("""COMPUTED_VALUE"""),6109044)</f>
        <v>6109044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IFERROR(__xludf.DUMMYFUNCTION("""COMPUTED_VALUE"""),72.89)</f>
        <v>72.89</v>
      </c>
      <c r="D270" s="141">
        <f ca="1">IFERROR(__xludf.DUMMYFUNCTION("""COMPUTED_VALUE"""),73)</f>
        <v>73</v>
      </c>
      <c r="E270" s="141">
        <f ca="1">IFERROR(__xludf.DUMMYFUNCTION("""COMPUTED_VALUE"""),72.83)</f>
        <v>72.83</v>
      </c>
      <c r="F270" s="141">
        <f ca="1">IFERROR(__xludf.DUMMYFUNCTION("""COMPUTED_VALUE"""),72.86)</f>
        <v>72.86</v>
      </c>
      <c r="G270" s="143">
        <f ca="1">IFERROR(__xludf.DUMMYFUNCTION("""COMPUTED_VALUE"""),5836038)</f>
        <v>5836038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IFERROR(__xludf.DUMMYFUNCTION("""COMPUTED_VALUE"""),72.83)</f>
        <v>72.83</v>
      </c>
      <c r="D271" s="141">
        <f ca="1">IFERROR(__xludf.DUMMYFUNCTION("""COMPUTED_VALUE"""),72.84)</f>
        <v>72.84</v>
      </c>
      <c r="E271" s="141">
        <f ca="1">IFERROR(__xludf.DUMMYFUNCTION("""COMPUTED_VALUE"""),72.62)</f>
        <v>72.62</v>
      </c>
      <c r="F271" s="141">
        <f ca="1">IFERROR(__xludf.DUMMYFUNCTION("""COMPUTED_VALUE"""),72.68)</f>
        <v>72.680000000000007</v>
      </c>
      <c r="G271" s="143">
        <f ca="1">IFERROR(__xludf.DUMMYFUNCTION("""COMPUTED_VALUE"""),5578254)</f>
        <v>5578254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IFERROR(__xludf.DUMMYFUNCTION("""COMPUTED_VALUE"""),72.57)</f>
        <v>72.569999999999993</v>
      </c>
      <c r="D272" s="141">
        <f ca="1">IFERROR(__xludf.DUMMYFUNCTION("""COMPUTED_VALUE"""),72.58)</f>
        <v>72.58</v>
      </c>
      <c r="E272" s="141">
        <f ca="1">IFERROR(__xludf.DUMMYFUNCTION("""COMPUTED_VALUE"""),72.48)</f>
        <v>72.48</v>
      </c>
      <c r="F272" s="141">
        <f ca="1">IFERROR(__xludf.DUMMYFUNCTION("""COMPUTED_VALUE"""),72.52)</f>
        <v>72.52</v>
      </c>
      <c r="G272" s="143">
        <f ca="1">IFERROR(__xludf.DUMMYFUNCTION("""COMPUTED_VALUE"""),5679138)</f>
        <v>5679138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IFERROR(__xludf.DUMMYFUNCTION("""COMPUTED_VALUE"""),72.49)</f>
        <v>72.489999999999995</v>
      </c>
      <c r="D273" s="141">
        <f ca="1">IFERROR(__xludf.DUMMYFUNCTION("""COMPUTED_VALUE"""),72.52)</f>
        <v>72.52</v>
      </c>
      <c r="E273" s="141">
        <f ca="1">IFERROR(__xludf.DUMMYFUNCTION("""COMPUTED_VALUE"""),72.38)</f>
        <v>72.38</v>
      </c>
      <c r="F273" s="141">
        <f ca="1">IFERROR(__xludf.DUMMYFUNCTION("""COMPUTED_VALUE"""),72.4)</f>
        <v>72.400000000000006</v>
      </c>
      <c r="G273" s="143">
        <f ca="1">IFERROR(__xludf.DUMMYFUNCTION("""COMPUTED_VALUE"""),5862969)</f>
        <v>5862969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IFERROR(__xludf.DUMMYFUNCTION("""COMPUTED_VALUE"""),72.2)</f>
        <v>72.2</v>
      </c>
      <c r="D274" s="141">
        <f ca="1">IFERROR(__xludf.DUMMYFUNCTION("""COMPUTED_VALUE"""),72.27)</f>
        <v>72.27</v>
      </c>
      <c r="E274" s="141">
        <f ca="1">IFERROR(__xludf.DUMMYFUNCTION("""COMPUTED_VALUE"""),72.17)</f>
        <v>72.17</v>
      </c>
      <c r="F274" s="141">
        <f ca="1">IFERROR(__xludf.DUMMYFUNCTION("""COMPUTED_VALUE"""),72.25)</f>
        <v>72.25</v>
      </c>
      <c r="G274" s="143">
        <f ca="1">IFERROR(__xludf.DUMMYFUNCTION("""COMPUTED_VALUE"""),7641631)</f>
        <v>7641631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IFERROR(__xludf.DUMMYFUNCTION("""COMPUTED_VALUE"""),72.27)</f>
        <v>72.27</v>
      </c>
      <c r="D275" s="141">
        <f ca="1">IFERROR(__xludf.DUMMYFUNCTION("""COMPUTED_VALUE"""),72.43)</f>
        <v>72.430000000000007</v>
      </c>
      <c r="E275" s="141">
        <f ca="1">IFERROR(__xludf.DUMMYFUNCTION("""COMPUTED_VALUE"""),72.27)</f>
        <v>72.27</v>
      </c>
      <c r="F275" s="141">
        <f ca="1">IFERROR(__xludf.DUMMYFUNCTION("""COMPUTED_VALUE"""),72.31)</f>
        <v>72.31</v>
      </c>
      <c r="G275" s="143">
        <f ca="1">IFERROR(__xludf.DUMMYFUNCTION("""COMPUTED_VALUE"""),5695844)</f>
        <v>5695844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IFERROR(__xludf.DUMMYFUNCTION("""COMPUTED_VALUE"""),72.43)</f>
        <v>72.430000000000007</v>
      </c>
      <c r="D276" s="141">
        <f ca="1">IFERROR(__xludf.DUMMYFUNCTION("""COMPUTED_VALUE"""),72.5)</f>
        <v>72.5</v>
      </c>
      <c r="E276" s="141">
        <f ca="1">IFERROR(__xludf.DUMMYFUNCTION("""COMPUTED_VALUE"""),72.39)</f>
        <v>72.39</v>
      </c>
      <c r="F276" s="141">
        <f ca="1">IFERROR(__xludf.DUMMYFUNCTION("""COMPUTED_VALUE"""),72.46)</f>
        <v>72.459999999999994</v>
      </c>
      <c r="G276" s="143">
        <f ca="1">IFERROR(__xludf.DUMMYFUNCTION("""COMPUTED_VALUE"""),5667460)</f>
        <v>5667460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IFERROR(__xludf.DUMMYFUNCTION("""COMPUTED_VALUE"""),72.53)</f>
        <v>72.53</v>
      </c>
      <c r="D277" s="141">
        <f ca="1">IFERROR(__xludf.DUMMYFUNCTION("""COMPUTED_VALUE"""),72.7)</f>
        <v>72.7</v>
      </c>
      <c r="E277" s="141">
        <f ca="1">IFERROR(__xludf.DUMMYFUNCTION("""COMPUTED_VALUE"""),72.51)</f>
        <v>72.510000000000005</v>
      </c>
      <c r="F277" s="141">
        <f ca="1">IFERROR(__xludf.DUMMYFUNCTION("""COMPUTED_VALUE"""),72.64)</f>
        <v>72.64</v>
      </c>
      <c r="G277" s="143">
        <f ca="1">IFERROR(__xludf.DUMMYFUNCTION("""COMPUTED_VALUE"""),5279684)</f>
        <v>5279684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IFERROR(__xludf.DUMMYFUNCTION("""COMPUTED_VALUE"""),72.56)</f>
        <v>72.56</v>
      </c>
      <c r="D278" s="141">
        <f ca="1">IFERROR(__xludf.DUMMYFUNCTION("""COMPUTED_VALUE"""),72.63)</f>
        <v>72.63</v>
      </c>
      <c r="E278" s="141">
        <f ca="1">IFERROR(__xludf.DUMMYFUNCTION("""COMPUTED_VALUE"""),72.37)</f>
        <v>72.37</v>
      </c>
      <c r="F278" s="141">
        <f ca="1">IFERROR(__xludf.DUMMYFUNCTION("""COMPUTED_VALUE"""),72.38)</f>
        <v>72.38</v>
      </c>
      <c r="G278" s="143">
        <f ca="1">IFERROR(__xludf.DUMMYFUNCTION("""COMPUTED_VALUE"""),6747183)</f>
        <v>6747183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89" priority="5" operator="lessThan">
      <formula>0</formula>
    </cfRule>
    <cfRule type="cellIs" dxfId="88" priority="6" operator="greaterThan">
      <formula>0</formula>
    </cfRule>
  </conditionalFormatting>
  <conditionalFormatting sqref="F28:F1000">
    <cfRule type="expression" dxfId="87" priority="1">
      <formula>AND(F28=MAX(F$28:F$1000),F28&gt;0)</formula>
    </cfRule>
    <cfRule type="expression" dxfId="86" priority="2">
      <formula>AND(F28=MIN(F$28:F$1000),F28&gt;0)</formula>
    </cfRule>
  </conditionalFormatting>
  <conditionalFormatting sqref="F29:F1000">
    <cfRule type="expression" dxfId="85" priority="3">
      <formula>F29&gt;F27</formula>
    </cfRule>
    <cfRule type="expression" dxfId="84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B00-000000000000}">
      <formula1>"1 Month,3 Months,6 Months,12 Months,36 Months"</formula1>
    </dataValidation>
  </dataValidations>
  <hyperlinks>
    <hyperlink ref="G2" r:id="rId1" xr:uid="{00000000-0004-0000-0B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5">
      <c r="A4" s="1"/>
      <c r="B4" s="305" t="s">
        <v>32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IFERROR(__xludf.DUMMYFUNCTION("GOOGLEFINANCE(B18,""name"")"),"Vanguard Emerging Markets Stock Index Fund ETF")</f>
        <v>Vanguard Emerging Markets Stock Index Fund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IFERROR(__xludf.DUMMYFUNCTION("GOOGLEFINANCE(B18,""price"")"),56.92)</f>
        <v>56.92</v>
      </c>
      <c r="C10" s="322"/>
      <c r="D10" s="100">
        <f ca="1">IFERROR(__xludf.DUMMYFUNCTION("IFERROR(GOOGLEFINANCE(B18,""change""),""-"")"),-0.82)</f>
        <v>-0.82</v>
      </c>
      <c r="E10" s="103">
        <f ca="1">IFERROR(__xludf.DUMMYFUNCTION("IFERROR(GOOGLEFINANCE(B18,""changepct"")/100,""-"")"),-0.0141999999999999)</f>
        <v>-1.41999999999999E-2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IFERROR(__xludf.DUMMYFUNCTION("IFERROR(GOOGLEFINANCE(B18,""marketcap""),""-"")"),85532656688)</f>
        <v>85532656688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VWO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IFERROR(__xludf.DUMMYFUNCTION("""COMPUTED_VALUE"""),50.26)</f>
        <v>50.26</v>
      </c>
      <c r="D28" s="141">
        <f ca="1">IFERROR(__xludf.DUMMYFUNCTION("""COMPUTED_VALUE"""),50.33)</f>
        <v>50.33</v>
      </c>
      <c r="E28" s="141">
        <f ca="1">IFERROR(__xludf.DUMMYFUNCTION("""COMPUTED_VALUE"""),49.98)</f>
        <v>49.98</v>
      </c>
      <c r="F28" s="141">
        <f ca="1">IFERROR(__xludf.DUMMYFUNCTION("""COMPUTED_VALUE"""),50.06)</f>
        <v>50.06</v>
      </c>
      <c r="G28" s="143">
        <f ca="1">IFERROR(__xludf.DUMMYFUNCTION("""COMPUTED_VALUE"""),10545616)</f>
        <v>10545616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IFERROR(__xludf.DUMMYFUNCTION("""COMPUTED_VALUE"""),49.89)</f>
        <v>49.89</v>
      </c>
      <c r="D29" s="141">
        <f ca="1">IFERROR(__xludf.DUMMYFUNCTION("""COMPUTED_VALUE"""),50.05)</f>
        <v>50.05</v>
      </c>
      <c r="E29" s="141">
        <f ca="1">IFERROR(__xludf.DUMMYFUNCTION("""COMPUTED_VALUE"""),49.71)</f>
        <v>49.71</v>
      </c>
      <c r="F29" s="141">
        <f ca="1">IFERROR(__xludf.DUMMYFUNCTION("""COMPUTED_VALUE"""),49.8)</f>
        <v>49.8</v>
      </c>
      <c r="G29" s="143">
        <f ca="1">IFERROR(__xludf.DUMMYFUNCTION("""COMPUTED_VALUE"""),6256496)</f>
        <v>6256496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IFERROR(__xludf.DUMMYFUNCTION("""COMPUTED_VALUE"""),49.77)</f>
        <v>49.77</v>
      </c>
      <c r="D30" s="141">
        <f ca="1">IFERROR(__xludf.DUMMYFUNCTION("""COMPUTED_VALUE"""),49.79)</f>
        <v>49.79</v>
      </c>
      <c r="E30" s="141">
        <f ca="1">IFERROR(__xludf.DUMMYFUNCTION("""COMPUTED_VALUE"""),49.37)</f>
        <v>49.37</v>
      </c>
      <c r="F30" s="141">
        <f ca="1">IFERROR(__xludf.DUMMYFUNCTION("""COMPUTED_VALUE"""),49.54)</f>
        <v>49.54</v>
      </c>
      <c r="G30" s="143">
        <f ca="1">IFERROR(__xludf.DUMMYFUNCTION("""COMPUTED_VALUE"""),14479361)</f>
        <v>14479361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IFERROR(__xludf.DUMMYFUNCTION("""COMPUTED_VALUE"""),50.11)</f>
        <v>50.11</v>
      </c>
      <c r="D31" s="141">
        <f ca="1">IFERROR(__xludf.DUMMYFUNCTION("""COMPUTED_VALUE"""),50.12)</f>
        <v>50.12</v>
      </c>
      <c r="E31" s="141">
        <f ca="1">IFERROR(__xludf.DUMMYFUNCTION("""COMPUTED_VALUE"""),49.87)</f>
        <v>49.87</v>
      </c>
      <c r="F31" s="141">
        <f ca="1">IFERROR(__xludf.DUMMYFUNCTION("""COMPUTED_VALUE"""),50)</f>
        <v>50</v>
      </c>
      <c r="G31" s="143">
        <f ca="1">IFERROR(__xludf.DUMMYFUNCTION("""COMPUTED_VALUE"""),7863418)</f>
        <v>7863418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IFERROR(__xludf.DUMMYFUNCTION("""COMPUTED_VALUE"""),50.23)</f>
        <v>50.23</v>
      </c>
      <c r="D32" s="141">
        <f ca="1">IFERROR(__xludf.DUMMYFUNCTION("""COMPUTED_VALUE"""),50.33)</f>
        <v>50.33</v>
      </c>
      <c r="E32" s="141">
        <f ca="1">IFERROR(__xludf.DUMMYFUNCTION("""COMPUTED_VALUE"""),50.07)</f>
        <v>50.07</v>
      </c>
      <c r="F32" s="141">
        <f ca="1">IFERROR(__xludf.DUMMYFUNCTION("""COMPUTED_VALUE"""),50.16)</f>
        <v>50.16</v>
      </c>
      <c r="G32" s="143">
        <f ca="1">IFERROR(__xludf.DUMMYFUNCTION("""COMPUTED_VALUE"""),9528826)</f>
        <v>9528826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IFERROR(__xludf.DUMMYFUNCTION("""COMPUTED_VALUE"""),50.27)</f>
        <v>50.27</v>
      </c>
      <c r="D33" s="141">
        <f ca="1">IFERROR(__xludf.DUMMYFUNCTION("""COMPUTED_VALUE"""),50.42)</f>
        <v>50.42</v>
      </c>
      <c r="E33" s="141">
        <f ca="1">IFERROR(__xludf.DUMMYFUNCTION("""COMPUTED_VALUE"""),50.12)</f>
        <v>50.12</v>
      </c>
      <c r="F33" s="141">
        <f ca="1">IFERROR(__xludf.DUMMYFUNCTION("""COMPUTED_VALUE"""),50.38)</f>
        <v>50.38</v>
      </c>
      <c r="G33" s="143">
        <f ca="1">IFERROR(__xludf.DUMMYFUNCTION("""COMPUTED_VALUE"""),6444001)</f>
        <v>6444001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IFERROR(__xludf.DUMMYFUNCTION("""COMPUTED_VALUE"""),50.83)</f>
        <v>50.83</v>
      </c>
      <c r="D34" s="141">
        <f ca="1">IFERROR(__xludf.DUMMYFUNCTION("""COMPUTED_VALUE"""),50.94)</f>
        <v>50.94</v>
      </c>
      <c r="E34" s="141">
        <f ca="1">IFERROR(__xludf.DUMMYFUNCTION("""COMPUTED_VALUE"""),50.65)</f>
        <v>50.65</v>
      </c>
      <c r="F34" s="141">
        <f ca="1">IFERROR(__xludf.DUMMYFUNCTION("""COMPUTED_VALUE"""),50.75)</f>
        <v>50.75</v>
      </c>
      <c r="G34" s="143">
        <f ca="1">IFERROR(__xludf.DUMMYFUNCTION("""COMPUTED_VALUE"""),5728731)</f>
        <v>5728731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IFERROR(__xludf.DUMMYFUNCTION("""COMPUTED_VALUE"""),50.6)</f>
        <v>50.6</v>
      </c>
      <c r="D35" s="141">
        <f ca="1">IFERROR(__xludf.DUMMYFUNCTION("""COMPUTED_VALUE"""),50.73)</f>
        <v>50.73</v>
      </c>
      <c r="E35" s="141">
        <f ca="1">IFERROR(__xludf.DUMMYFUNCTION("""COMPUTED_VALUE"""),50.57)</f>
        <v>50.57</v>
      </c>
      <c r="F35" s="141">
        <f ca="1">IFERROR(__xludf.DUMMYFUNCTION("""COMPUTED_VALUE"""),50.69)</f>
        <v>50.69</v>
      </c>
      <c r="G35" s="143">
        <f ca="1">IFERROR(__xludf.DUMMYFUNCTION("""COMPUTED_VALUE"""),5063943)</f>
        <v>5063943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IFERROR(__xludf.DUMMYFUNCTION("""COMPUTED_VALUE"""),50.59)</f>
        <v>50.59</v>
      </c>
      <c r="D36" s="141">
        <f ca="1">IFERROR(__xludf.DUMMYFUNCTION("""COMPUTED_VALUE"""),50.77)</f>
        <v>50.77</v>
      </c>
      <c r="E36" s="141">
        <f ca="1">IFERROR(__xludf.DUMMYFUNCTION("""COMPUTED_VALUE"""),50.5)</f>
        <v>50.5</v>
      </c>
      <c r="F36" s="141">
        <f ca="1">IFERROR(__xludf.DUMMYFUNCTION("""COMPUTED_VALUE"""),50.63)</f>
        <v>50.63</v>
      </c>
      <c r="G36" s="143">
        <f ca="1">IFERROR(__xludf.DUMMYFUNCTION("""COMPUTED_VALUE"""),5237230)</f>
        <v>5237230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IFERROR(__xludf.DUMMYFUNCTION("""COMPUTED_VALUE"""),50.84)</f>
        <v>50.84</v>
      </c>
      <c r="D37" s="141">
        <f ca="1">IFERROR(__xludf.DUMMYFUNCTION("""COMPUTED_VALUE"""),51.25)</f>
        <v>51.25</v>
      </c>
      <c r="E37" s="141">
        <f ca="1">IFERROR(__xludf.DUMMYFUNCTION("""COMPUTED_VALUE"""),50.81)</f>
        <v>50.81</v>
      </c>
      <c r="F37" s="141">
        <f ca="1">IFERROR(__xludf.DUMMYFUNCTION("""COMPUTED_VALUE"""),51.21)</f>
        <v>51.21</v>
      </c>
      <c r="G37" s="143">
        <f ca="1">IFERROR(__xludf.DUMMYFUNCTION("""COMPUTED_VALUE"""),6045856)</f>
        <v>6045856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IFERROR(__xludf.DUMMYFUNCTION("""COMPUTED_VALUE"""),51.73)</f>
        <v>51.73</v>
      </c>
      <c r="D38" s="141">
        <f ca="1">IFERROR(__xludf.DUMMYFUNCTION("""COMPUTED_VALUE"""),51.87)</f>
        <v>51.87</v>
      </c>
      <c r="E38" s="141">
        <f ca="1">IFERROR(__xludf.DUMMYFUNCTION("""COMPUTED_VALUE"""),51.7)</f>
        <v>51.7</v>
      </c>
      <c r="F38" s="141">
        <f ca="1">IFERROR(__xludf.DUMMYFUNCTION("""COMPUTED_VALUE"""),51.79)</f>
        <v>51.79</v>
      </c>
      <c r="G38" s="143">
        <f ca="1">IFERROR(__xludf.DUMMYFUNCTION("""COMPUTED_VALUE"""),7072379)</f>
        <v>7072379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IFERROR(__xludf.DUMMYFUNCTION("""COMPUTED_VALUE"""),51.26)</f>
        <v>51.26</v>
      </c>
      <c r="D39" s="141">
        <f ca="1">IFERROR(__xludf.DUMMYFUNCTION("""COMPUTED_VALUE"""),51.35)</f>
        <v>51.35</v>
      </c>
      <c r="E39" s="141">
        <f ca="1">IFERROR(__xludf.DUMMYFUNCTION("""COMPUTED_VALUE"""),51.06)</f>
        <v>51.06</v>
      </c>
      <c r="F39" s="141">
        <f ca="1">IFERROR(__xludf.DUMMYFUNCTION("""COMPUTED_VALUE"""),51.21)</f>
        <v>51.21</v>
      </c>
      <c r="G39" s="143">
        <f ca="1">IFERROR(__xludf.DUMMYFUNCTION("""COMPUTED_VALUE"""),9942435)</f>
        <v>9942435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IFERROR(__xludf.DUMMYFUNCTION("""COMPUTED_VALUE"""),51.42)</f>
        <v>51.42</v>
      </c>
      <c r="D40" s="141">
        <f ca="1">IFERROR(__xludf.DUMMYFUNCTION("""COMPUTED_VALUE"""),51.5)</f>
        <v>51.5</v>
      </c>
      <c r="E40" s="141">
        <f ca="1">IFERROR(__xludf.DUMMYFUNCTION("""COMPUTED_VALUE"""),51.32)</f>
        <v>51.32</v>
      </c>
      <c r="F40" s="141">
        <f ca="1">IFERROR(__xludf.DUMMYFUNCTION("""COMPUTED_VALUE"""),51.36)</f>
        <v>51.36</v>
      </c>
      <c r="G40" s="143">
        <f ca="1">IFERROR(__xludf.DUMMYFUNCTION("""COMPUTED_VALUE"""),5513083)</f>
        <v>5513083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IFERROR(__xludf.DUMMYFUNCTION("""COMPUTED_VALUE"""),51.69)</f>
        <v>51.69</v>
      </c>
      <c r="D41" s="141">
        <f ca="1">IFERROR(__xludf.DUMMYFUNCTION("""COMPUTED_VALUE"""),51.78)</f>
        <v>51.78</v>
      </c>
      <c r="E41" s="141">
        <f ca="1">IFERROR(__xludf.DUMMYFUNCTION("""COMPUTED_VALUE"""),51.61)</f>
        <v>51.61</v>
      </c>
      <c r="F41" s="141">
        <f ca="1">IFERROR(__xludf.DUMMYFUNCTION("""COMPUTED_VALUE"""),51.75)</f>
        <v>51.75</v>
      </c>
      <c r="G41" s="143">
        <f ca="1">IFERROR(__xludf.DUMMYFUNCTION("""COMPUTED_VALUE"""),7465866)</f>
        <v>7465866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IFERROR(__xludf.DUMMYFUNCTION("""COMPUTED_VALUE"""),51.67)</f>
        <v>51.67</v>
      </c>
      <c r="D42" s="141">
        <f ca="1">IFERROR(__xludf.DUMMYFUNCTION("""COMPUTED_VALUE"""),51.67)</f>
        <v>51.67</v>
      </c>
      <c r="E42" s="141">
        <f ca="1">IFERROR(__xludf.DUMMYFUNCTION("""COMPUTED_VALUE"""),51.34)</f>
        <v>51.34</v>
      </c>
      <c r="F42" s="141">
        <f ca="1">IFERROR(__xludf.DUMMYFUNCTION("""COMPUTED_VALUE"""),51.38)</f>
        <v>51.38</v>
      </c>
      <c r="G42" s="143">
        <f ca="1">IFERROR(__xludf.DUMMYFUNCTION("""COMPUTED_VALUE"""),7113545)</f>
        <v>7113545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IFERROR(__xludf.DUMMYFUNCTION("""COMPUTED_VALUE"""),51.35)</f>
        <v>51.35</v>
      </c>
      <c r="D43" s="141">
        <f ca="1">IFERROR(__xludf.DUMMYFUNCTION("""COMPUTED_VALUE"""),51.39)</f>
        <v>51.39</v>
      </c>
      <c r="E43" s="141">
        <f ca="1">IFERROR(__xludf.DUMMYFUNCTION("""COMPUTED_VALUE"""),51.07)</f>
        <v>51.07</v>
      </c>
      <c r="F43" s="141">
        <f ca="1">IFERROR(__xludf.DUMMYFUNCTION("""COMPUTED_VALUE"""),51.36)</f>
        <v>51.36</v>
      </c>
      <c r="G43" s="143">
        <f ca="1">IFERROR(__xludf.DUMMYFUNCTION("""COMPUTED_VALUE"""),8344299)</f>
        <v>8344299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IFERROR(__xludf.DUMMYFUNCTION("""COMPUTED_VALUE"""),51.23)</f>
        <v>51.23</v>
      </c>
      <c r="D44" s="141">
        <f ca="1">IFERROR(__xludf.DUMMYFUNCTION("""COMPUTED_VALUE"""),51.35)</f>
        <v>51.35</v>
      </c>
      <c r="E44" s="141">
        <f ca="1">IFERROR(__xludf.DUMMYFUNCTION("""COMPUTED_VALUE"""),51.15)</f>
        <v>51.15</v>
      </c>
      <c r="F44" s="141">
        <f ca="1">IFERROR(__xludf.DUMMYFUNCTION("""COMPUTED_VALUE"""),51.27)</f>
        <v>51.27</v>
      </c>
      <c r="G44" s="143">
        <f ca="1">IFERROR(__xludf.DUMMYFUNCTION("""COMPUTED_VALUE"""),5551782)</f>
        <v>5551782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IFERROR(__xludf.DUMMYFUNCTION("""COMPUTED_VALUE"""),51.53)</f>
        <v>51.53</v>
      </c>
      <c r="D45" s="141">
        <f ca="1">IFERROR(__xludf.DUMMYFUNCTION("""COMPUTED_VALUE"""),52.2)</f>
        <v>52.2</v>
      </c>
      <c r="E45" s="141">
        <f ca="1">IFERROR(__xludf.DUMMYFUNCTION("""COMPUTED_VALUE"""),51.47)</f>
        <v>51.47</v>
      </c>
      <c r="F45" s="141">
        <f ca="1">IFERROR(__xludf.DUMMYFUNCTION("""COMPUTED_VALUE"""),52.17)</f>
        <v>52.17</v>
      </c>
      <c r="G45" s="143">
        <f ca="1">IFERROR(__xludf.DUMMYFUNCTION("""COMPUTED_VALUE"""),6505437)</f>
        <v>6505437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IFERROR(__xludf.DUMMYFUNCTION("""COMPUTED_VALUE"""),52.11)</f>
        <v>52.11</v>
      </c>
      <c r="D46" s="141">
        <f ca="1">IFERROR(__xludf.DUMMYFUNCTION("""COMPUTED_VALUE"""),52.25)</f>
        <v>52.25</v>
      </c>
      <c r="E46" s="141">
        <f ca="1">IFERROR(__xludf.DUMMYFUNCTION("""COMPUTED_VALUE"""),51.95)</f>
        <v>51.95</v>
      </c>
      <c r="F46" s="141">
        <f ca="1">IFERROR(__xludf.DUMMYFUNCTION("""COMPUTED_VALUE"""),51.95)</f>
        <v>51.95</v>
      </c>
      <c r="G46" s="143">
        <f ca="1">IFERROR(__xludf.DUMMYFUNCTION("""COMPUTED_VALUE"""),6631294)</f>
        <v>6631294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IFERROR(__xludf.DUMMYFUNCTION("""COMPUTED_VALUE"""),51.92)</f>
        <v>51.92</v>
      </c>
      <c r="D47" s="141">
        <f ca="1">IFERROR(__xludf.DUMMYFUNCTION("""COMPUTED_VALUE"""),51.94)</f>
        <v>51.94</v>
      </c>
      <c r="E47" s="141">
        <f ca="1">IFERROR(__xludf.DUMMYFUNCTION("""COMPUTED_VALUE"""),51.76)</f>
        <v>51.76</v>
      </c>
      <c r="F47" s="141">
        <f ca="1">IFERROR(__xludf.DUMMYFUNCTION("""COMPUTED_VALUE"""),51.84)</f>
        <v>51.84</v>
      </c>
      <c r="G47" s="143">
        <f ca="1">IFERROR(__xludf.DUMMYFUNCTION("""COMPUTED_VALUE"""),8479257)</f>
        <v>8479257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IFERROR(__xludf.DUMMYFUNCTION("""COMPUTED_VALUE"""),51.25)</f>
        <v>51.25</v>
      </c>
      <c r="D48" s="141">
        <f ca="1">IFERROR(__xludf.DUMMYFUNCTION("""COMPUTED_VALUE"""),51.51)</f>
        <v>51.51</v>
      </c>
      <c r="E48" s="141">
        <f ca="1">IFERROR(__xludf.DUMMYFUNCTION("""COMPUTED_VALUE"""),51.18)</f>
        <v>51.18</v>
      </c>
      <c r="F48" s="141">
        <f ca="1">IFERROR(__xludf.DUMMYFUNCTION("""COMPUTED_VALUE"""),51.49)</f>
        <v>51.49</v>
      </c>
      <c r="G48" s="143">
        <f ca="1">IFERROR(__xludf.DUMMYFUNCTION("""COMPUTED_VALUE"""),5998662)</f>
        <v>5998662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IFERROR(__xludf.DUMMYFUNCTION("""COMPUTED_VALUE"""),51.46)</f>
        <v>51.46</v>
      </c>
      <c r="D49" s="141">
        <f ca="1">IFERROR(__xludf.DUMMYFUNCTION("""COMPUTED_VALUE"""),51.68)</f>
        <v>51.68</v>
      </c>
      <c r="E49" s="141">
        <f ca="1">IFERROR(__xludf.DUMMYFUNCTION("""COMPUTED_VALUE"""),51.41)</f>
        <v>51.41</v>
      </c>
      <c r="F49" s="141">
        <f ca="1">IFERROR(__xludf.DUMMYFUNCTION("""COMPUTED_VALUE"""),51.68)</f>
        <v>51.68</v>
      </c>
      <c r="G49" s="143">
        <f ca="1">IFERROR(__xludf.DUMMYFUNCTION("""COMPUTED_VALUE"""),5949836)</f>
        <v>5949836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IFERROR(__xludf.DUMMYFUNCTION("""COMPUTED_VALUE"""),51.5)</f>
        <v>51.5</v>
      </c>
      <c r="D50" s="141">
        <f ca="1">IFERROR(__xludf.DUMMYFUNCTION("""COMPUTED_VALUE"""),51.59)</f>
        <v>51.59</v>
      </c>
      <c r="E50" s="141">
        <f ca="1">IFERROR(__xludf.DUMMYFUNCTION("""COMPUTED_VALUE"""),51.33)</f>
        <v>51.33</v>
      </c>
      <c r="F50" s="141">
        <f ca="1">IFERROR(__xludf.DUMMYFUNCTION("""COMPUTED_VALUE"""),51.53)</f>
        <v>51.53</v>
      </c>
      <c r="G50" s="143">
        <f ca="1">IFERROR(__xludf.DUMMYFUNCTION("""COMPUTED_VALUE"""),6356606)</f>
        <v>6356606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IFERROR(__xludf.DUMMYFUNCTION("""COMPUTED_VALUE"""),51.07)</f>
        <v>51.07</v>
      </c>
      <c r="D51" s="141">
        <f ca="1">IFERROR(__xludf.DUMMYFUNCTION("""COMPUTED_VALUE"""),51.49)</f>
        <v>51.49</v>
      </c>
      <c r="E51" s="141">
        <f ca="1">IFERROR(__xludf.DUMMYFUNCTION("""COMPUTED_VALUE"""),51.01)</f>
        <v>51.01</v>
      </c>
      <c r="F51" s="141">
        <f ca="1">IFERROR(__xludf.DUMMYFUNCTION("""COMPUTED_VALUE"""),51.46)</f>
        <v>51.46</v>
      </c>
      <c r="G51" s="143">
        <f ca="1">IFERROR(__xludf.DUMMYFUNCTION("""COMPUTED_VALUE"""),10064647)</f>
        <v>10064647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IFERROR(__xludf.DUMMYFUNCTION("""COMPUTED_VALUE"""),51.56)</f>
        <v>51.56</v>
      </c>
      <c r="D52" s="141">
        <f ca="1">IFERROR(__xludf.DUMMYFUNCTION("""COMPUTED_VALUE"""),51.62)</f>
        <v>51.62</v>
      </c>
      <c r="E52" s="141">
        <f ca="1">IFERROR(__xludf.DUMMYFUNCTION("""COMPUTED_VALUE"""),51.44)</f>
        <v>51.44</v>
      </c>
      <c r="F52" s="141">
        <f ca="1">IFERROR(__xludf.DUMMYFUNCTION("""COMPUTED_VALUE"""),51.6)</f>
        <v>51.6</v>
      </c>
      <c r="G52" s="143">
        <f ca="1">IFERROR(__xludf.DUMMYFUNCTION("""COMPUTED_VALUE"""),10285328)</f>
        <v>10285328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IFERROR(__xludf.DUMMYFUNCTION("""COMPUTED_VALUE"""),51.23)</f>
        <v>51.23</v>
      </c>
      <c r="D53" s="141">
        <f ca="1">IFERROR(__xludf.DUMMYFUNCTION("""COMPUTED_VALUE"""),51.4)</f>
        <v>51.4</v>
      </c>
      <c r="E53" s="141">
        <f ca="1">IFERROR(__xludf.DUMMYFUNCTION("""COMPUTED_VALUE"""),51.1)</f>
        <v>51.1</v>
      </c>
      <c r="F53" s="141">
        <f ca="1">IFERROR(__xludf.DUMMYFUNCTION("""COMPUTED_VALUE"""),51.38)</f>
        <v>51.38</v>
      </c>
      <c r="G53" s="143">
        <f ca="1">IFERROR(__xludf.DUMMYFUNCTION("""COMPUTED_VALUE"""),10215594)</f>
        <v>10215594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IFERROR(__xludf.DUMMYFUNCTION("""COMPUTED_VALUE"""),52.09)</f>
        <v>52.09</v>
      </c>
      <c r="D54" s="141">
        <f ca="1">IFERROR(__xludf.DUMMYFUNCTION("""COMPUTED_VALUE"""),52.18)</f>
        <v>52.18</v>
      </c>
      <c r="E54" s="141">
        <f ca="1">IFERROR(__xludf.DUMMYFUNCTION("""COMPUTED_VALUE"""),51.77)</f>
        <v>51.77</v>
      </c>
      <c r="F54" s="141">
        <f ca="1">IFERROR(__xludf.DUMMYFUNCTION("""COMPUTED_VALUE"""),51.97)</f>
        <v>51.97</v>
      </c>
      <c r="G54" s="143">
        <f ca="1">IFERROR(__xludf.DUMMYFUNCTION("""COMPUTED_VALUE"""),11562221)</f>
        <v>11562221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IFERROR(__xludf.DUMMYFUNCTION("""COMPUTED_VALUE"""),52.29)</f>
        <v>52.29</v>
      </c>
      <c r="D55" s="141">
        <f ca="1">IFERROR(__xludf.DUMMYFUNCTION("""COMPUTED_VALUE"""),52.48)</f>
        <v>52.48</v>
      </c>
      <c r="E55" s="141">
        <f ca="1">IFERROR(__xludf.DUMMYFUNCTION("""COMPUTED_VALUE"""),52.22)</f>
        <v>52.22</v>
      </c>
      <c r="F55" s="141">
        <f ca="1">IFERROR(__xludf.DUMMYFUNCTION("""COMPUTED_VALUE"""),52.48)</f>
        <v>52.48</v>
      </c>
      <c r="G55" s="143">
        <f ca="1">IFERROR(__xludf.DUMMYFUNCTION("""COMPUTED_VALUE"""),8471704)</f>
        <v>8471704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IFERROR(__xludf.DUMMYFUNCTION("""COMPUTED_VALUE"""),52.65)</f>
        <v>52.65</v>
      </c>
      <c r="D56" s="141">
        <f ca="1">IFERROR(__xludf.DUMMYFUNCTION("""COMPUTED_VALUE"""),52.78)</f>
        <v>52.78</v>
      </c>
      <c r="E56" s="141">
        <f ca="1">IFERROR(__xludf.DUMMYFUNCTION("""COMPUTED_VALUE"""),52.61)</f>
        <v>52.61</v>
      </c>
      <c r="F56" s="141">
        <f ca="1">IFERROR(__xludf.DUMMYFUNCTION("""COMPUTED_VALUE"""),52.68)</f>
        <v>52.68</v>
      </c>
      <c r="G56" s="143">
        <f ca="1">IFERROR(__xludf.DUMMYFUNCTION("""COMPUTED_VALUE"""),9703131)</f>
        <v>9703131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IFERROR(__xludf.DUMMYFUNCTION("""COMPUTED_VALUE"""),52.98)</f>
        <v>52.98</v>
      </c>
      <c r="D57" s="141">
        <f ca="1">IFERROR(__xludf.DUMMYFUNCTION("""COMPUTED_VALUE"""),53.11)</f>
        <v>53.11</v>
      </c>
      <c r="E57" s="141">
        <f ca="1">IFERROR(__xludf.DUMMYFUNCTION("""COMPUTED_VALUE"""),52.88)</f>
        <v>52.88</v>
      </c>
      <c r="F57" s="141">
        <f ca="1">IFERROR(__xludf.DUMMYFUNCTION("""COMPUTED_VALUE"""),52.92)</f>
        <v>52.92</v>
      </c>
      <c r="G57" s="143">
        <f ca="1">IFERROR(__xludf.DUMMYFUNCTION("""COMPUTED_VALUE"""),9247558)</f>
        <v>9247558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IFERROR(__xludf.DUMMYFUNCTION("""COMPUTED_VALUE"""),53.24)</f>
        <v>53.24</v>
      </c>
      <c r="D58" s="141">
        <f ca="1">IFERROR(__xludf.DUMMYFUNCTION("""COMPUTED_VALUE"""),53.59)</f>
        <v>53.59</v>
      </c>
      <c r="E58" s="141">
        <f ca="1">IFERROR(__xludf.DUMMYFUNCTION("""COMPUTED_VALUE"""),53.2)</f>
        <v>53.2</v>
      </c>
      <c r="F58" s="141">
        <f ca="1">IFERROR(__xludf.DUMMYFUNCTION("""COMPUTED_VALUE"""),53.58)</f>
        <v>53.58</v>
      </c>
      <c r="G58" s="143">
        <f ca="1">IFERROR(__xludf.DUMMYFUNCTION("""COMPUTED_VALUE"""),8570795)</f>
        <v>8570795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IFERROR(__xludf.DUMMYFUNCTION("""COMPUTED_VALUE"""),53.52)</f>
        <v>53.52</v>
      </c>
      <c r="D59" s="141">
        <f ca="1">IFERROR(__xludf.DUMMYFUNCTION("""COMPUTED_VALUE"""),53.6)</f>
        <v>53.6</v>
      </c>
      <c r="E59" s="141">
        <f ca="1">IFERROR(__xludf.DUMMYFUNCTION("""COMPUTED_VALUE"""),53.43)</f>
        <v>53.43</v>
      </c>
      <c r="F59" s="141">
        <f ca="1">IFERROR(__xludf.DUMMYFUNCTION("""COMPUTED_VALUE"""),53.48)</f>
        <v>53.48</v>
      </c>
      <c r="G59" s="143">
        <f ca="1">IFERROR(__xludf.DUMMYFUNCTION("""COMPUTED_VALUE"""),7096344)</f>
        <v>7096344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IFERROR(__xludf.DUMMYFUNCTION("""COMPUTED_VALUE"""),53.82)</f>
        <v>53.82</v>
      </c>
      <c r="D60" s="141">
        <f ca="1">IFERROR(__xludf.DUMMYFUNCTION("""COMPUTED_VALUE"""),53.9)</f>
        <v>53.9</v>
      </c>
      <c r="E60" s="141">
        <f ca="1">IFERROR(__xludf.DUMMYFUNCTION("""COMPUTED_VALUE"""),53.7)</f>
        <v>53.7</v>
      </c>
      <c r="F60" s="141">
        <f ca="1">IFERROR(__xludf.DUMMYFUNCTION("""COMPUTED_VALUE"""),53.84)</f>
        <v>53.84</v>
      </c>
      <c r="G60" s="143">
        <f ca="1">IFERROR(__xludf.DUMMYFUNCTION("""COMPUTED_VALUE"""),11818355)</f>
        <v>11818355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IFERROR(__xludf.DUMMYFUNCTION("""COMPUTED_VALUE"""),54.06)</f>
        <v>54.06</v>
      </c>
      <c r="D61" s="141">
        <f ca="1">IFERROR(__xludf.DUMMYFUNCTION("""COMPUTED_VALUE"""),54.23)</f>
        <v>54.23</v>
      </c>
      <c r="E61" s="141">
        <f ca="1">IFERROR(__xludf.DUMMYFUNCTION("""COMPUTED_VALUE"""),53.93)</f>
        <v>53.93</v>
      </c>
      <c r="F61" s="141">
        <f ca="1">IFERROR(__xludf.DUMMYFUNCTION("""COMPUTED_VALUE"""),54.18)</f>
        <v>54.18</v>
      </c>
      <c r="G61" s="143">
        <f ca="1">IFERROR(__xludf.DUMMYFUNCTION("""COMPUTED_VALUE"""),9032522)</f>
        <v>9032522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IFERROR(__xludf.DUMMYFUNCTION("""COMPUTED_VALUE"""),54.5)</f>
        <v>54.5</v>
      </c>
      <c r="D62" s="141">
        <f ca="1">IFERROR(__xludf.DUMMYFUNCTION("""COMPUTED_VALUE"""),54.86)</f>
        <v>54.86</v>
      </c>
      <c r="E62" s="141">
        <f ca="1">IFERROR(__xludf.DUMMYFUNCTION("""COMPUTED_VALUE"""),54.26)</f>
        <v>54.26</v>
      </c>
      <c r="F62" s="141">
        <f ca="1">IFERROR(__xludf.DUMMYFUNCTION("""COMPUTED_VALUE"""),54.52)</f>
        <v>54.52</v>
      </c>
      <c r="G62" s="143">
        <f ca="1">IFERROR(__xludf.DUMMYFUNCTION("""COMPUTED_VALUE"""),11018133)</f>
        <v>11018133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IFERROR(__xludf.DUMMYFUNCTION("""COMPUTED_VALUE"""),54.15)</f>
        <v>54.15</v>
      </c>
      <c r="D63" s="141">
        <f ca="1">IFERROR(__xludf.DUMMYFUNCTION("""COMPUTED_VALUE"""),54.34)</f>
        <v>54.34</v>
      </c>
      <c r="E63" s="141">
        <f ca="1">IFERROR(__xludf.DUMMYFUNCTION("""COMPUTED_VALUE"""),54.01)</f>
        <v>54.01</v>
      </c>
      <c r="F63" s="141">
        <f ca="1">IFERROR(__xludf.DUMMYFUNCTION("""COMPUTED_VALUE"""),54.27)</f>
        <v>54.27</v>
      </c>
      <c r="G63" s="143">
        <f ca="1">IFERROR(__xludf.DUMMYFUNCTION("""COMPUTED_VALUE"""),10529879)</f>
        <v>10529879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IFERROR(__xludf.DUMMYFUNCTION("""COMPUTED_VALUE"""),54.1)</f>
        <v>54.1</v>
      </c>
      <c r="D64" s="141">
        <f ca="1">IFERROR(__xludf.DUMMYFUNCTION("""COMPUTED_VALUE"""),54.1)</f>
        <v>54.1</v>
      </c>
      <c r="E64" s="141">
        <f ca="1">IFERROR(__xludf.DUMMYFUNCTION("""COMPUTED_VALUE"""),53.87)</f>
        <v>53.87</v>
      </c>
      <c r="F64" s="141">
        <f ca="1">IFERROR(__xludf.DUMMYFUNCTION("""COMPUTED_VALUE"""),53.92)</f>
        <v>53.92</v>
      </c>
      <c r="G64" s="143">
        <f ca="1">IFERROR(__xludf.DUMMYFUNCTION("""COMPUTED_VALUE"""),8883521)</f>
        <v>8883521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IFERROR(__xludf.DUMMYFUNCTION("""COMPUTED_VALUE"""),53.94)</f>
        <v>53.94</v>
      </c>
      <c r="D65" s="141">
        <f ca="1">IFERROR(__xludf.DUMMYFUNCTION("""COMPUTED_VALUE"""),54.11)</f>
        <v>54.11</v>
      </c>
      <c r="E65" s="141">
        <f ca="1">IFERROR(__xludf.DUMMYFUNCTION("""COMPUTED_VALUE"""),53.87)</f>
        <v>53.87</v>
      </c>
      <c r="F65" s="141">
        <f ca="1">IFERROR(__xludf.DUMMYFUNCTION("""COMPUTED_VALUE"""),54.07)</f>
        <v>54.07</v>
      </c>
      <c r="G65" s="143">
        <f ca="1">IFERROR(__xludf.DUMMYFUNCTION("""COMPUTED_VALUE"""),7307040)</f>
        <v>7307040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IFERROR(__xludf.DUMMYFUNCTION("""COMPUTED_VALUE"""),54.15)</f>
        <v>54.15</v>
      </c>
      <c r="D66" s="141">
        <f ca="1">IFERROR(__xludf.DUMMYFUNCTION("""COMPUTED_VALUE"""),54.28)</f>
        <v>54.28</v>
      </c>
      <c r="E66" s="141">
        <f ca="1">IFERROR(__xludf.DUMMYFUNCTION("""COMPUTED_VALUE"""),54.01)</f>
        <v>54.01</v>
      </c>
      <c r="F66" s="141">
        <f ca="1">IFERROR(__xludf.DUMMYFUNCTION("""COMPUTED_VALUE"""),54.06)</f>
        <v>54.06</v>
      </c>
      <c r="G66" s="143">
        <f ca="1">IFERROR(__xludf.DUMMYFUNCTION("""COMPUTED_VALUE"""),7974110)</f>
        <v>7974110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IFERROR(__xludf.DUMMYFUNCTION("""COMPUTED_VALUE"""),54.02)</f>
        <v>54.02</v>
      </c>
      <c r="D67" s="141">
        <f ca="1">IFERROR(__xludf.DUMMYFUNCTION("""COMPUTED_VALUE"""),54.17)</f>
        <v>54.17</v>
      </c>
      <c r="E67" s="141">
        <f ca="1">IFERROR(__xludf.DUMMYFUNCTION("""COMPUTED_VALUE"""),53.9)</f>
        <v>53.9</v>
      </c>
      <c r="F67" s="141">
        <f ca="1">IFERROR(__xludf.DUMMYFUNCTION("""COMPUTED_VALUE"""),53.96)</f>
        <v>53.96</v>
      </c>
      <c r="G67" s="143">
        <f ca="1">IFERROR(__xludf.DUMMYFUNCTION("""COMPUTED_VALUE"""),12004363)</f>
        <v>12004363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IFERROR(__xludf.DUMMYFUNCTION("""COMPUTED_VALUE"""),53.63)</f>
        <v>53.63</v>
      </c>
      <c r="D68" s="141">
        <f ca="1">IFERROR(__xludf.DUMMYFUNCTION("""COMPUTED_VALUE"""),53.8)</f>
        <v>53.8</v>
      </c>
      <c r="E68" s="141">
        <f ca="1">IFERROR(__xludf.DUMMYFUNCTION("""COMPUTED_VALUE"""),53.5)</f>
        <v>53.5</v>
      </c>
      <c r="F68" s="141">
        <f ca="1">IFERROR(__xludf.DUMMYFUNCTION("""COMPUTED_VALUE"""),53.65)</f>
        <v>53.65</v>
      </c>
      <c r="G68" s="143">
        <f ca="1">IFERROR(__xludf.DUMMYFUNCTION("""COMPUTED_VALUE"""),7593738)</f>
        <v>7593738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IFERROR(__xludf.DUMMYFUNCTION("""COMPUTED_VALUE"""),53.3)</f>
        <v>53.3</v>
      </c>
      <c r="D69" s="141">
        <f ca="1">IFERROR(__xludf.DUMMYFUNCTION("""COMPUTED_VALUE"""),53.56)</f>
        <v>53.56</v>
      </c>
      <c r="E69" s="141">
        <f ca="1">IFERROR(__xludf.DUMMYFUNCTION("""COMPUTED_VALUE"""),53.24)</f>
        <v>53.24</v>
      </c>
      <c r="F69" s="141">
        <f ca="1">IFERROR(__xludf.DUMMYFUNCTION("""COMPUTED_VALUE"""),53.55)</f>
        <v>53.55</v>
      </c>
      <c r="G69" s="143">
        <f ca="1">IFERROR(__xludf.DUMMYFUNCTION("""COMPUTED_VALUE"""),8561443)</f>
        <v>8561443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IFERROR(__xludf.DUMMYFUNCTION("""COMPUTED_VALUE"""),53.98)</f>
        <v>53.98</v>
      </c>
      <c r="D70" s="141">
        <f ca="1">IFERROR(__xludf.DUMMYFUNCTION("""COMPUTED_VALUE"""),54.18)</f>
        <v>54.18</v>
      </c>
      <c r="E70" s="141">
        <f ca="1">IFERROR(__xludf.DUMMYFUNCTION("""COMPUTED_VALUE"""),53.92)</f>
        <v>53.92</v>
      </c>
      <c r="F70" s="141">
        <f ca="1">IFERROR(__xludf.DUMMYFUNCTION("""COMPUTED_VALUE"""),53.94)</f>
        <v>53.94</v>
      </c>
      <c r="G70" s="143">
        <f ca="1">IFERROR(__xludf.DUMMYFUNCTION("""COMPUTED_VALUE"""),7232751)</f>
        <v>7232751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IFERROR(__xludf.DUMMYFUNCTION("""COMPUTED_VALUE"""),54.13)</f>
        <v>54.13</v>
      </c>
      <c r="D71" s="141">
        <f ca="1">IFERROR(__xludf.DUMMYFUNCTION("""COMPUTED_VALUE"""),54.25)</f>
        <v>54.25</v>
      </c>
      <c r="E71" s="141">
        <f ca="1">IFERROR(__xludf.DUMMYFUNCTION("""COMPUTED_VALUE"""),54.05)</f>
        <v>54.05</v>
      </c>
      <c r="F71" s="141">
        <f ca="1">IFERROR(__xludf.DUMMYFUNCTION("""COMPUTED_VALUE"""),54.18)</f>
        <v>54.18</v>
      </c>
      <c r="G71" s="143">
        <f ca="1">IFERROR(__xludf.DUMMYFUNCTION("""COMPUTED_VALUE"""),15944258)</f>
        <v>15944258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IFERROR(__xludf.DUMMYFUNCTION("""COMPUTED_VALUE"""),54.35)</f>
        <v>54.35</v>
      </c>
      <c r="D72" s="141">
        <f ca="1">IFERROR(__xludf.DUMMYFUNCTION("""COMPUTED_VALUE"""),54.58)</f>
        <v>54.58</v>
      </c>
      <c r="E72" s="141">
        <f ca="1">IFERROR(__xludf.DUMMYFUNCTION("""COMPUTED_VALUE"""),54.35)</f>
        <v>54.35</v>
      </c>
      <c r="F72" s="141">
        <f ca="1">IFERROR(__xludf.DUMMYFUNCTION("""COMPUTED_VALUE"""),54.52)</f>
        <v>54.52</v>
      </c>
      <c r="G72" s="143">
        <f ca="1">IFERROR(__xludf.DUMMYFUNCTION("""COMPUTED_VALUE"""),11431179)</f>
        <v>11431179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IFERROR(__xludf.DUMMYFUNCTION("""COMPUTED_VALUE"""),54.9)</f>
        <v>54.9</v>
      </c>
      <c r="D73" s="141">
        <f ca="1">IFERROR(__xludf.DUMMYFUNCTION("""COMPUTED_VALUE"""),54.94)</f>
        <v>54.94</v>
      </c>
      <c r="E73" s="141">
        <f ca="1">IFERROR(__xludf.DUMMYFUNCTION("""COMPUTED_VALUE"""),54.48)</f>
        <v>54.48</v>
      </c>
      <c r="F73" s="141">
        <f ca="1">IFERROR(__xludf.DUMMYFUNCTION("""COMPUTED_VALUE"""),54.67)</f>
        <v>54.67</v>
      </c>
      <c r="G73" s="143">
        <f ca="1">IFERROR(__xludf.DUMMYFUNCTION("""COMPUTED_VALUE"""),9704403)</f>
        <v>9704403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IFERROR(__xludf.DUMMYFUNCTION("""COMPUTED_VALUE"""),54.88)</f>
        <v>54.88</v>
      </c>
      <c r="D74" s="141">
        <f ca="1">IFERROR(__xludf.DUMMYFUNCTION("""COMPUTED_VALUE"""),54.94)</f>
        <v>54.94</v>
      </c>
      <c r="E74" s="141">
        <f ca="1">IFERROR(__xludf.DUMMYFUNCTION("""COMPUTED_VALUE"""),54.64)</f>
        <v>54.64</v>
      </c>
      <c r="F74" s="141">
        <f ca="1">IFERROR(__xludf.DUMMYFUNCTION("""COMPUTED_VALUE"""),54.79)</f>
        <v>54.79</v>
      </c>
      <c r="G74" s="143">
        <f ca="1">IFERROR(__xludf.DUMMYFUNCTION("""COMPUTED_VALUE"""),8221974)</f>
        <v>8221974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IFERROR(__xludf.DUMMYFUNCTION("""COMPUTED_VALUE"""),54.88)</f>
        <v>54.88</v>
      </c>
      <c r="D75" s="141">
        <f ca="1">IFERROR(__xludf.DUMMYFUNCTION("""COMPUTED_VALUE"""),55.04)</f>
        <v>55.04</v>
      </c>
      <c r="E75" s="141">
        <f ca="1">IFERROR(__xludf.DUMMYFUNCTION("""COMPUTED_VALUE"""),54.82)</f>
        <v>54.82</v>
      </c>
      <c r="F75" s="141">
        <f ca="1">IFERROR(__xludf.DUMMYFUNCTION("""COMPUTED_VALUE"""),54.98)</f>
        <v>54.98</v>
      </c>
      <c r="G75" s="143">
        <f ca="1">IFERROR(__xludf.DUMMYFUNCTION("""COMPUTED_VALUE"""),8798675)</f>
        <v>8798675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IFERROR(__xludf.DUMMYFUNCTION("""COMPUTED_VALUE"""),55.19)</f>
        <v>55.19</v>
      </c>
      <c r="D76" s="141">
        <f ca="1">IFERROR(__xludf.DUMMYFUNCTION("""COMPUTED_VALUE"""),55.19)</f>
        <v>55.19</v>
      </c>
      <c r="E76" s="141">
        <f ca="1">IFERROR(__xludf.DUMMYFUNCTION("""COMPUTED_VALUE"""),54.62)</f>
        <v>54.62</v>
      </c>
      <c r="F76" s="141">
        <f ca="1">IFERROR(__xludf.DUMMYFUNCTION("""COMPUTED_VALUE"""),54.68)</f>
        <v>54.68</v>
      </c>
      <c r="G76" s="143">
        <f ca="1">IFERROR(__xludf.DUMMYFUNCTION("""COMPUTED_VALUE"""),8179912)</f>
        <v>8179912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IFERROR(__xludf.DUMMYFUNCTION("""COMPUTED_VALUE"""),54.84)</f>
        <v>54.84</v>
      </c>
      <c r="D77" s="141">
        <f ca="1">IFERROR(__xludf.DUMMYFUNCTION("""COMPUTED_VALUE"""),55)</f>
        <v>55</v>
      </c>
      <c r="E77" s="141">
        <f ca="1">IFERROR(__xludf.DUMMYFUNCTION("""COMPUTED_VALUE"""),54.72)</f>
        <v>54.72</v>
      </c>
      <c r="F77" s="141">
        <f ca="1">IFERROR(__xludf.DUMMYFUNCTION("""COMPUTED_VALUE"""),54.99)</f>
        <v>54.99</v>
      </c>
      <c r="G77" s="143">
        <f ca="1">IFERROR(__xludf.DUMMYFUNCTION("""COMPUTED_VALUE"""),7099910)</f>
        <v>7099910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IFERROR(__xludf.DUMMYFUNCTION("""COMPUTED_VALUE"""),55.09)</f>
        <v>55.09</v>
      </c>
      <c r="D78" s="141">
        <f ca="1">IFERROR(__xludf.DUMMYFUNCTION("""COMPUTED_VALUE"""),55.09)</f>
        <v>55.09</v>
      </c>
      <c r="E78" s="141">
        <f ca="1">IFERROR(__xludf.DUMMYFUNCTION("""COMPUTED_VALUE"""),54.39)</f>
        <v>54.39</v>
      </c>
      <c r="F78" s="141">
        <f ca="1">IFERROR(__xludf.DUMMYFUNCTION("""COMPUTED_VALUE"""),54.51)</f>
        <v>54.51</v>
      </c>
      <c r="G78" s="143">
        <f ca="1">IFERROR(__xludf.DUMMYFUNCTION("""COMPUTED_VALUE"""),9095663)</f>
        <v>9095663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IFERROR(__xludf.DUMMYFUNCTION("""COMPUTED_VALUE"""),54.47)</f>
        <v>54.47</v>
      </c>
      <c r="D79" s="141">
        <f ca="1">IFERROR(__xludf.DUMMYFUNCTION("""COMPUTED_VALUE"""),54.52)</f>
        <v>54.52</v>
      </c>
      <c r="E79" s="141">
        <f ca="1">IFERROR(__xludf.DUMMYFUNCTION("""COMPUTED_VALUE"""),52.41)</f>
        <v>52.41</v>
      </c>
      <c r="F79" s="141">
        <f ca="1">IFERROR(__xludf.DUMMYFUNCTION("""COMPUTED_VALUE"""),52.54)</f>
        <v>52.54</v>
      </c>
      <c r="G79" s="143">
        <f ca="1">IFERROR(__xludf.DUMMYFUNCTION("""COMPUTED_VALUE"""),20103538)</f>
        <v>20103538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IFERROR(__xludf.DUMMYFUNCTION("""COMPUTED_VALUE"""),54)</f>
        <v>54</v>
      </c>
      <c r="D80" s="141">
        <f ca="1">IFERROR(__xludf.DUMMYFUNCTION("""COMPUTED_VALUE"""),54.19)</f>
        <v>54.19</v>
      </c>
      <c r="E80" s="141">
        <f ca="1">IFERROR(__xludf.DUMMYFUNCTION("""COMPUTED_VALUE"""),53.76)</f>
        <v>53.76</v>
      </c>
      <c r="F80" s="141">
        <f ca="1">IFERROR(__xludf.DUMMYFUNCTION("""COMPUTED_VALUE"""),54)</f>
        <v>54</v>
      </c>
      <c r="G80" s="143">
        <f ca="1">IFERROR(__xludf.DUMMYFUNCTION("""COMPUTED_VALUE"""),7688763)</f>
        <v>7688763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IFERROR(__xludf.DUMMYFUNCTION("""COMPUTED_VALUE"""),53.2)</f>
        <v>53.2</v>
      </c>
      <c r="D81" s="141">
        <f ca="1">IFERROR(__xludf.DUMMYFUNCTION("""COMPUTED_VALUE"""),53.86)</f>
        <v>53.86</v>
      </c>
      <c r="E81" s="141">
        <f ca="1">IFERROR(__xludf.DUMMYFUNCTION("""COMPUTED_VALUE"""),53.11)</f>
        <v>53.11</v>
      </c>
      <c r="F81" s="141">
        <f ca="1">IFERROR(__xludf.DUMMYFUNCTION("""COMPUTED_VALUE"""),53.52)</f>
        <v>53.52</v>
      </c>
      <c r="G81" s="143">
        <f ca="1">IFERROR(__xludf.DUMMYFUNCTION("""COMPUTED_VALUE"""),11937526)</f>
        <v>11937526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IFERROR(__xludf.DUMMYFUNCTION("""COMPUTED_VALUE"""),54.36)</f>
        <v>54.36</v>
      </c>
      <c r="D82" s="141">
        <f ca="1">IFERROR(__xludf.DUMMYFUNCTION("""COMPUTED_VALUE"""),54.52)</f>
        <v>54.52</v>
      </c>
      <c r="E82" s="141">
        <f ca="1">IFERROR(__xludf.DUMMYFUNCTION("""COMPUTED_VALUE"""),54.01)</f>
        <v>54.01</v>
      </c>
      <c r="F82" s="141">
        <f ca="1">IFERROR(__xludf.DUMMYFUNCTION("""COMPUTED_VALUE"""),54.33)</f>
        <v>54.33</v>
      </c>
      <c r="G82" s="143">
        <f ca="1">IFERROR(__xludf.DUMMYFUNCTION("""COMPUTED_VALUE"""),9740043)</f>
        <v>9740043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IFERROR(__xludf.DUMMYFUNCTION("""COMPUTED_VALUE"""),54.64)</f>
        <v>54.64</v>
      </c>
      <c r="D83" s="141">
        <f ca="1">IFERROR(__xludf.DUMMYFUNCTION("""COMPUTED_VALUE"""),54.87)</f>
        <v>54.87</v>
      </c>
      <c r="E83" s="141">
        <f ca="1">IFERROR(__xludf.DUMMYFUNCTION("""COMPUTED_VALUE"""),54.39)</f>
        <v>54.39</v>
      </c>
      <c r="F83" s="141">
        <f ca="1">IFERROR(__xludf.DUMMYFUNCTION("""COMPUTED_VALUE"""),54.51)</f>
        <v>54.51</v>
      </c>
      <c r="G83" s="143">
        <f ca="1">IFERROR(__xludf.DUMMYFUNCTION("""COMPUTED_VALUE"""),11303663)</f>
        <v>11303663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IFERROR(__xludf.DUMMYFUNCTION("""COMPUTED_VALUE"""),54.06)</f>
        <v>54.06</v>
      </c>
      <c r="D84" s="141">
        <f ca="1">IFERROR(__xludf.DUMMYFUNCTION("""COMPUTED_VALUE"""),54.5)</f>
        <v>54.5</v>
      </c>
      <c r="E84" s="141">
        <f ca="1">IFERROR(__xludf.DUMMYFUNCTION("""COMPUTED_VALUE"""),54.01)</f>
        <v>54.01</v>
      </c>
      <c r="F84" s="141">
        <f ca="1">IFERROR(__xludf.DUMMYFUNCTION("""COMPUTED_VALUE"""),54.38)</f>
        <v>54.38</v>
      </c>
      <c r="G84" s="143">
        <f ca="1">IFERROR(__xludf.DUMMYFUNCTION("""COMPUTED_VALUE"""),7325494)</f>
        <v>7325494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IFERROR(__xludf.DUMMYFUNCTION("""COMPUTED_VALUE"""),54.65)</f>
        <v>54.65</v>
      </c>
      <c r="D85" s="141">
        <f ca="1">IFERROR(__xludf.DUMMYFUNCTION("""COMPUTED_VALUE"""),55.09)</f>
        <v>55.09</v>
      </c>
      <c r="E85" s="141">
        <f ca="1">IFERROR(__xludf.DUMMYFUNCTION("""COMPUTED_VALUE"""),54.62)</f>
        <v>54.62</v>
      </c>
      <c r="F85" s="141">
        <f ca="1">IFERROR(__xludf.DUMMYFUNCTION("""COMPUTED_VALUE"""),55.03)</f>
        <v>55.03</v>
      </c>
      <c r="G85" s="143">
        <f ca="1">IFERROR(__xludf.DUMMYFUNCTION("""COMPUTED_VALUE"""),6237546)</f>
        <v>6237546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IFERROR(__xludf.DUMMYFUNCTION("""COMPUTED_VALUE"""),54.76)</f>
        <v>54.76</v>
      </c>
      <c r="D86" s="141">
        <f ca="1">IFERROR(__xludf.DUMMYFUNCTION("""COMPUTED_VALUE"""),54.77)</f>
        <v>54.77</v>
      </c>
      <c r="E86" s="141">
        <f ca="1">IFERROR(__xludf.DUMMYFUNCTION("""COMPUTED_VALUE"""),54.54)</f>
        <v>54.54</v>
      </c>
      <c r="F86" s="141">
        <f ca="1">IFERROR(__xludf.DUMMYFUNCTION("""COMPUTED_VALUE"""),54.54)</f>
        <v>54.54</v>
      </c>
      <c r="G86" s="143">
        <f ca="1">IFERROR(__xludf.DUMMYFUNCTION("""COMPUTED_VALUE"""),6480865)</f>
        <v>6480865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IFERROR(__xludf.DUMMYFUNCTION("""COMPUTED_VALUE"""),54.64)</f>
        <v>54.64</v>
      </c>
      <c r="D87" s="141">
        <f ca="1">IFERROR(__xludf.DUMMYFUNCTION("""COMPUTED_VALUE"""),54.85)</f>
        <v>54.85</v>
      </c>
      <c r="E87" s="141">
        <f ca="1">IFERROR(__xludf.DUMMYFUNCTION("""COMPUTED_VALUE"""),54.24)</f>
        <v>54.24</v>
      </c>
      <c r="F87" s="141">
        <f ca="1">IFERROR(__xludf.DUMMYFUNCTION("""COMPUTED_VALUE"""),54.51)</f>
        <v>54.51</v>
      </c>
      <c r="G87" s="143">
        <f ca="1">IFERROR(__xludf.DUMMYFUNCTION("""COMPUTED_VALUE"""),7893752)</f>
        <v>7893752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IFERROR(__xludf.DUMMYFUNCTION("""COMPUTED_VALUE"""),54.72)</f>
        <v>54.72</v>
      </c>
      <c r="D88" s="141">
        <f ca="1">IFERROR(__xludf.DUMMYFUNCTION("""COMPUTED_VALUE"""),55.04)</f>
        <v>55.04</v>
      </c>
      <c r="E88" s="141">
        <f ca="1">IFERROR(__xludf.DUMMYFUNCTION("""COMPUTED_VALUE"""),54.68)</f>
        <v>54.68</v>
      </c>
      <c r="F88" s="141">
        <f ca="1">IFERROR(__xludf.DUMMYFUNCTION("""COMPUTED_VALUE"""),54.92)</f>
        <v>54.92</v>
      </c>
      <c r="G88" s="143">
        <f ca="1">IFERROR(__xludf.DUMMYFUNCTION("""COMPUTED_VALUE"""),5989288)</f>
        <v>5989288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IFERROR(__xludf.DUMMYFUNCTION("""COMPUTED_VALUE"""),55.24)</f>
        <v>55.24</v>
      </c>
      <c r="D89" s="141">
        <f ca="1">IFERROR(__xludf.DUMMYFUNCTION("""COMPUTED_VALUE"""),55.31)</f>
        <v>55.31</v>
      </c>
      <c r="E89" s="141">
        <f ca="1">IFERROR(__xludf.DUMMYFUNCTION("""COMPUTED_VALUE"""),55.13)</f>
        <v>55.13</v>
      </c>
      <c r="F89" s="141">
        <f ca="1">IFERROR(__xludf.DUMMYFUNCTION("""COMPUTED_VALUE"""),55.18)</f>
        <v>55.18</v>
      </c>
      <c r="G89" s="143">
        <f ca="1">IFERROR(__xludf.DUMMYFUNCTION("""COMPUTED_VALUE"""),5573330)</f>
        <v>5573330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IFERROR(__xludf.DUMMYFUNCTION("""COMPUTED_VALUE"""),55.62)</f>
        <v>55.62</v>
      </c>
      <c r="D90" s="141">
        <f ca="1">IFERROR(__xludf.DUMMYFUNCTION("""COMPUTED_VALUE"""),55.67)</f>
        <v>55.67</v>
      </c>
      <c r="E90" s="141">
        <f ca="1">IFERROR(__xludf.DUMMYFUNCTION("""COMPUTED_VALUE"""),55.46)</f>
        <v>55.46</v>
      </c>
      <c r="F90" s="141">
        <f ca="1">IFERROR(__xludf.DUMMYFUNCTION("""COMPUTED_VALUE"""),55.64)</f>
        <v>55.64</v>
      </c>
      <c r="G90" s="143">
        <f ca="1">IFERROR(__xludf.DUMMYFUNCTION("""COMPUTED_VALUE"""),5513351)</f>
        <v>5513351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IFERROR(__xludf.DUMMYFUNCTION("""COMPUTED_VALUE"""),55.36)</f>
        <v>55.36</v>
      </c>
      <c r="D91" s="141">
        <f ca="1">IFERROR(__xludf.DUMMYFUNCTION("""COMPUTED_VALUE"""),55.66)</f>
        <v>55.66</v>
      </c>
      <c r="E91" s="141">
        <f ca="1">IFERROR(__xludf.DUMMYFUNCTION("""COMPUTED_VALUE"""),55.27)</f>
        <v>55.27</v>
      </c>
      <c r="F91" s="141">
        <f ca="1">IFERROR(__xludf.DUMMYFUNCTION("""COMPUTED_VALUE"""),55.61)</f>
        <v>55.61</v>
      </c>
      <c r="G91" s="143">
        <f ca="1">IFERROR(__xludf.DUMMYFUNCTION("""COMPUTED_VALUE"""),7194319)</f>
        <v>7194319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IFERROR(__xludf.DUMMYFUNCTION("""COMPUTED_VALUE"""),55.98)</f>
        <v>55.98</v>
      </c>
      <c r="D92" s="141">
        <f ca="1">IFERROR(__xludf.DUMMYFUNCTION("""COMPUTED_VALUE"""),56.04)</f>
        <v>56.04</v>
      </c>
      <c r="E92" s="141">
        <f ca="1">IFERROR(__xludf.DUMMYFUNCTION("""COMPUTED_VALUE"""),55.53)</f>
        <v>55.53</v>
      </c>
      <c r="F92" s="141">
        <f ca="1">IFERROR(__xludf.DUMMYFUNCTION("""COMPUTED_VALUE"""),55.77)</f>
        <v>55.77</v>
      </c>
      <c r="G92" s="143">
        <f ca="1">IFERROR(__xludf.DUMMYFUNCTION("""COMPUTED_VALUE"""),11930283)</f>
        <v>11930283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IFERROR(__xludf.DUMMYFUNCTION("""COMPUTED_VALUE"""),55.23)</f>
        <v>55.23</v>
      </c>
      <c r="D93" s="141">
        <f ca="1">IFERROR(__xludf.DUMMYFUNCTION("""COMPUTED_VALUE"""),55.43)</f>
        <v>55.43</v>
      </c>
      <c r="E93" s="141">
        <f ca="1">IFERROR(__xludf.DUMMYFUNCTION("""COMPUTED_VALUE"""),55.1)</f>
        <v>55.1</v>
      </c>
      <c r="F93" s="141">
        <f ca="1">IFERROR(__xludf.DUMMYFUNCTION("""COMPUTED_VALUE"""),55.19)</f>
        <v>55.19</v>
      </c>
      <c r="G93" s="143">
        <f ca="1">IFERROR(__xludf.DUMMYFUNCTION("""COMPUTED_VALUE"""),6294233)</f>
        <v>6294233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IFERROR(__xludf.DUMMYFUNCTION("""COMPUTED_VALUE"""),55.01)</f>
        <v>55.01</v>
      </c>
      <c r="D94" s="141">
        <f ca="1">IFERROR(__xludf.DUMMYFUNCTION("""COMPUTED_VALUE"""),55.03)</f>
        <v>55.03</v>
      </c>
      <c r="E94" s="141">
        <f ca="1">IFERROR(__xludf.DUMMYFUNCTION("""COMPUTED_VALUE"""),54.76)</f>
        <v>54.76</v>
      </c>
      <c r="F94" s="141">
        <f ca="1">IFERROR(__xludf.DUMMYFUNCTION("""COMPUTED_VALUE"""),54.97)</f>
        <v>54.97</v>
      </c>
      <c r="G94" s="143">
        <f ca="1">IFERROR(__xludf.DUMMYFUNCTION("""COMPUTED_VALUE"""),9610505)</f>
        <v>9610505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IFERROR(__xludf.DUMMYFUNCTION("""COMPUTED_VALUE"""),55.09)</f>
        <v>55.09</v>
      </c>
      <c r="D95" s="141">
        <f ca="1">IFERROR(__xludf.DUMMYFUNCTION("""COMPUTED_VALUE"""),55.15)</f>
        <v>55.15</v>
      </c>
      <c r="E95" s="141">
        <f ca="1">IFERROR(__xludf.DUMMYFUNCTION("""COMPUTED_VALUE"""),54.83)</f>
        <v>54.83</v>
      </c>
      <c r="F95" s="141">
        <f ca="1">IFERROR(__xludf.DUMMYFUNCTION("""COMPUTED_VALUE"""),55.09)</f>
        <v>55.09</v>
      </c>
      <c r="G95" s="143">
        <f ca="1">IFERROR(__xludf.DUMMYFUNCTION("""COMPUTED_VALUE"""),6643053)</f>
        <v>6643053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IFERROR(__xludf.DUMMYFUNCTION("""COMPUTED_VALUE"""),54.36)</f>
        <v>54.36</v>
      </c>
      <c r="D96" s="141">
        <f ca="1">IFERROR(__xludf.DUMMYFUNCTION("""COMPUTED_VALUE"""),54.68)</f>
        <v>54.68</v>
      </c>
      <c r="E96" s="141">
        <f ca="1">IFERROR(__xludf.DUMMYFUNCTION("""COMPUTED_VALUE"""),54.32)</f>
        <v>54.32</v>
      </c>
      <c r="F96" s="141">
        <f ca="1">IFERROR(__xludf.DUMMYFUNCTION("""COMPUTED_VALUE"""),54.32)</f>
        <v>54.32</v>
      </c>
      <c r="G96" s="143">
        <f ca="1">IFERROR(__xludf.DUMMYFUNCTION("""COMPUTED_VALUE"""),6179320)</f>
        <v>6179320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IFERROR(__xludf.DUMMYFUNCTION("""COMPUTED_VALUE"""),54.52)</f>
        <v>54.52</v>
      </c>
      <c r="D97" s="141">
        <f ca="1">IFERROR(__xludf.DUMMYFUNCTION("""COMPUTED_VALUE"""),54.93)</f>
        <v>54.93</v>
      </c>
      <c r="E97" s="141">
        <f ca="1">IFERROR(__xludf.DUMMYFUNCTION("""COMPUTED_VALUE"""),54.4)</f>
        <v>54.4</v>
      </c>
      <c r="F97" s="141">
        <f ca="1">IFERROR(__xludf.DUMMYFUNCTION("""COMPUTED_VALUE"""),54.8)</f>
        <v>54.8</v>
      </c>
      <c r="G97" s="143">
        <f ca="1">IFERROR(__xludf.DUMMYFUNCTION("""COMPUTED_VALUE"""),7337957)</f>
        <v>7337957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IFERROR(__xludf.DUMMYFUNCTION("""COMPUTED_VALUE"""),54.89)</f>
        <v>54.89</v>
      </c>
      <c r="D98" s="141">
        <f ca="1">IFERROR(__xludf.DUMMYFUNCTION("""COMPUTED_VALUE"""),55.03)</f>
        <v>55.03</v>
      </c>
      <c r="E98" s="141">
        <f ca="1">IFERROR(__xludf.DUMMYFUNCTION("""COMPUTED_VALUE"""),54.46)</f>
        <v>54.46</v>
      </c>
      <c r="F98" s="141">
        <f ca="1">IFERROR(__xludf.DUMMYFUNCTION("""COMPUTED_VALUE"""),54.59)</f>
        <v>54.59</v>
      </c>
      <c r="G98" s="143">
        <f ca="1">IFERROR(__xludf.DUMMYFUNCTION("""COMPUTED_VALUE"""),6675818)</f>
        <v>6675818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IFERROR(__xludf.DUMMYFUNCTION("""COMPUTED_VALUE"""),54.22)</f>
        <v>54.22</v>
      </c>
      <c r="D99" s="141">
        <f ca="1">IFERROR(__xludf.DUMMYFUNCTION("""COMPUTED_VALUE"""),54.55)</f>
        <v>54.55</v>
      </c>
      <c r="E99" s="141">
        <f ca="1">IFERROR(__xludf.DUMMYFUNCTION("""COMPUTED_VALUE"""),53.94)</f>
        <v>53.94</v>
      </c>
      <c r="F99" s="141">
        <f ca="1">IFERROR(__xludf.DUMMYFUNCTION("""COMPUTED_VALUE"""),54.54)</f>
        <v>54.54</v>
      </c>
      <c r="G99" s="143">
        <f ca="1">IFERROR(__xludf.DUMMYFUNCTION("""COMPUTED_VALUE"""),10780572)</f>
        <v>10780572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IFERROR(__xludf.DUMMYFUNCTION("""COMPUTED_VALUE"""),55.09)</f>
        <v>55.09</v>
      </c>
      <c r="D100" s="141">
        <f ca="1">IFERROR(__xludf.DUMMYFUNCTION("""COMPUTED_VALUE"""),55.3)</f>
        <v>55.3</v>
      </c>
      <c r="E100" s="141">
        <f ca="1">IFERROR(__xludf.DUMMYFUNCTION("""COMPUTED_VALUE"""),54.91)</f>
        <v>54.91</v>
      </c>
      <c r="F100" s="141">
        <f ca="1">IFERROR(__xludf.DUMMYFUNCTION("""COMPUTED_VALUE"""),55.27)</f>
        <v>55.27</v>
      </c>
      <c r="G100" s="143">
        <f ca="1">IFERROR(__xludf.DUMMYFUNCTION("""COMPUTED_VALUE"""),5852813)</f>
        <v>5852813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IFERROR(__xludf.DUMMYFUNCTION("""COMPUTED_VALUE"""),55.26)</f>
        <v>55.26</v>
      </c>
      <c r="D101" s="141">
        <f ca="1">IFERROR(__xludf.DUMMYFUNCTION("""COMPUTED_VALUE"""),55.44)</f>
        <v>55.44</v>
      </c>
      <c r="E101" s="141">
        <f ca="1">IFERROR(__xludf.DUMMYFUNCTION("""COMPUTED_VALUE"""),55.17)</f>
        <v>55.17</v>
      </c>
      <c r="F101" s="141">
        <f ca="1">IFERROR(__xludf.DUMMYFUNCTION("""COMPUTED_VALUE"""),55.33)</f>
        <v>55.33</v>
      </c>
      <c r="G101" s="143">
        <f ca="1">IFERROR(__xludf.DUMMYFUNCTION("""COMPUTED_VALUE"""),6931798)</f>
        <v>6931798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IFERROR(__xludf.DUMMYFUNCTION("""COMPUTED_VALUE"""),55.3)</f>
        <v>55.3</v>
      </c>
      <c r="D102" s="141">
        <f ca="1">IFERROR(__xludf.DUMMYFUNCTION("""COMPUTED_VALUE"""),55.36)</f>
        <v>55.36</v>
      </c>
      <c r="E102" s="141">
        <f ca="1">IFERROR(__xludf.DUMMYFUNCTION("""COMPUTED_VALUE"""),55.07)</f>
        <v>55.07</v>
      </c>
      <c r="F102" s="141">
        <f ca="1">IFERROR(__xludf.DUMMYFUNCTION("""COMPUTED_VALUE"""),55.32)</f>
        <v>55.32</v>
      </c>
      <c r="G102" s="143">
        <f ca="1">IFERROR(__xludf.DUMMYFUNCTION("""COMPUTED_VALUE"""),11239309)</f>
        <v>11239309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IFERROR(__xludf.DUMMYFUNCTION("""COMPUTED_VALUE"""),55.45)</f>
        <v>55.45</v>
      </c>
      <c r="D103" s="141">
        <f ca="1">IFERROR(__xludf.DUMMYFUNCTION("""COMPUTED_VALUE"""),55.45)</f>
        <v>55.45</v>
      </c>
      <c r="E103" s="141">
        <f ca="1">IFERROR(__xludf.DUMMYFUNCTION("""COMPUTED_VALUE"""),54.72)</f>
        <v>54.72</v>
      </c>
      <c r="F103" s="141">
        <f ca="1">IFERROR(__xludf.DUMMYFUNCTION("""COMPUTED_VALUE"""),54.83)</f>
        <v>54.83</v>
      </c>
      <c r="G103" s="143">
        <f ca="1">IFERROR(__xludf.DUMMYFUNCTION("""COMPUTED_VALUE"""),6675718)</f>
        <v>6675718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IFERROR(__xludf.DUMMYFUNCTION("""COMPUTED_VALUE"""),54.53)</f>
        <v>54.53</v>
      </c>
      <c r="D104" s="141">
        <f ca="1">IFERROR(__xludf.DUMMYFUNCTION("""COMPUTED_VALUE"""),55.15)</f>
        <v>55.15</v>
      </c>
      <c r="E104" s="141">
        <f ca="1">IFERROR(__xludf.DUMMYFUNCTION("""COMPUTED_VALUE"""),54.41)</f>
        <v>54.41</v>
      </c>
      <c r="F104" s="141">
        <f ca="1">IFERROR(__xludf.DUMMYFUNCTION("""COMPUTED_VALUE"""),54.85)</f>
        <v>54.85</v>
      </c>
      <c r="G104" s="143">
        <f ca="1">IFERROR(__xludf.DUMMYFUNCTION("""COMPUTED_VALUE"""),7539911)</f>
        <v>7539911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IFERROR(__xludf.DUMMYFUNCTION("""COMPUTED_VALUE"""),54.42)</f>
        <v>54.42</v>
      </c>
      <c r="D105" s="141">
        <f ca="1">IFERROR(__xludf.DUMMYFUNCTION("""COMPUTED_VALUE"""),54.7)</f>
        <v>54.7</v>
      </c>
      <c r="E105" s="141">
        <f ca="1">IFERROR(__xludf.DUMMYFUNCTION("""COMPUTED_VALUE"""),54.06)</f>
        <v>54.06</v>
      </c>
      <c r="F105" s="141">
        <f ca="1">IFERROR(__xludf.DUMMYFUNCTION("""COMPUTED_VALUE"""),54.22)</f>
        <v>54.22</v>
      </c>
      <c r="G105" s="143">
        <f ca="1">IFERROR(__xludf.DUMMYFUNCTION("""COMPUTED_VALUE"""),13415328)</f>
        <v>13415328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IFERROR(__xludf.DUMMYFUNCTION("""COMPUTED_VALUE"""),53.86)</f>
        <v>53.86</v>
      </c>
      <c r="D106" s="141">
        <f ca="1">IFERROR(__xludf.DUMMYFUNCTION("""COMPUTED_VALUE"""),54.2)</f>
        <v>54.2</v>
      </c>
      <c r="E106" s="141">
        <f ca="1">IFERROR(__xludf.DUMMYFUNCTION("""COMPUTED_VALUE"""),53.69)</f>
        <v>53.69</v>
      </c>
      <c r="F106" s="141">
        <f ca="1">IFERROR(__xludf.DUMMYFUNCTION("""COMPUTED_VALUE"""),54.04)</f>
        <v>54.04</v>
      </c>
      <c r="G106" s="143">
        <f ca="1">IFERROR(__xludf.DUMMYFUNCTION("""COMPUTED_VALUE"""),10004825)</f>
        <v>10004825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IFERROR(__xludf.DUMMYFUNCTION("""COMPUTED_VALUE"""),53.9)</f>
        <v>53.9</v>
      </c>
      <c r="D107" s="141">
        <f ca="1">IFERROR(__xludf.DUMMYFUNCTION("""COMPUTED_VALUE"""),54.17)</f>
        <v>54.17</v>
      </c>
      <c r="E107" s="141">
        <f ca="1">IFERROR(__xludf.DUMMYFUNCTION("""COMPUTED_VALUE"""),53.71)</f>
        <v>53.71</v>
      </c>
      <c r="F107" s="141">
        <f ca="1">IFERROR(__xludf.DUMMYFUNCTION("""COMPUTED_VALUE"""),53.92)</f>
        <v>53.92</v>
      </c>
      <c r="G107" s="143">
        <f ca="1">IFERROR(__xludf.DUMMYFUNCTION("""COMPUTED_VALUE"""),7686025)</f>
        <v>7686025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IFERROR(__xludf.DUMMYFUNCTION("""COMPUTED_VALUE"""),54.33)</f>
        <v>54.33</v>
      </c>
      <c r="D108" s="141">
        <f ca="1">IFERROR(__xludf.DUMMYFUNCTION("""COMPUTED_VALUE"""),54.41)</f>
        <v>54.41</v>
      </c>
      <c r="E108" s="141">
        <f ca="1">IFERROR(__xludf.DUMMYFUNCTION("""COMPUTED_VALUE"""),53.26)</f>
        <v>53.26</v>
      </c>
      <c r="F108" s="141">
        <f ca="1">IFERROR(__xludf.DUMMYFUNCTION("""COMPUTED_VALUE"""),53.28)</f>
        <v>53.28</v>
      </c>
      <c r="G108" s="143">
        <f ca="1">IFERROR(__xludf.DUMMYFUNCTION("""COMPUTED_VALUE"""),10361065)</f>
        <v>10361065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IFERROR(__xludf.DUMMYFUNCTION("""COMPUTED_VALUE"""),52.76)</f>
        <v>52.76</v>
      </c>
      <c r="D109" s="141">
        <f ca="1">IFERROR(__xludf.DUMMYFUNCTION("""COMPUTED_VALUE"""),53.31)</f>
        <v>53.31</v>
      </c>
      <c r="E109" s="141">
        <f ca="1">IFERROR(__xludf.DUMMYFUNCTION("""COMPUTED_VALUE"""),52.5)</f>
        <v>52.5</v>
      </c>
      <c r="F109" s="141">
        <f ca="1">IFERROR(__xludf.DUMMYFUNCTION("""COMPUTED_VALUE"""),53.07)</f>
        <v>53.07</v>
      </c>
      <c r="G109" s="143">
        <f ca="1">IFERROR(__xludf.DUMMYFUNCTION("""COMPUTED_VALUE"""),9722854)</f>
        <v>9722854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IFERROR(__xludf.DUMMYFUNCTION("""COMPUTED_VALUE"""),53.23)</f>
        <v>53.23</v>
      </c>
      <c r="D110" s="141">
        <f ca="1">IFERROR(__xludf.DUMMYFUNCTION("""COMPUTED_VALUE"""),53.65)</f>
        <v>53.65</v>
      </c>
      <c r="E110" s="141">
        <f ca="1">IFERROR(__xludf.DUMMYFUNCTION("""COMPUTED_VALUE"""),53.2)</f>
        <v>53.2</v>
      </c>
      <c r="F110" s="141">
        <f ca="1">IFERROR(__xludf.DUMMYFUNCTION("""COMPUTED_VALUE"""),53.61)</f>
        <v>53.61</v>
      </c>
      <c r="G110" s="143">
        <f ca="1">IFERROR(__xludf.DUMMYFUNCTION("""COMPUTED_VALUE"""),10067931)</f>
        <v>10067931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IFERROR(__xludf.DUMMYFUNCTION("""COMPUTED_VALUE"""),53.69)</f>
        <v>53.69</v>
      </c>
      <c r="D111" s="141">
        <f ca="1">IFERROR(__xludf.DUMMYFUNCTION("""COMPUTED_VALUE"""),53.87)</f>
        <v>53.87</v>
      </c>
      <c r="E111" s="141">
        <f ca="1">IFERROR(__xludf.DUMMYFUNCTION("""COMPUTED_VALUE"""),53.33)</f>
        <v>53.33</v>
      </c>
      <c r="F111" s="141">
        <f ca="1">IFERROR(__xludf.DUMMYFUNCTION("""COMPUTED_VALUE"""),53.85)</f>
        <v>53.85</v>
      </c>
      <c r="G111" s="143">
        <f ca="1">IFERROR(__xludf.DUMMYFUNCTION("""COMPUTED_VALUE"""),7508048)</f>
        <v>7508048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IFERROR(__xludf.DUMMYFUNCTION("""COMPUTED_VALUE"""),54)</f>
        <v>54</v>
      </c>
      <c r="D112" s="141">
        <f ca="1">IFERROR(__xludf.DUMMYFUNCTION("""COMPUTED_VALUE"""),54.21)</f>
        <v>54.21</v>
      </c>
      <c r="E112" s="141">
        <f ca="1">IFERROR(__xludf.DUMMYFUNCTION("""COMPUTED_VALUE"""),53.89)</f>
        <v>53.89</v>
      </c>
      <c r="F112" s="141">
        <f ca="1">IFERROR(__xludf.DUMMYFUNCTION("""COMPUTED_VALUE"""),54.11)</f>
        <v>54.11</v>
      </c>
      <c r="G112" s="143">
        <f ca="1">IFERROR(__xludf.DUMMYFUNCTION("""COMPUTED_VALUE"""),7627781)</f>
        <v>7627781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IFERROR(__xludf.DUMMYFUNCTION("""COMPUTED_VALUE"""),54.18)</f>
        <v>54.18</v>
      </c>
      <c r="D113" s="141">
        <f ca="1">IFERROR(__xludf.DUMMYFUNCTION("""COMPUTED_VALUE"""),54.32)</f>
        <v>54.32</v>
      </c>
      <c r="E113" s="141">
        <f ca="1">IFERROR(__xludf.DUMMYFUNCTION("""COMPUTED_VALUE"""),54.09)</f>
        <v>54.09</v>
      </c>
      <c r="F113" s="141">
        <f ca="1">IFERROR(__xludf.DUMMYFUNCTION("""COMPUTED_VALUE"""),54.3)</f>
        <v>54.3</v>
      </c>
      <c r="G113" s="143">
        <f ca="1">IFERROR(__xludf.DUMMYFUNCTION("""COMPUTED_VALUE"""),4432113)</f>
        <v>4432113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IFERROR(__xludf.DUMMYFUNCTION("""COMPUTED_VALUE"""),54.13)</f>
        <v>54.13</v>
      </c>
      <c r="D114" s="141">
        <f ca="1">IFERROR(__xludf.DUMMYFUNCTION("""COMPUTED_VALUE"""),54.44)</f>
        <v>54.44</v>
      </c>
      <c r="E114" s="141">
        <f ca="1">IFERROR(__xludf.DUMMYFUNCTION("""COMPUTED_VALUE"""),54.12)</f>
        <v>54.12</v>
      </c>
      <c r="F114" s="141">
        <f ca="1">IFERROR(__xludf.DUMMYFUNCTION("""COMPUTED_VALUE"""),54.25)</f>
        <v>54.25</v>
      </c>
      <c r="G114" s="143">
        <f ca="1">IFERROR(__xludf.DUMMYFUNCTION("""COMPUTED_VALUE"""),9267383)</f>
        <v>9267383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IFERROR(__xludf.DUMMYFUNCTION("""COMPUTED_VALUE"""),54.15)</f>
        <v>54.15</v>
      </c>
      <c r="D115" s="141">
        <f ca="1">IFERROR(__xludf.DUMMYFUNCTION("""COMPUTED_VALUE"""),54.19)</f>
        <v>54.19</v>
      </c>
      <c r="E115" s="141">
        <f ca="1">IFERROR(__xludf.DUMMYFUNCTION("""COMPUTED_VALUE"""),53.9)</f>
        <v>53.9</v>
      </c>
      <c r="F115" s="141">
        <f ca="1">IFERROR(__xludf.DUMMYFUNCTION("""COMPUTED_VALUE"""),54.13)</f>
        <v>54.13</v>
      </c>
      <c r="G115" s="143">
        <f ca="1">IFERROR(__xludf.DUMMYFUNCTION("""COMPUTED_VALUE"""),7200280)</f>
        <v>7200280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IFERROR(__xludf.DUMMYFUNCTION("""COMPUTED_VALUE"""),53.9)</f>
        <v>53.9</v>
      </c>
      <c r="D116" s="141">
        <f ca="1">IFERROR(__xludf.DUMMYFUNCTION("""COMPUTED_VALUE"""),54.11)</f>
        <v>54.11</v>
      </c>
      <c r="E116" s="141">
        <f ca="1">IFERROR(__xludf.DUMMYFUNCTION("""COMPUTED_VALUE"""),53.84)</f>
        <v>53.84</v>
      </c>
      <c r="F116" s="141">
        <f ca="1">IFERROR(__xludf.DUMMYFUNCTION("""COMPUTED_VALUE"""),54.06)</f>
        <v>54.06</v>
      </c>
      <c r="G116" s="143">
        <f ca="1">IFERROR(__xludf.DUMMYFUNCTION("""COMPUTED_VALUE"""),6788829)</f>
        <v>6788829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IFERROR(__xludf.DUMMYFUNCTION("""COMPUTED_VALUE"""),54.25)</f>
        <v>54.25</v>
      </c>
      <c r="D117" s="141">
        <f ca="1">IFERROR(__xludf.DUMMYFUNCTION("""COMPUTED_VALUE"""),54.25)</f>
        <v>54.25</v>
      </c>
      <c r="E117" s="141">
        <f ca="1">IFERROR(__xludf.DUMMYFUNCTION("""COMPUTED_VALUE"""),54.02)</f>
        <v>54.02</v>
      </c>
      <c r="F117" s="141">
        <f ca="1">IFERROR(__xludf.DUMMYFUNCTION("""COMPUTED_VALUE"""),54.18)</f>
        <v>54.18</v>
      </c>
      <c r="G117" s="143">
        <f ca="1">IFERROR(__xludf.DUMMYFUNCTION("""COMPUTED_VALUE"""),7373047)</f>
        <v>7373047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IFERROR(__xludf.DUMMYFUNCTION("""COMPUTED_VALUE"""),54.55)</f>
        <v>54.55</v>
      </c>
      <c r="D118" s="141">
        <f ca="1">IFERROR(__xludf.DUMMYFUNCTION("""COMPUTED_VALUE"""),54.75)</f>
        <v>54.75</v>
      </c>
      <c r="E118" s="141">
        <f ca="1">IFERROR(__xludf.DUMMYFUNCTION("""COMPUTED_VALUE"""),54.34)</f>
        <v>54.34</v>
      </c>
      <c r="F118" s="141">
        <f ca="1">IFERROR(__xludf.DUMMYFUNCTION("""COMPUTED_VALUE"""),54.4)</f>
        <v>54.4</v>
      </c>
      <c r="G118" s="143">
        <f ca="1">IFERROR(__xludf.DUMMYFUNCTION("""COMPUTED_VALUE"""),7700563)</f>
        <v>7700563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IFERROR(__xludf.DUMMYFUNCTION("""COMPUTED_VALUE"""),54.19)</f>
        <v>54.19</v>
      </c>
      <c r="D119" s="141">
        <f ca="1">IFERROR(__xludf.DUMMYFUNCTION("""COMPUTED_VALUE"""),54.37)</f>
        <v>54.37</v>
      </c>
      <c r="E119" s="141">
        <f ca="1">IFERROR(__xludf.DUMMYFUNCTION("""COMPUTED_VALUE"""),54.06)</f>
        <v>54.06</v>
      </c>
      <c r="F119" s="141">
        <f ca="1">IFERROR(__xludf.DUMMYFUNCTION("""COMPUTED_VALUE"""),54.2)</f>
        <v>54.2</v>
      </c>
      <c r="G119" s="143">
        <f ca="1">IFERROR(__xludf.DUMMYFUNCTION("""COMPUTED_VALUE"""),10205974)</f>
        <v>10205974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IFERROR(__xludf.DUMMYFUNCTION("""COMPUTED_VALUE"""),53.91)</f>
        <v>53.91</v>
      </c>
      <c r="D120" s="141">
        <f ca="1">IFERROR(__xludf.DUMMYFUNCTION("""COMPUTED_VALUE"""),54.13)</f>
        <v>54.13</v>
      </c>
      <c r="E120" s="141">
        <f ca="1">IFERROR(__xludf.DUMMYFUNCTION("""COMPUTED_VALUE"""),53.85)</f>
        <v>53.85</v>
      </c>
      <c r="F120" s="141">
        <f ca="1">IFERROR(__xludf.DUMMYFUNCTION("""COMPUTED_VALUE"""),54.11)</f>
        <v>54.11</v>
      </c>
      <c r="G120" s="143">
        <f ca="1">IFERROR(__xludf.DUMMYFUNCTION("""COMPUTED_VALUE"""),9442791)</f>
        <v>9442791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IFERROR(__xludf.DUMMYFUNCTION("""COMPUTED_VALUE"""),54.2)</f>
        <v>54.2</v>
      </c>
      <c r="D121" s="141">
        <f ca="1">IFERROR(__xludf.DUMMYFUNCTION("""COMPUTED_VALUE"""),54.67)</f>
        <v>54.67</v>
      </c>
      <c r="E121" s="141">
        <f ca="1">IFERROR(__xludf.DUMMYFUNCTION("""COMPUTED_VALUE"""),54.1)</f>
        <v>54.1</v>
      </c>
      <c r="F121" s="141">
        <f ca="1">IFERROR(__xludf.DUMMYFUNCTION("""COMPUTED_VALUE"""),54.56)</f>
        <v>54.56</v>
      </c>
      <c r="G121" s="143">
        <f ca="1">IFERROR(__xludf.DUMMYFUNCTION("""COMPUTED_VALUE"""),11644102)</f>
        <v>11644102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IFERROR(__xludf.DUMMYFUNCTION("""COMPUTED_VALUE"""),54.21)</f>
        <v>54.21</v>
      </c>
      <c r="D122" s="141">
        <f ca="1">IFERROR(__xludf.DUMMYFUNCTION("""COMPUTED_VALUE"""),54.48)</f>
        <v>54.48</v>
      </c>
      <c r="E122" s="141">
        <f ca="1">IFERROR(__xludf.DUMMYFUNCTION("""COMPUTED_VALUE"""),54.05)</f>
        <v>54.05</v>
      </c>
      <c r="F122" s="141">
        <f ca="1">IFERROR(__xludf.DUMMYFUNCTION("""COMPUTED_VALUE"""),54.44)</f>
        <v>54.44</v>
      </c>
      <c r="G122" s="143">
        <f ca="1">IFERROR(__xludf.DUMMYFUNCTION("""COMPUTED_VALUE"""),11380046)</f>
        <v>11380046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IFERROR(__xludf.DUMMYFUNCTION("""COMPUTED_VALUE"""),54.51)</f>
        <v>54.51</v>
      </c>
      <c r="D123" s="141">
        <f ca="1">IFERROR(__xludf.DUMMYFUNCTION("""COMPUTED_VALUE"""),54.53)</f>
        <v>54.53</v>
      </c>
      <c r="E123" s="141">
        <f ca="1">IFERROR(__xludf.DUMMYFUNCTION("""COMPUTED_VALUE"""),53.78)</f>
        <v>53.78</v>
      </c>
      <c r="F123" s="141">
        <f ca="1">IFERROR(__xludf.DUMMYFUNCTION("""COMPUTED_VALUE"""),53.94)</f>
        <v>53.94</v>
      </c>
      <c r="G123" s="143">
        <f ca="1">IFERROR(__xludf.DUMMYFUNCTION("""COMPUTED_VALUE"""),13708343)</f>
        <v>13708343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IFERROR(__xludf.DUMMYFUNCTION("""COMPUTED_VALUE"""),54.19)</f>
        <v>54.19</v>
      </c>
      <c r="D124" s="141">
        <f ca="1">IFERROR(__xludf.DUMMYFUNCTION("""COMPUTED_VALUE"""),54.19)</f>
        <v>54.19</v>
      </c>
      <c r="E124" s="141">
        <f ca="1">IFERROR(__xludf.DUMMYFUNCTION("""COMPUTED_VALUE"""),53.77)</f>
        <v>53.77</v>
      </c>
      <c r="F124" s="141">
        <f ca="1">IFERROR(__xludf.DUMMYFUNCTION("""COMPUTED_VALUE"""),53.78)</f>
        <v>53.78</v>
      </c>
      <c r="G124" s="143">
        <f ca="1">IFERROR(__xludf.DUMMYFUNCTION("""COMPUTED_VALUE"""),9770130)</f>
        <v>9770130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IFERROR(__xludf.DUMMYFUNCTION("""COMPUTED_VALUE"""),53.5)</f>
        <v>53.5</v>
      </c>
      <c r="D125" s="141">
        <f ca="1">IFERROR(__xludf.DUMMYFUNCTION("""COMPUTED_VALUE"""),53.6)</f>
        <v>53.6</v>
      </c>
      <c r="E125" s="141">
        <f ca="1">IFERROR(__xludf.DUMMYFUNCTION("""COMPUTED_VALUE"""),53.29)</f>
        <v>53.29</v>
      </c>
      <c r="F125" s="141">
        <f ca="1">IFERROR(__xludf.DUMMYFUNCTION("""COMPUTED_VALUE"""),53.48)</f>
        <v>53.48</v>
      </c>
      <c r="G125" s="143">
        <f ca="1">IFERROR(__xludf.DUMMYFUNCTION("""COMPUTED_VALUE"""),11144920)</f>
        <v>11144920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IFERROR(__xludf.DUMMYFUNCTION("""COMPUTED_VALUE"""),53.67)</f>
        <v>53.67</v>
      </c>
      <c r="D126" s="141">
        <f ca="1">IFERROR(__xludf.DUMMYFUNCTION("""COMPUTED_VALUE"""),53.73)</f>
        <v>53.73</v>
      </c>
      <c r="E126" s="141">
        <f ca="1">IFERROR(__xludf.DUMMYFUNCTION("""COMPUTED_VALUE"""),53.09)</f>
        <v>53.09</v>
      </c>
      <c r="F126" s="141">
        <f ca="1">IFERROR(__xludf.DUMMYFUNCTION("""COMPUTED_VALUE"""),53.13)</f>
        <v>53.13</v>
      </c>
      <c r="G126" s="143">
        <f ca="1">IFERROR(__xludf.DUMMYFUNCTION("""COMPUTED_VALUE"""),13055679)</f>
        <v>13055679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IFERROR(__xludf.DUMMYFUNCTION("""COMPUTED_VALUE"""),53.7)</f>
        <v>53.7</v>
      </c>
      <c r="D127" s="141">
        <f ca="1">IFERROR(__xludf.DUMMYFUNCTION("""COMPUTED_VALUE"""),53.89)</f>
        <v>53.89</v>
      </c>
      <c r="E127" s="141">
        <f ca="1">IFERROR(__xludf.DUMMYFUNCTION("""COMPUTED_VALUE"""),53.56)</f>
        <v>53.56</v>
      </c>
      <c r="F127" s="141">
        <f ca="1">IFERROR(__xludf.DUMMYFUNCTION("""COMPUTED_VALUE"""),53.58)</f>
        <v>53.58</v>
      </c>
      <c r="G127" s="143">
        <f ca="1">IFERROR(__xludf.DUMMYFUNCTION("""COMPUTED_VALUE"""),12956143)</f>
        <v>12956143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IFERROR(__xludf.DUMMYFUNCTION("""COMPUTED_VALUE"""),53.03)</f>
        <v>53.03</v>
      </c>
      <c r="D128" s="141">
        <f ca="1">IFERROR(__xludf.DUMMYFUNCTION("""COMPUTED_VALUE"""),53.28)</f>
        <v>53.28</v>
      </c>
      <c r="E128" s="141">
        <f ca="1">IFERROR(__xludf.DUMMYFUNCTION("""COMPUTED_VALUE"""),52.96)</f>
        <v>52.96</v>
      </c>
      <c r="F128" s="141">
        <f ca="1">IFERROR(__xludf.DUMMYFUNCTION("""COMPUTED_VALUE"""),53.11)</f>
        <v>53.11</v>
      </c>
      <c r="G128" s="143">
        <f ca="1">IFERROR(__xludf.DUMMYFUNCTION("""COMPUTED_VALUE"""),12086556)</f>
        <v>12086556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IFERROR(__xludf.DUMMYFUNCTION("""COMPUTED_VALUE"""),53.43)</f>
        <v>53.43</v>
      </c>
      <c r="D129" s="141">
        <f ca="1">IFERROR(__xludf.DUMMYFUNCTION("""COMPUTED_VALUE"""),53.5)</f>
        <v>53.5</v>
      </c>
      <c r="E129" s="141">
        <f ca="1">IFERROR(__xludf.DUMMYFUNCTION("""COMPUTED_VALUE"""),53.3)</f>
        <v>53.3</v>
      </c>
      <c r="F129" s="141">
        <f ca="1">IFERROR(__xludf.DUMMYFUNCTION("""COMPUTED_VALUE"""),53.45)</f>
        <v>53.45</v>
      </c>
      <c r="G129" s="143">
        <f ca="1">IFERROR(__xludf.DUMMYFUNCTION("""COMPUTED_VALUE"""),11853234)</f>
        <v>11853234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IFERROR(__xludf.DUMMYFUNCTION("""COMPUTED_VALUE"""),53.4)</f>
        <v>53.4</v>
      </c>
      <c r="D130" s="141">
        <f ca="1">IFERROR(__xludf.DUMMYFUNCTION("""COMPUTED_VALUE"""),53.72)</f>
        <v>53.72</v>
      </c>
      <c r="E130" s="141">
        <f ca="1">IFERROR(__xludf.DUMMYFUNCTION("""COMPUTED_VALUE"""),53.28)</f>
        <v>53.28</v>
      </c>
      <c r="F130" s="141">
        <f ca="1">IFERROR(__xludf.DUMMYFUNCTION("""COMPUTED_VALUE"""),53.7)</f>
        <v>53.7</v>
      </c>
      <c r="G130" s="143">
        <f ca="1">IFERROR(__xludf.DUMMYFUNCTION("""COMPUTED_VALUE"""),12384776)</f>
        <v>12384776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IFERROR(__xludf.DUMMYFUNCTION("""COMPUTED_VALUE"""),53.68)</f>
        <v>53.68</v>
      </c>
      <c r="D131" s="141">
        <f ca="1">IFERROR(__xludf.DUMMYFUNCTION("""COMPUTED_VALUE"""),53.73)</f>
        <v>53.73</v>
      </c>
      <c r="E131" s="141">
        <f ca="1">IFERROR(__xludf.DUMMYFUNCTION("""COMPUTED_VALUE"""),53.62)</f>
        <v>53.62</v>
      </c>
      <c r="F131" s="141">
        <f ca="1">IFERROR(__xludf.DUMMYFUNCTION("""COMPUTED_VALUE"""),53.68)</f>
        <v>53.68</v>
      </c>
      <c r="G131" s="143">
        <f ca="1">IFERROR(__xludf.DUMMYFUNCTION("""COMPUTED_VALUE"""),4991611)</f>
        <v>4991611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IFERROR(__xludf.DUMMYFUNCTION("""COMPUTED_VALUE"""),53.84)</f>
        <v>53.84</v>
      </c>
      <c r="D132" s="141">
        <f ca="1">IFERROR(__xludf.DUMMYFUNCTION("""COMPUTED_VALUE"""),54.02)</f>
        <v>54.02</v>
      </c>
      <c r="E132" s="141">
        <f ca="1">IFERROR(__xludf.DUMMYFUNCTION("""COMPUTED_VALUE"""),53.75)</f>
        <v>53.75</v>
      </c>
      <c r="F132" s="141">
        <f ca="1">IFERROR(__xludf.DUMMYFUNCTION("""COMPUTED_VALUE"""),54.02)</f>
        <v>54.02</v>
      </c>
      <c r="G132" s="143">
        <f ca="1">IFERROR(__xludf.DUMMYFUNCTION("""COMPUTED_VALUE"""),8210022)</f>
        <v>8210022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IFERROR(__xludf.DUMMYFUNCTION("""COMPUTED_VALUE"""),53.5)</f>
        <v>53.5</v>
      </c>
      <c r="D133" s="141">
        <f ca="1">IFERROR(__xludf.DUMMYFUNCTION("""COMPUTED_VALUE"""),53.63)</f>
        <v>53.63</v>
      </c>
      <c r="E133" s="141">
        <f ca="1">IFERROR(__xludf.DUMMYFUNCTION("""COMPUTED_VALUE"""),53.44)</f>
        <v>53.44</v>
      </c>
      <c r="F133" s="141">
        <f ca="1">IFERROR(__xludf.DUMMYFUNCTION("""COMPUTED_VALUE"""),53.61)</f>
        <v>53.61</v>
      </c>
      <c r="G133" s="143">
        <f ca="1">IFERROR(__xludf.DUMMYFUNCTION("""COMPUTED_VALUE"""),11570865)</f>
        <v>11570865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IFERROR(__xludf.DUMMYFUNCTION("""COMPUTED_VALUE"""),53.82)</f>
        <v>53.82</v>
      </c>
      <c r="D134" s="141">
        <f ca="1">IFERROR(__xludf.DUMMYFUNCTION("""COMPUTED_VALUE"""),53.91)</f>
        <v>53.91</v>
      </c>
      <c r="E134" s="141">
        <f ca="1">IFERROR(__xludf.DUMMYFUNCTION("""COMPUTED_VALUE"""),53.76)</f>
        <v>53.76</v>
      </c>
      <c r="F134" s="141">
        <f ca="1">IFERROR(__xludf.DUMMYFUNCTION("""COMPUTED_VALUE"""),53.81)</f>
        <v>53.81</v>
      </c>
      <c r="G134" s="143">
        <f ca="1">IFERROR(__xludf.DUMMYFUNCTION("""COMPUTED_VALUE"""),6283480)</f>
        <v>6283480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IFERROR(__xludf.DUMMYFUNCTION("""COMPUTED_VALUE"""),53.93)</f>
        <v>53.93</v>
      </c>
      <c r="D135" s="141">
        <f ca="1">IFERROR(__xludf.DUMMYFUNCTION("""COMPUTED_VALUE"""),53.93)</f>
        <v>53.93</v>
      </c>
      <c r="E135" s="141">
        <f ca="1">IFERROR(__xludf.DUMMYFUNCTION("""COMPUTED_VALUE"""),53.72)</f>
        <v>53.72</v>
      </c>
      <c r="F135" s="141">
        <f ca="1">IFERROR(__xludf.DUMMYFUNCTION("""COMPUTED_VALUE"""),53.76)</f>
        <v>53.76</v>
      </c>
      <c r="G135" s="143">
        <f ca="1">IFERROR(__xludf.DUMMYFUNCTION("""COMPUTED_VALUE"""),7619998)</f>
        <v>7619998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IFERROR(__xludf.DUMMYFUNCTION("""COMPUTED_VALUE"""),54.7)</f>
        <v>54.7</v>
      </c>
      <c r="D136" s="141">
        <f ca="1">IFERROR(__xludf.DUMMYFUNCTION("""COMPUTED_VALUE"""),54.95)</f>
        <v>54.95</v>
      </c>
      <c r="E136" s="141">
        <f ca="1">IFERROR(__xludf.DUMMYFUNCTION("""COMPUTED_VALUE"""),54.64)</f>
        <v>54.64</v>
      </c>
      <c r="F136" s="141">
        <f ca="1">IFERROR(__xludf.DUMMYFUNCTION("""COMPUTED_VALUE"""),54.93)</f>
        <v>54.93</v>
      </c>
      <c r="G136" s="143">
        <f ca="1">IFERROR(__xludf.DUMMYFUNCTION("""COMPUTED_VALUE"""),13654025)</f>
        <v>13654025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IFERROR(__xludf.DUMMYFUNCTION("""COMPUTED_VALUE"""),55.04)</f>
        <v>55.04</v>
      </c>
      <c r="D137" s="141">
        <f ca="1">IFERROR(__xludf.DUMMYFUNCTION("""COMPUTED_VALUE"""),55.3)</f>
        <v>55.3</v>
      </c>
      <c r="E137" s="141">
        <f ca="1">IFERROR(__xludf.DUMMYFUNCTION("""COMPUTED_VALUE"""),54.85)</f>
        <v>54.85</v>
      </c>
      <c r="F137" s="141">
        <f ca="1">IFERROR(__xludf.DUMMYFUNCTION("""COMPUTED_VALUE"""),55.29)</f>
        <v>55.29</v>
      </c>
      <c r="G137" s="143">
        <f ca="1">IFERROR(__xludf.DUMMYFUNCTION("""COMPUTED_VALUE"""),17010636)</f>
        <v>17010636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IFERROR(__xludf.DUMMYFUNCTION("""COMPUTED_VALUE"""),55.61)</f>
        <v>55.61</v>
      </c>
      <c r="D138" s="141">
        <f ca="1">IFERROR(__xludf.DUMMYFUNCTION("""COMPUTED_VALUE"""),55.82)</f>
        <v>55.82</v>
      </c>
      <c r="E138" s="141">
        <f ca="1">IFERROR(__xludf.DUMMYFUNCTION("""COMPUTED_VALUE"""),55.56)</f>
        <v>55.56</v>
      </c>
      <c r="F138" s="141">
        <f ca="1">IFERROR(__xludf.DUMMYFUNCTION("""COMPUTED_VALUE"""),55.59)</f>
        <v>55.59</v>
      </c>
      <c r="G138" s="143">
        <f ca="1">IFERROR(__xludf.DUMMYFUNCTION("""COMPUTED_VALUE"""),16666023)</f>
        <v>16666023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IFERROR(__xludf.DUMMYFUNCTION("""COMPUTED_VALUE"""),55.37)</f>
        <v>55.37</v>
      </c>
      <c r="D139" s="141">
        <f ca="1">IFERROR(__xludf.DUMMYFUNCTION("""COMPUTED_VALUE"""),55.42)</f>
        <v>55.42</v>
      </c>
      <c r="E139" s="141">
        <f ca="1">IFERROR(__xludf.DUMMYFUNCTION("""COMPUTED_VALUE"""),55.19)</f>
        <v>55.19</v>
      </c>
      <c r="F139" s="141">
        <f ca="1">IFERROR(__xludf.DUMMYFUNCTION("""COMPUTED_VALUE"""),55.25)</f>
        <v>55.25</v>
      </c>
      <c r="G139" s="143">
        <f ca="1">IFERROR(__xludf.DUMMYFUNCTION("""COMPUTED_VALUE"""),11228503)</f>
        <v>11228503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IFERROR(__xludf.DUMMYFUNCTION("""COMPUTED_VALUE"""),55.05)</f>
        <v>55.05</v>
      </c>
      <c r="D140" s="141">
        <f ca="1">IFERROR(__xludf.DUMMYFUNCTION("""COMPUTED_VALUE"""),55.34)</f>
        <v>55.34</v>
      </c>
      <c r="E140" s="141">
        <f ca="1">IFERROR(__xludf.DUMMYFUNCTION("""COMPUTED_VALUE"""),55.01)</f>
        <v>55.01</v>
      </c>
      <c r="F140" s="141">
        <f ca="1">IFERROR(__xludf.DUMMYFUNCTION("""COMPUTED_VALUE"""),55.31)</f>
        <v>55.31</v>
      </c>
      <c r="G140" s="143">
        <f ca="1">IFERROR(__xludf.DUMMYFUNCTION("""COMPUTED_VALUE"""),10794907)</f>
        <v>10794907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IFERROR(__xludf.DUMMYFUNCTION("""COMPUTED_VALUE"""),55.24)</f>
        <v>55.24</v>
      </c>
      <c r="D141" s="141">
        <f ca="1">IFERROR(__xludf.DUMMYFUNCTION("""COMPUTED_VALUE"""),55.44)</f>
        <v>55.44</v>
      </c>
      <c r="E141" s="141">
        <f ca="1">IFERROR(__xludf.DUMMYFUNCTION("""COMPUTED_VALUE"""),55.06)</f>
        <v>55.06</v>
      </c>
      <c r="F141" s="141">
        <f ca="1">IFERROR(__xludf.DUMMYFUNCTION("""COMPUTED_VALUE"""),55.43)</f>
        <v>55.43</v>
      </c>
      <c r="G141" s="143">
        <f ca="1">IFERROR(__xludf.DUMMYFUNCTION("""COMPUTED_VALUE"""),8923826)</f>
        <v>8923826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IFERROR(__xludf.DUMMYFUNCTION("""COMPUTED_VALUE"""),55.63)</f>
        <v>55.63</v>
      </c>
      <c r="D142" s="141">
        <f ca="1">IFERROR(__xludf.DUMMYFUNCTION("""COMPUTED_VALUE"""),56.34)</f>
        <v>56.34</v>
      </c>
      <c r="E142" s="141">
        <f ca="1">IFERROR(__xludf.DUMMYFUNCTION("""COMPUTED_VALUE"""),55.63)</f>
        <v>55.63</v>
      </c>
      <c r="F142" s="141">
        <f ca="1">IFERROR(__xludf.DUMMYFUNCTION("""COMPUTED_VALUE"""),56.29)</f>
        <v>56.29</v>
      </c>
      <c r="G142" s="143">
        <f ca="1">IFERROR(__xludf.DUMMYFUNCTION("""COMPUTED_VALUE"""),10116945)</f>
        <v>10116945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IFERROR(__xludf.DUMMYFUNCTION("""COMPUTED_VALUE"""),56.14)</f>
        <v>56.14</v>
      </c>
      <c r="D143" s="141">
        <f ca="1">IFERROR(__xludf.DUMMYFUNCTION("""COMPUTED_VALUE"""),56.19)</f>
        <v>56.19</v>
      </c>
      <c r="E143" s="141">
        <f ca="1">IFERROR(__xludf.DUMMYFUNCTION("""COMPUTED_VALUE"""),55.83)</f>
        <v>55.83</v>
      </c>
      <c r="F143" s="141">
        <f ca="1">IFERROR(__xludf.DUMMYFUNCTION("""COMPUTED_VALUE"""),55.96)</f>
        <v>55.96</v>
      </c>
      <c r="G143" s="143">
        <f ca="1">IFERROR(__xludf.DUMMYFUNCTION("""COMPUTED_VALUE"""),18907196)</f>
        <v>18907196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IFERROR(__xludf.DUMMYFUNCTION("""COMPUTED_VALUE"""),55.95)</f>
        <v>55.95</v>
      </c>
      <c r="D144" s="141">
        <f ca="1">IFERROR(__xludf.DUMMYFUNCTION("""COMPUTED_VALUE"""),56.1)</f>
        <v>56.1</v>
      </c>
      <c r="E144" s="141">
        <f ca="1">IFERROR(__xludf.DUMMYFUNCTION("""COMPUTED_VALUE"""),55.84)</f>
        <v>55.84</v>
      </c>
      <c r="F144" s="141">
        <f ca="1">IFERROR(__xludf.DUMMYFUNCTION("""COMPUTED_VALUE"""),56.08)</f>
        <v>56.08</v>
      </c>
      <c r="G144" s="143">
        <f ca="1">IFERROR(__xludf.DUMMYFUNCTION("""COMPUTED_VALUE"""),22873511)</f>
        <v>22873511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IFERROR(__xludf.DUMMYFUNCTION("""COMPUTED_VALUE"""),56.31)</f>
        <v>56.31</v>
      </c>
      <c r="D145" s="141">
        <f ca="1">IFERROR(__xludf.DUMMYFUNCTION("""COMPUTED_VALUE"""),56.57)</f>
        <v>56.57</v>
      </c>
      <c r="E145" s="141">
        <f ca="1">IFERROR(__xludf.DUMMYFUNCTION("""COMPUTED_VALUE"""),56.12)</f>
        <v>56.12</v>
      </c>
      <c r="F145" s="141">
        <f ca="1">IFERROR(__xludf.DUMMYFUNCTION("""COMPUTED_VALUE"""),56.34)</f>
        <v>56.34</v>
      </c>
      <c r="G145" s="143">
        <f ca="1">IFERROR(__xludf.DUMMYFUNCTION("""COMPUTED_VALUE"""),17565667)</f>
        <v>17565667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IFERROR(__xludf.DUMMYFUNCTION("""COMPUTED_VALUE"""),56.09)</f>
        <v>56.09</v>
      </c>
      <c r="D146" s="141">
        <f ca="1">IFERROR(__xludf.DUMMYFUNCTION("""COMPUTED_VALUE"""),56.15)</f>
        <v>56.15</v>
      </c>
      <c r="E146" s="141">
        <f ca="1">IFERROR(__xludf.DUMMYFUNCTION("""COMPUTED_VALUE"""),55.78)</f>
        <v>55.78</v>
      </c>
      <c r="F146" s="141">
        <f ca="1">IFERROR(__xludf.DUMMYFUNCTION("""COMPUTED_VALUE"""),56)</f>
        <v>56</v>
      </c>
      <c r="G146" s="143">
        <f ca="1">IFERROR(__xludf.DUMMYFUNCTION("""COMPUTED_VALUE"""),12321372)</f>
        <v>12321372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IFERROR(__xludf.DUMMYFUNCTION("""COMPUTED_VALUE"""),55.64)</f>
        <v>55.64</v>
      </c>
      <c r="D147" s="141">
        <f ca="1">IFERROR(__xludf.DUMMYFUNCTION("""COMPUTED_VALUE"""),55.89)</f>
        <v>55.89</v>
      </c>
      <c r="E147" s="141">
        <f ca="1">IFERROR(__xludf.DUMMYFUNCTION("""COMPUTED_VALUE"""),55.48)</f>
        <v>55.48</v>
      </c>
      <c r="F147" s="141">
        <f ca="1">IFERROR(__xludf.DUMMYFUNCTION("""COMPUTED_VALUE"""),55.54)</f>
        <v>55.54</v>
      </c>
      <c r="G147" s="143">
        <f ca="1">IFERROR(__xludf.DUMMYFUNCTION("""COMPUTED_VALUE"""),13740920)</f>
        <v>13740920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IFERROR(__xludf.DUMMYFUNCTION("""COMPUTED_VALUE"""),56.01)</f>
        <v>56.01</v>
      </c>
      <c r="D148" s="141">
        <f ca="1">IFERROR(__xludf.DUMMYFUNCTION("""COMPUTED_VALUE"""),56.32)</f>
        <v>56.32</v>
      </c>
      <c r="E148" s="141">
        <f ca="1">IFERROR(__xludf.DUMMYFUNCTION("""COMPUTED_VALUE"""),55.82)</f>
        <v>55.82</v>
      </c>
      <c r="F148" s="141">
        <f ca="1">IFERROR(__xludf.DUMMYFUNCTION("""COMPUTED_VALUE"""),56.11)</f>
        <v>56.11</v>
      </c>
      <c r="G148" s="143">
        <f ca="1">IFERROR(__xludf.DUMMYFUNCTION("""COMPUTED_VALUE"""),17088624)</f>
        <v>17088624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IFERROR(__xludf.DUMMYFUNCTION("""COMPUTED_VALUE"""),56.52)</f>
        <v>56.52</v>
      </c>
      <c r="D149" s="141">
        <f ca="1">IFERROR(__xludf.DUMMYFUNCTION("""COMPUTED_VALUE"""),56.79)</f>
        <v>56.79</v>
      </c>
      <c r="E149" s="141">
        <f ca="1">IFERROR(__xludf.DUMMYFUNCTION("""COMPUTED_VALUE"""),56.43)</f>
        <v>56.43</v>
      </c>
      <c r="F149" s="141">
        <f ca="1">IFERROR(__xludf.DUMMYFUNCTION("""COMPUTED_VALUE"""),56.55)</f>
        <v>56.55</v>
      </c>
      <c r="G149" s="143">
        <f ca="1">IFERROR(__xludf.DUMMYFUNCTION("""COMPUTED_VALUE"""),11880533)</f>
        <v>11880533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IFERROR(__xludf.DUMMYFUNCTION("""COMPUTED_VALUE"""),56.42)</f>
        <v>56.42</v>
      </c>
      <c r="D150" s="141">
        <f ca="1">IFERROR(__xludf.DUMMYFUNCTION("""COMPUTED_VALUE"""),56.86)</f>
        <v>56.86</v>
      </c>
      <c r="E150" s="141">
        <f ca="1">IFERROR(__xludf.DUMMYFUNCTION("""COMPUTED_VALUE"""),56.33)</f>
        <v>56.33</v>
      </c>
      <c r="F150" s="141">
        <f ca="1">IFERROR(__xludf.DUMMYFUNCTION("""COMPUTED_VALUE"""),56.77)</f>
        <v>56.77</v>
      </c>
      <c r="G150" s="143">
        <f ca="1">IFERROR(__xludf.DUMMYFUNCTION("""COMPUTED_VALUE"""),15530367)</f>
        <v>15530367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IFERROR(__xludf.DUMMYFUNCTION("""COMPUTED_VALUE"""),56.84)</f>
        <v>56.84</v>
      </c>
      <c r="D151" s="141">
        <f ca="1">IFERROR(__xludf.DUMMYFUNCTION("""COMPUTED_VALUE"""),57.1)</f>
        <v>57.1</v>
      </c>
      <c r="E151" s="141">
        <f ca="1">IFERROR(__xludf.DUMMYFUNCTION("""COMPUTED_VALUE"""),56.8)</f>
        <v>56.8</v>
      </c>
      <c r="F151" s="141">
        <f ca="1">IFERROR(__xludf.DUMMYFUNCTION("""COMPUTED_VALUE"""),56.93)</f>
        <v>56.93</v>
      </c>
      <c r="G151" s="143">
        <f ca="1">IFERROR(__xludf.DUMMYFUNCTION("""COMPUTED_VALUE"""),11402603)</f>
        <v>11402603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IFERROR(__xludf.DUMMYFUNCTION("""COMPUTED_VALUE"""),57.37)</f>
        <v>57.37</v>
      </c>
      <c r="D152" s="141">
        <f ca="1">IFERROR(__xludf.DUMMYFUNCTION("""COMPUTED_VALUE"""),57.69)</f>
        <v>57.69</v>
      </c>
      <c r="E152" s="141">
        <f ca="1">IFERROR(__xludf.DUMMYFUNCTION("""COMPUTED_VALUE"""),57.28)</f>
        <v>57.28</v>
      </c>
      <c r="F152" s="141">
        <f ca="1">IFERROR(__xludf.DUMMYFUNCTION("""COMPUTED_VALUE"""),57.64)</f>
        <v>57.64</v>
      </c>
      <c r="G152" s="143">
        <f ca="1">IFERROR(__xludf.DUMMYFUNCTION("""COMPUTED_VALUE"""),12136766)</f>
        <v>12136766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IFERROR(__xludf.DUMMYFUNCTION("""COMPUTED_VALUE"""),58.03)</f>
        <v>58.03</v>
      </c>
      <c r="D153" s="141">
        <f ca="1">IFERROR(__xludf.DUMMYFUNCTION("""COMPUTED_VALUE"""),58.1)</f>
        <v>58.1</v>
      </c>
      <c r="E153" s="141">
        <f ca="1">IFERROR(__xludf.DUMMYFUNCTION("""COMPUTED_VALUE"""),57.62)</f>
        <v>57.62</v>
      </c>
      <c r="F153" s="141">
        <f ca="1">IFERROR(__xludf.DUMMYFUNCTION("""COMPUTED_VALUE"""),57.86)</f>
        <v>57.86</v>
      </c>
      <c r="G153" s="143">
        <f ca="1">IFERROR(__xludf.DUMMYFUNCTION("""COMPUTED_VALUE"""),11659204)</f>
        <v>11659204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IFERROR(__xludf.DUMMYFUNCTION("""COMPUTED_VALUE"""),58)</f>
        <v>58</v>
      </c>
      <c r="D154" s="141">
        <f ca="1">IFERROR(__xludf.DUMMYFUNCTION("""COMPUTED_VALUE"""),58.06)</f>
        <v>58.06</v>
      </c>
      <c r="E154" s="141">
        <f ca="1">IFERROR(__xludf.DUMMYFUNCTION("""COMPUTED_VALUE"""),56.89)</f>
        <v>56.89</v>
      </c>
      <c r="F154" s="141">
        <f ca="1">IFERROR(__xludf.DUMMYFUNCTION("""COMPUTED_VALUE"""),57.64)</f>
        <v>57.64</v>
      </c>
      <c r="G154" s="143">
        <f ca="1">IFERROR(__xludf.DUMMYFUNCTION("""COMPUTED_VALUE"""),19033295)</f>
        <v>19033295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IFERROR(__xludf.DUMMYFUNCTION("""COMPUTED_VALUE"""),56.96)</f>
        <v>56.96</v>
      </c>
      <c r="D155" s="141">
        <f ca="1">IFERROR(__xludf.DUMMYFUNCTION("""COMPUTED_VALUE"""),57.12)</f>
        <v>57.12</v>
      </c>
      <c r="E155" s="141">
        <f ca="1">IFERROR(__xludf.DUMMYFUNCTION("""COMPUTED_VALUE"""),56.18)</f>
        <v>56.18</v>
      </c>
      <c r="F155" s="141">
        <f ca="1">IFERROR(__xludf.DUMMYFUNCTION("""COMPUTED_VALUE"""),56.47)</f>
        <v>56.47</v>
      </c>
      <c r="G155" s="143">
        <f ca="1">IFERROR(__xludf.DUMMYFUNCTION("""COMPUTED_VALUE"""),21105093)</f>
        <v>21105093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IFERROR(__xludf.DUMMYFUNCTION("""COMPUTED_VALUE"""),56.08)</f>
        <v>56.08</v>
      </c>
      <c r="D156" s="141">
        <f ca="1">IFERROR(__xludf.DUMMYFUNCTION("""COMPUTED_VALUE"""),56.91)</f>
        <v>56.91</v>
      </c>
      <c r="E156" s="141">
        <f ca="1">IFERROR(__xludf.DUMMYFUNCTION("""COMPUTED_VALUE"""),56.06)</f>
        <v>56.06</v>
      </c>
      <c r="F156" s="141">
        <f ca="1">IFERROR(__xludf.DUMMYFUNCTION("""COMPUTED_VALUE"""),56.78)</f>
        <v>56.78</v>
      </c>
      <c r="G156" s="143">
        <f ca="1">IFERROR(__xludf.DUMMYFUNCTION("""COMPUTED_VALUE"""),25274994)</f>
        <v>25274994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IFERROR(__xludf.DUMMYFUNCTION("""COMPUTED_VALUE"""),57.01)</f>
        <v>57.01</v>
      </c>
      <c r="D157" s="141">
        <f ca="1">IFERROR(__xludf.DUMMYFUNCTION("""COMPUTED_VALUE"""),57.08)</f>
        <v>57.08</v>
      </c>
      <c r="E157" s="141">
        <f ca="1">IFERROR(__xludf.DUMMYFUNCTION("""COMPUTED_VALUE"""),56.3)</f>
        <v>56.3</v>
      </c>
      <c r="F157" s="141">
        <f ca="1">IFERROR(__xludf.DUMMYFUNCTION("""COMPUTED_VALUE"""),56.75)</f>
        <v>56.75</v>
      </c>
      <c r="G157" s="143">
        <f ca="1">IFERROR(__xludf.DUMMYFUNCTION("""COMPUTED_VALUE"""),19002742)</f>
        <v>19002742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IFERROR(__xludf.DUMMYFUNCTION("""COMPUTED_VALUE"""),57.05)</f>
        <v>57.05</v>
      </c>
      <c r="D158" s="141">
        <f ca="1">IFERROR(__xludf.DUMMYFUNCTION("""COMPUTED_VALUE"""),57.05)</f>
        <v>57.05</v>
      </c>
      <c r="E158" s="141">
        <f ca="1">IFERROR(__xludf.DUMMYFUNCTION("""COMPUTED_VALUE"""),56.12)</f>
        <v>56.12</v>
      </c>
      <c r="F158" s="141">
        <f ca="1">IFERROR(__xludf.DUMMYFUNCTION("""COMPUTED_VALUE"""),56.41)</f>
        <v>56.41</v>
      </c>
      <c r="G158" s="143">
        <f ca="1">IFERROR(__xludf.DUMMYFUNCTION("""COMPUTED_VALUE"""),15093745)</f>
        <v>15093745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IFERROR(__xludf.DUMMYFUNCTION("""COMPUTED_VALUE"""),56.16)</f>
        <v>56.16</v>
      </c>
      <c r="D159" s="141">
        <f ca="1">IFERROR(__xludf.DUMMYFUNCTION("""COMPUTED_VALUE"""),56.52)</f>
        <v>56.52</v>
      </c>
      <c r="E159" s="141">
        <f ca="1">IFERROR(__xludf.DUMMYFUNCTION("""COMPUTED_VALUE"""),55.9)</f>
        <v>55.9</v>
      </c>
      <c r="F159" s="141">
        <f ca="1">IFERROR(__xludf.DUMMYFUNCTION("""COMPUTED_VALUE"""),56.04)</f>
        <v>56.04</v>
      </c>
      <c r="G159" s="143">
        <f ca="1">IFERROR(__xludf.DUMMYFUNCTION("""COMPUTED_VALUE"""),11123640)</f>
        <v>11123640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IFERROR(__xludf.DUMMYFUNCTION("""COMPUTED_VALUE"""),56.66)</f>
        <v>56.66</v>
      </c>
      <c r="D160" s="141">
        <f ca="1">IFERROR(__xludf.DUMMYFUNCTION("""COMPUTED_VALUE"""),57.29)</f>
        <v>57.29</v>
      </c>
      <c r="E160" s="141">
        <f ca="1">IFERROR(__xludf.DUMMYFUNCTION("""COMPUTED_VALUE"""),56.66)</f>
        <v>56.66</v>
      </c>
      <c r="F160" s="141">
        <f ca="1">IFERROR(__xludf.DUMMYFUNCTION("""COMPUTED_VALUE"""),57.26)</f>
        <v>57.26</v>
      </c>
      <c r="G160" s="143">
        <f ca="1">IFERROR(__xludf.DUMMYFUNCTION("""COMPUTED_VALUE"""),10467315)</f>
        <v>10467315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IFERROR(__xludf.DUMMYFUNCTION("""COMPUTED_VALUE"""),57.32)</f>
        <v>57.32</v>
      </c>
      <c r="D161" s="141">
        <f ca="1">IFERROR(__xludf.DUMMYFUNCTION("""COMPUTED_VALUE"""),57.86)</f>
        <v>57.86</v>
      </c>
      <c r="E161" s="141">
        <f ca="1">IFERROR(__xludf.DUMMYFUNCTION("""COMPUTED_VALUE"""),57.29)</f>
        <v>57.29</v>
      </c>
      <c r="F161" s="141">
        <f ca="1">IFERROR(__xludf.DUMMYFUNCTION("""COMPUTED_VALUE"""),57.75)</f>
        <v>57.75</v>
      </c>
      <c r="G161" s="143">
        <f ca="1">IFERROR(__xludf.DUMMYFUNCTION("""COMPUTED_VALUE"""),11064392)</f>
        <v>11064392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IFERROR(__xludf.DUMMYFUNCTION("""COMPUTED_VALUE"""),58.02)</f>
        <v>58.02</v>
      </c>
      <c r="D162" s="141">
        <f ca="1">IFERROR(__xludf.DUMMYFUNCTION("""COMPUTED_VALUE"""),58.15)</f>
        <v>58.15</v>
      </c>
      <c r="E162" s="141">
        <f ca="1">IFERROR(__xludf.DUMMYFUNCTION("""COMPUTED_VALUE"""),57.83)</f>
        <v>57.83</v>
      </c>
      <c r="F162" s="141">
        <f ca="1">IFERROR(__xludf.DUMMYFUNCTION("""COMPUTED_VALUE"""),58.01)</f>
        <v>58.01</v>
      </c>
      <c r="G162" s="143">
        <f ca="1">IFERROR(__xludf.DUMMYFUNCTION("""COMPUTED_VALUE"""),9922936)</f>
        <v>9922936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IFERROR(__xludf.DUMMYFUNCTION("""COMPUTED_VALUE"""),58.33)</f>
        <v>58.33</v>
      </c>
      <c r="D163" s="141">
        <f ca="1">IFERROR(__xludf.DUMMYFUNCTION("""COMPUTED_VALUE"""),58.6)</f>
        <v>58.6</v>
      </c>
      <c r="E163" s="141">
        <f ca="1">IFERROR(__xludf.DUMMYFUNCTION("""COMPUTED_VALUE"""),58)</f>
        <v>58</v>
      </c>
      <c r="F163" s="141">
        <f ca="1">IFERROR(__xludf.DUMMYFUNCTION("""COMPUTED_VALUE"""),58.51)</f>
        <v>58.51</v>
      </c>
      <c r="G163" s="143">
        <f ca="1">IFERROR(__xludf.DUMMYFUNCTION("""COMPUTED_VALUE"""),8333106)</f>
        <v>8333106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IFERROR(__xludf.DUMMYFUNCTION("""COMPUTED_VALUE"""),58.61)</f>
        <v>58.61</v>
      </c>
      <c r="D164" s="141">
        <f ca="1">IFERROR(__xludf.DUMMYFUNCTION("""COMPUTED_VALUE"""),58.61)</f>
        <v>58.61</v>
      </c>
      <c r="E164" s="141">
        <f ca="1">IFERROR(__xludf.DUMMYFUNCTION("""COMPUTED_VALUE"""),57.65)</f>
        <v>57.65</v>
      </c>
      <c r="F164" s="141">
        <f ca="1">IFERROR(__xludf.DUMMYFUNCTION("""COMPUTED_VALUE"""),57.76)</f>
        <v>57.76</v>
      </c>
      <c r="G164" s="143">
        <f ca="1">IFERROR(__xludf.DUMMYFUNCTION("""COMPUTED_VALUE"""),10097616)</f>
        <v>10097616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IFERROR(__xludf.DUMMYFUNCTION("""COMPUTED_VALUE"""),57.46)</f>
        <v>57.46</v>
      </c>
      <c r="D165" s="141">
        <f ca="1">IFERROR(__xludf.DUMMYFUNCTION("""COMPUTED_VALUE"""),57.85)</f>
        <v>57.85</v>
      </c>
      <c r="E165" s="141">
        <f ca="1">IFERROR(__xludf.DUMMYFUNCTION("""COMPUTED_VALUE"""),57.18)</f>
        <v>57.18</v>
      </c>
      <c r="F165" s="141">
        <f ca="1">IFERROR(__xludf.DUMMYFUNCTION("""COMPUTED_VALUE"""),57.75)</f>
        <v>57.75</v>
      </c>
      <c r="G165" s="143">
        <f ca="1">IFERROR(__xludf.DUMMYFUNCTION("""COMPUTED_VALUE"""),9795435)</f>
        <v>9795435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IFERROR(__xludf.DUMMYFUNCTION("""COMPUTED_VALUE"""),57.51)</f>
        <v>57.51</v>
      </c>
      <c r="D166" s="141">
        <f ca="1">IFERROR(__xludf.DUMMYFUNCTION("""COMPUTED_VALUE"""),57.88)</f>
        <v>57.88</v>
      </c>
      <c r="E166" s="141">
        <f ca="1">IFERROR(__xludf.DUMMYFUNCTION("""COMPUTED_VALUE"""),57.15)</f>
        <v>57.15</v>
      </c>
      <c r="F166" s="141">
        <f ca="1">IFERROR(__xludf.DUMMYFUNCTION("""COMPUTED_VALUE"""),57.79)</f>
        <v>57.79</v>
      </c>
      <c r="G166" s="143">
        <f ca="1">IFERROR(__xludf.DUMMYFUNCTION("""COMPUTED_VALUE"""),9303304)</f>
        <v>9303304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IFERROR(__xludf.DUMMYFUNCTION("""COMPUTED_VALUE"""),57.99)</f>
        <v>57.99</v>
      </c>
      <c r="D167" s="141">
        <f ca="1">IFERROR(__xludf.DUMMYFUNCTION("""COMPUTED_VALUE"""),58.29)</f>
        <v>58.29</v>
      </c>
      <c r="E167" s="141">
        <f ca="1">IFERROR(__xludf.DUMMYFUNCTION("""COMPUTED_VALUE"""),57.78)</f>
        <v>57.78</v>
      </c>
      <c r="F167" s="141">
        <f ca="1">IFERROR(__xludf.DUMMYFUNCTION("""COMPUTED_VALUE"""),57.95)</f>
        <v>57.95</v>
      </c>
      <c r="G167" s="143">
        <f ca="1">IFERROR(__xludf.DUMMYFUNCTION("""COMPUTED_VALUE"""),8544772)</f>
        <v>8544772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IFERROR(__xludf.DUMMYFUNCTION("""COMPUTED_VALUE"""),57.47)</f>
        <v>57.47</v>
      </c>
      <c r="D168" s="141">
        <f ca="1">IFERROR(__xludf.DUMMYFUNCTION("""COMPUTED_VALUE"""),57.6)</f>
        <v>57.6</v>
      </c>
      <c r="E168" s="141">
        <f ca="1">IFERROR(__xludf.DUMMYFUNCTION("""COMPUTED_VALUE"""),57.24)</f>
        <v>57.24</v>
      </c>
      <c r="F168" s="141">
        <f ca="1">IFERROR(__xludf.DUMMYFUNCTION("""COMPUTED_VALUE"""),57.59)</f>
        <v>57.59</v>
      </c>
      <c r="G168" s="143">
        <f ca="1">IFERROR(__xludf.DUMMYFUNCTION("""COMPUTED_VALUE"""),6588403)</f>
        <v>6588403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IFERROR(__xludf.DUMMYFUNCTION("""COMPUTED_VALUE"""),57.48)</f>
        <v>57.48</v>
      </c>
      <c r="D169" s="141">
        <f ca="1">IFERROR(__xludf.DUMMYFUNCTION("""COMPUTED_VALUE"""),58.54)</f>
        <v>58.54</v>
      </c>
      <c r="E169" s="141">
        <f ca="1">IFERROR(__xludf.DUMMYFUNCTION("""COMPUTED_VALUE"""),57.42)</f>
        <v>57.42</v>
      </c>
      <c r="F169" s="141">
        <f ca="1">IFERROR(__xludf.DUMMYFUNCTION("""COMPUTED_VALUE"""),58.53)</f>
        <v>58.53</v>
      </c>
      <c r="G169" s="143">
        <f ca="1">IFERROR(__xludf.DUMMYFUNCTION("""COMPUTED_VALUE"""),7897368)</f>
        <v>7897368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IFERROR(__xludf.DUMMYFUNCTION("""COMPUTED_VALUE"""),58.35)</f>
        <v>58.35</v>
      </c>
      <c r="D170" s="141">
        <f ca="1">IFERROR(__xludf.DUMMYFUNCTION("""COMPUTED_VALUE"""),58.53)</f>
        <v>58.53</v>
      </c>
      <c r="E170" s="141">
        <f ca="1">IFERROR(__xludf.DUMMYFUNCTION("""COMPUTED_VALUE"""),57.95)</f>
        <v>57.95</v>
      </c>
      <c r="F170" s="141">
        <f ca="1">IFERROR(__xludf.DUMMYFUNCTION("""COMPUTED_VALUE"""),58.06)</f>
        <v>58.06</v>
      </c>
      <c r="G170" s="143">
        <f ca="1">IFERROR(__xludf.DUMMYFUNCTION("""COMPUTED_VALUE"""),8689867)</f>
        <v>8689867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IFERROR(__xludf.DUMMYFUNCTION("""COMPUTED_VALUE"""),58.36)</f>
        <v>58.36</v>
      </c>
      <c r="D171" s="141">
        <f ca="1">IFERROR(__xludf.DUMMYFUNCTION("""COMPUTED_VALUE"""),58.82)</f>
        <v>58.82</v>
      </c>
      <c r="E171" s="141">
        <f ca="1">IFERROR(__xludf.DUMMYFUNCTION("""COMPUTED_VALUE"""),58.25)</f>
        <v>58.25</v>
      </c>
      <c r="F171" s="141">
        <f ca="1">IFERROR(__xludf.DUMMYFUNCTION("""COMPUTED_VALUE"""),58.68)</f>
        <v>58.68</v>
      </c>
      <c r="G171" s="143">
        <f ca="1">IFERROR(__xludf.DUMMYFUNCTION("""COMPUTED_VALUE"""),9332108)</f>
        <v>9332108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IFERROR(__xludf.DUMMYFUNCTION("""COMPUTED_VALUE"""),59.09)</f>
        <v>59.09</v>
      </c>
      <c r="D172" s="141">
        <f ca="1">IFERROR(__xludf.DUMMYFUNCTION("""COMPUTED_VALUE"""),59.09)</f>
        <v>59.09</v>
      </c>
      <c r="E172" s="141">
        <f ca="1">IFERROR(__xludf.DUMMYFUNCTION("""COMPUTED_VALUE"""),58.74)</f>
        <v>58.74</v>
      </c>
      <c r="F172" s="141">
        <f ca="1">IFERROR(__xludf.DUMMYFUNCTION("""COMPUTED_VALUE"""),59.01)</f>
        <v>59.01</v>
      </c>
      <c r="G172" s="143">
        <f ca="1">IFERROR(__xludf.DUMMYFUNCTION("""COMPUTED_VALUE"""),6891660)</f>
        <v>6891660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IFERROR(__xludf.DUMMYFUNCTION("""COMPUTED_VALUE"""),58.65)</f>
        <v>58.65</v>
      </c>
      <c r="D173" s="141">
        <f ca="1">IFERROR(__xludf.DUMMYFUNCTION("""COMPUTED_VALUE"""),58.65)</f>
        <v>58.65</v>
      </c>
      <c r="E173" s="141">
        <f ca="1">IFERROR(__xludf.DUMMYFUNCTION("""COMPUTED_VALUE"""),57.88)</f>
        <v>57.88</v>
      </c>
      <c r="F173" s="141">
        <f ca="1">IFERROR(__xludf.DUMMYFUNCTION("""COMPUTED_VALUE"""),58.27)</f>
        <v>58.27</v>
      </c>
      <c r="G173" s="143">
        <f ca="1">IFERROR(__xludf.DUMMYFUNCTION("""COMPUTED_VALUE"""),10223729)</f>
        <v>10223729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IFERROR(__xludf.DUMMYFUNCTION("""COMPUTED_VALUE"""),57.92)</f>
        <v>57.92</v>
      </c>
      <c r="D174" s="141">
        <f ca="1">IFERROR(__xludf.DUMMYFUNCTION("""COMPUTED_VALUE"""),58.22)</f>
        <v>58.22</v>
      </c>
      <c r="E174" s="141">
        <f ca="1">IFERROR(__xludf.DUMMYFUNCTION("""COMPUTED_VALUE"""),57.83)</f>
        <v>57.83</v>
      </c>
      <c r="F174" s="141">
        <f ca="1">IFERROR(__xludf.DUMMYFUNCTION("""COMPUTED_VALUE"""),58.1)</f>
        <v>58.1</v>
      </c>
      <c r="G174" s="143">
        <f ca="1">IFERROR(__xludf.DUMMYFUNCTION("""COMPUTED_VALUE"""),10694556)</f>
        <v>10694556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IFERROR(__xludf.DUMMYFUNCTION("""COMPUTED_VALUE"""),56.81)</f>
        <v>56.81</v>
      </c>
      <c r="D175" s="141">
        <f ca="1">IFERROR(__xludf.DUMMYFUNCTION("""COMPUTED_VALUE"""),57.5)</f>
        <v>57.5</v>
      </c>
      <c r="E175" s="141">
        <f ca="1">IFERROR(__xludf.DUMMYFUNCTION("""COMPUTED_VALUE"""),56.76)</f>
        <v>56.76</v>
      </c>
      <c r="F175" s="141">
        <f ca="1">IFERROR(__xludf.DUMMYFUNCTION("""COMPUTED_VALUE"""),57.24)</f>
        <v>57.24</v>
      </c>
      <c r="G175" s="143">
        <f ca="1">IFERROR(__xludf.DUMMYFUNCTION("""COMPUTED_VALUE"""),12715575)</f>
        <v>12715575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IFERROR(__xludf.DUMMYFUNCTION("""COMPUTED_VALUE"""),54.88)</f>
        <v>54.88</v>
      </c>
      <c r="D176" s="141">
        <f ca="1">IFERROR(__xludf.DUMMYFUNCTION("""COMPUTED_VALUE"""),55.48)</f>
        <v>55.48</v>
      </c>
      <c r="E176" s="141">
        <f ca="1">IFERROR(__xludf.DUMMYFUNCTION("""COMPUTED_VALUE"""),53.94)</f>
        <v>53.94</v>
      </c>
      <c r="F176" s="141">
        <f ca="1">IFERROR(__xludf.DUMMYFUNCTION("""COMPUTED_VALUE"""),55.23)</f>
        <v>55.23</v>
      </c>
      <c r="G176" s="143">
        <f ca="1">IFERROR(__xludf.DUMMYFUNCTION("""COMPUTED_VALUE"""),31761578)</f>
        <v>31761578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IFERROR(__xludf.DUMMYFUNCTION("""COMPUTED_VALUE"""),55.42)</f>
        <v>55.42</v>
      </c>
      <c r="D177" s="141">
        <f ca="1">IFERROR(__xludf.DUMMYFUNCTION("""COMPUTED_VALUE"""),55.67)</f>
        <v>55.67</v>
      </c>
      <c r="E177" s="141">
        <f ca="1">IFERROR(__xludf.DUMMYFUNCTION("""COMPUTED_VALUE"""),55.09)</f>
        <v>55.09</v>
      </c>
      <c r="F177" s="141">
        <f ca="1">IFERROR(__xludf.DUMMYFUNCTION("""COMPUTED_VALUE"""),55.58)</f>
        <v>55.58</v>
      </c>
      <c r="G177" s="143">
        <f ca="1">IFERROR(__xludf.DUMMYFUNCTION("""COMPUTED_VALUE"""),21492590)</f>
        <v>21492590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IFERROR(__xludf.DUMMYFUNCTION("""COMPUTED_VALUE"""),54.94)</f>
        <v>54.94</v>
      </c>
      <c r="D178" s="141">
        <f ca="1">IFERROR(__xludf.DUMMYFUNCTION("""COMPUTED_VALUE"""),55.35)</f>
        <v>55.35</v>
      </c>
      <c r="E178" s="141">
        <f ca="1">IFERROR(__xludf.DUMMYFUNCTION("""COMPUTED_VALUE"""),54.24)</f>
        <v>54.24</v>
      </c>
      <c r="F178" s="141">
        <f ca="1">IFERROR(__xludf.DUMMYFUNCTION("""COMPUTED_VALUE"""),54.85)</f>
        <v>54.85</v>
      </c>
      <c r="G178" s="143">
        <f ca="1">IFERROR(__xludf.DUMMYFUNCTION("""COMPUTED_VALUE"""),15355283)</f>
        <v>15355283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IFERROR(__xludf.DUMMYFUNCTION("""COMPUTED_VALUE"""),54.33)</f>
        <v>54.33</v>
      </c>
      <c r="D179" s="141">
        <f ca="1">IFERROR(__xludf.DUMMYFUNCTION("""COMPUTED_VALUE"""),54.78)</f>
        <v>54.78</v>
      </c>
      <c r="E179" s="141">
        <f ca="1">IFERROR(__xludf.DUMMYFUNCTION("""COMPUTED_VALUE"""),54.12)</f>
        <v>54.12</v>
      </c>
      <c r="F179" s="141">
        <f ca="1">IFERROR(__xludf.DUMMYFUNCTION("""COMPUTED_VALUE"""),54.47)</f>
        <v>54.47</v>
      </c>
      <c r="G179" s="143">
        <f ca="1">IFERROR(__xludf.DUMMYFUNCTION("""COMPUTED_VALUE"""),9825557)</f>
        <v>9825557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IFERROR(__xludf.DUMMYFUNCTION("""COMPUTED_VALUE"""),53.98)</f>
        <v>53.98</v>
      </c>
      <c r="D180" s="141">
        <f ca="1">IFERROR(__xludf.DUMMYFUNCTION("""COMPUTED_VALUE"""),55.34)</f>
        <v>55.34</v>
      </c>
      <c r="E180" s="141">
        <f ca="1">IFERROR(__xludf.DUMMYFUNCTION("""COMPUTED_VALUE"""),53.66)</f>
        <v>53.66</v>
      </c>
      <c r="F180" s="141">
        <f ca="1">IFERROR(__xludf.DUMMYFUNCTION("""COMPUTED_VALUE"""),55.13)</f>
        <v>55.13</v>
      </c>
      <c r="G180" s="143">
        <f ca="1">IFERROR(__xludf.DUMMYFUNCTION("""COMPUTED_VALUE"""),21263364)</f>
        <v>21263364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IFERROR(__xludf.DUMMYFUNCTION("""COMPUTED_VALUE"""),55.39)</f>
        <v>55.39</v>
      </c>
      <c r="D181" s="141">
        <f ca="1">IFERROR(__xludf.DUMMYFUNCTION("""COMPUTED_VALUE"""),56.27)</f>
        <v>56.27</v>
      </c>
      <c r="E181" s="141">
        <f ca="1">IFERROR(__xludf.DUMMYFUNCTION("""COMPUTED_VALUE"""),55.2)</f>
        <v>55.2</v>
      </c>
      <c r="F181" s="141">
        <f ca="1">IFERROR(__xludf.DUMMYFUNCTION("""COMPUTED_VALUE"""),55.51)</f>
        <v>55.51</v>
      </c>
      <c r="G181" s="143">
        <f ca="1">IFERROR(__xludf.DUMMYFUNCTION("""COMPUTED_VALUE"""),14294916)</f>
        <v>14294916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IFERROR(__xludf.DUMMYFUNCTION("""COMPUTED_VALUE"""),55.52)</f>
        <v>55.52</v>
      </c>
      <c r="D182" s="141">
        <f ca="1">IFERROR(__xludf.DUMMYFUNCTION("""COMPUTED_VALUE"""),55.81)</f>
        <v>55.81</v>
      </c>
      <c r="E182" s="141">
        <f ca="1">IFERROR(__xludf.DUMMYFUNCTION("""COMPUTED_VALUE"""),55.27)</f>
        <v>55.27</v>
      </c>
      <c r="F182" s="141">
        <f ca="1">IFERROR(__xludf.DUMMYFUNCTION("""COMPUTED_VALUE"""),55.56)</f>
        <v>55.56</v>
      </c>
      <c r="G182" s="143">
        <f ca="1">IFERROR(__xludf.DUMMYFUNCTION("""COMPUTED_VALUE"""),12627210)</f>
        <v>12627210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IFERROR(__xludf.DUMMYFUNCTION("""COMPUTED_VALUE"""),55.06)</f>
        <v>55.06</v>
      </c>
      <c r="D183" s="141">
        <f ca="1">IFERROR(__xludf.DUMMYFUNCTION("""COMPUTED_VALUE"""),55.09)</f>
        <v>55.09</v>
      </c>
      <c r="E183" s="141">
        <f ca="1">IFERROR(__xludf.DUMMYFUNCTION("""COMPUTED_VALUE"""),54.2)</f>
        <v>54.2</v>
      </c>
      <c r="F183" s="141">
        <f ca="1">IFERROR(__xludf.DUMMYFUNCTION("""COMPUTED_VALUE"""),54.31)</f>
        <v>54.31</v>
      </c>
      <c r="G183" s="143">
        <f ca="1">IFERROR(__xludf.DUMMYFUNCTION("""COMPUTED_VALUE"""),12484537)</f>
        <v>12484537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IFERROR(__xludf.DUMMYFUNCTION("""COMPUTED_VALUE"""),54.66)</f>
        <v>54.66</v>
      </c>
      <c r="D184" s="141">
        <f ca="1">IFERROR(__xludf.DUMMYFUNCTION("""COMPUTED_VALUE"""),54.96)</f>
        <v>54.96</v>
      </c>
      <c r="E184" s="141">
        <f ca="1">IFERROR(__xludf.DUMMYFUNCTION("""COMPUTED_VALUE"""),53.89)</f>
        <v>53.89</v>
      </c>
      <c r="F184" s="141">
        <f ca="1">IFERROR(__xludf.DUMMYFUNCTION("""COMPUTED_VALUE"""),54.02)</f>
        <v>54.02</v>
      </c>
      <c r="G184" s="143">
        <f ca="1">IFERROR(__xludf.DUMMYFUNCTION("""COMPUTED_VALUE"""),12987417)</f>
        <v>12987417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IFERROR(__xludf.DUMMYFUNCTION("""COMPUTED_VALUE"""),54.79)</f>
        <v>54.79</v>
      </c>
      <c r="D185" s="141">
        <f ca="1">IFERROR(__xludf.DUMMYFUNCTION("""COMPUTED_VALUE"""),55.2)</f>
        <v>55.2</v>
      </c>
      <c r="E185" s="141">
        <f ca="1">IFERROR(__xludf.DUMMYFUNCTION("""COMPUTED_VALUE"""),54.73)</f>
        <v>54.73</v>
      </c>
      <c r="F185" s="141">
        <f ca="1">IFERROR(__xludf.DUMMYFUNCTION("""COMPUTED_VALUE"""),55.02)</f>
        <v>55.02</v>
      </c>
      <c r="G185" s="143">
        <f ca="1">IFERROR(__xludf.DUMMYFUNCTION("""COMPUTED_VALUE"""),10707478)</f>
        <v>10707478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IFERROR(__xludf.DUMMYFUNCTION("""COMPUTED_VALUE"""),55.43)</f>
        <v>55.43</v>
      </c>
      <c r="D186" s="141">
        <f ca="1">IFERROR(__xludf.DUMMYFUNCTION("""COMPUTED_VALUE"""),55.48)</f>
        <v>55.48</v>
      </c>
      <c r="E186" s="141">
        <f ca="1">IFERROR(__xludf.DUMMYFUNCTION("""COMPUTED_VALUE"""),55.1)</f>
        <v>55.1</v>
      </c>
      <c r="F186" s="141">
        <f ca="1">IFERROR(__xludf.DUMMYFUNCTION("""COMPUTED_VALUE"""),55.26)</f>
        <v>55.26</v>
      </c>
      <c r="G186" s="143">
        <f ca="1">IFERROR(__xludf.DUMMYFUNCTION("""COMPUTED_VALUE"""),6363806)</f>
        <v>6363806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IFERROR(__xludf.DUMMYFUNCTION("""COMPUTED_VALUE"""),54.88)</f>
        <v>54.88</v>
      </c>
      <c r="D187" s="141">
        <f ca="1">IFERROR(__xludf.DUMMYFUNCTION("""COMPUTED_VALUE"""),55.06)</f>
        <v>55.06</v>
      </c>
      <c r="E187" s="141">
        <f ca="1">IFERROR(__xludf.DUMMYFUNCTION("""COMPUTED_VALUE"""),54.2)</f>
        <v>54.2</v>
      </c>
      <c r="F187" s="141">
        <f ca="1">IFERROR(__xludf.DUMMYFUNCTION("""COMPUTED_VALUE"""),54.21)</f>
        <v>54.21</v>
      </c>
      <c r="G187" s="143">
        <f ca="1">IFERROR(__xludf.DUMMYFUNCTION("""COMPUTED_VALUE"""),8065494)</f>
        <v>8065494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IFERROR(__xludf.DUMMYFUNCTION("""COMPUTED_VALUE"""),53.32)</f>
        <v>53.32</v>
      </c>
      <c r="D188" s="141">
        <f ca="1">IFERROR(__xludf.DUMMYFUNCTION("""COMPUTED_VALUE"""),54.25)</f>
        <v>54.25</v>
      </c>
      <c r="E188" s="141">
        <f ca="1">IFERROR(__xludf.DUMMYFUNCTION("""COMPUTED_VALUE"""),53.15)</f>
        <v>53.15</v>
      </c>
      <c r="F188" s="141">
        <f ca="1">IFERROR(__xludf.DUMMYFUNCTION("""COMPUTED_VALUE"""),54.01)</f>
        <v>54.01</v>
      </c>
      <c r="G188" s="143">
        <f ca="1">IFERROR(__xludf.DUMMYFUNCTION("""COMPUTED_VALUE"""),17655839)</f>
        <v>17655839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IFERROR(__xludf.DUMMYFUNCTION("""COMPUTED_VALUE"""),53.55)</f>
        <v>53.55</v>
      </c>
      <c r="D189" s="141">
        <f ca="1">IFERROR(__xludf.DUMMYFUNCTION("""COMPUTED_VALUE"""),53.61)</f>
        <v>53.61</v>
      </c>
      <c r="E189" s="141">
        <f ca="1">IFERROR(__xludf.DUMMYFUNCTION("""COMPUTED_VALUE"""),52.39)</f>
        <v>52.39</v>
      </c>
      <c r="F189" s="141">
        <f ca="1">IFERROR(__xludf.DUMMYFUNCTION("""COMPUTED_VALUE"""),52.56)</f>
        <v>52.56</v>
      </c>
      <c r="G189" s="143">
        <f ca="1">IFERROR(__xludf.DUMMYFUNCTION("""COMPUTED_VALUE"""),15722763)</f>
        <v>15722763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IFERROR(__xludf.DUMMYFUNCTION("""COMPUTED_VALUE"""),53.32)</f>
        <v>53.32</v>
      </c>
      <c r="D190" s="141">
        <f ca="1">IFERROR(__xludf.DUMMYFUNCTION("""COMPUTED_VALUE"""),54.27)</f>
        <v>54.27</v>
      </c>
      <c r="E190" s="141">
        <f ca="1">IFERROR(__xludf.DUMMYFUNCTION("""COMPUTED_VALUE"""),53.25)</f>
        <v>53.25</v>
      </c>
      <c r="F190" s="141">
        <f ca="1">IFERROR(__xludf.DUMMYFUNCTION("""COMPUTED_VALUE"""),53.8)</f>
        <v>53.8</v>
      </c>
      <c r="G190" s="143">
        <f ca="1">IFERROR(__xludf.DUMMYFUNCTION("""COMPUTED_VALUE"""),21109511)</f>
        <v>21109511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IFERROR(__xludf.DUMMYFUNCTION("""COMPUTED_VALUE"""),53)</f>
        <v>53</v>
      </c>
      <c r="D191" s="141">
        <f ca="1">IFERROR(__xludf.DUMMYFUNCTION("""COMPUTED_VALUE"""),53.56)</f>
        <v>53.56</v>
      </c>
      <c r="E191" s="141">
        <f ca="1">IFERROR(__xludf.DUMMYFUNCTION("""COMPUTED_VALUE"""),52.91)</f>
        <v>52.91</v>
      </c>
      <c r="F191" s="141">
        <f ca="1">IFERROR(__xludf.DUMMYFUNCTION("""COMPUTED_VALUE"""),53.31)</f>
        <v>53.31</v>
      </c>
      <c r="G191" s="143">
        <f ca="1">IFERROR(__xludf.DUMMYFUNCTION("""COMPUTED_VALUE"""),15654684)</f>
        <v>15654684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IFERROR(__xludf.DUMMYFUNCTION("""COMPUTED_VALUE"""),54.32)</f>
        <v>54.32</v>
      </c>
      <c r="D192" s="141">
        <f ca="1">IFERROR(__xludf.DUMMYFUNCTION("""COMPUTED_VALUE"""),54.6)</f>
        <v>54.6</v>
      </c>
      <c r="E192" s="141">
        <f ca="1">IFERROR(__xludf.DUMMYFUNCTION("""COMPUTED_VALUE"""),54.06)</f>
        <v>54.06</v>
      </c>
      <c r="F192" s="141">
        <f ca="1">IFERROR(__xludf.DUMMYFUNCTION("""COMPUTED_VALUE"""),54.34)</f>
        <v>54.34</v>
      </c>
      <c r="G192" s="143">
        <f ca="1">IFERROR(__xludf.DUMMYFUNCTION("""COMPUTED_VALUE"""),9518763)</f>
        <v>9518763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IFERROR(__xludf.DUMMYFUNCTION("""COMPUTED_VALUE"""),53.37)</f>
        <v>53.37</v>
      </c>
      <c r="D193" s="141">
        <f ca="1">IFERROR(__xludf.DUMMYFUNCTION("""COMPUTED_VALUE"""),53.74)</f>
        <v>53.74</v>
      </c>
      <c r="E193" s="141">
        <f ca="1">IFERROR(__xludf.DUMMYFUNCTION("""COMPUTED_VALUE"""),52.84)</f>
        <v>52.84</v>
      </c>
      <c r="F193" s="141">
        <f ca="1">IFERROR(__xludf.DUMMYFUNCTION("""COMPUTED_VALUE"""),52.85)</f>
        <v>52.85</v>
      </c>
      <c r="G193" s="143">
        <f ca="1">IFERROR(__xludf.DUMMYFUNCTION("""COMPUTED_VALUE"""),11508013)</f>
        <v>11508013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IFERROR(__xludf.DUMMYFUNCTION("""COMPUTED_VALUE"""),52.71)</f>
        <v>52.71</v>
      </c>
      <c r="D194" s="141">
        <f ca="1">IFERROR(__xludf.DUMMYFUNCTION("""COMPUTED_VALUE"""),52.95)</f>
        <v>52.95</v>
      </c>
      <c r="E194" s="141">
        <f ca="1">IFERROR(__xludf.DUMMYFUNCTION("""COMPUTED_VALUE"""),52.39)</f>
        <v>52.39</v>
      </c>
      <c r="F194" s="141">
        <f ca="1">IFERROR(__xludf.DUMMYFUNCTION("""COMPUTED_VALUE"""),52.49)</f>
        <v>52.49</v>
      </c>
      <c r="G194" s="143">
        <f ca="1">IFERROR(__xludf.DUMMYFUNCTION("""COMPUTED_VALUE"""),13712943)</f>
        <v>13712943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IFERROR(__xludf.DUMMYFUNCTION("""COMPUTED_VALUE"""),52.81)</f>
        <v>52.81</v>
      </c>
      <c r="D195" s="141">
        <f ca="1">IFERROR(__xludf.DUMMYFUNCTION("""COMPUTED_VALUE"""),52.85)</f>
        <v>52.85</v>
      </c>
      <c r="E195" s="141">
        <f ca="1">IFERROR(__xludf.DUMMYFUNCTION("""COMPUTED_VALUE"""),52.2)</f>
        <v>52.2</v>
      </c>
      <c r="F195" s="141">
        <f ca="1">IFERROR(__xludf.DUMMYFUNCTION("""COMPUTED_VALUE"""),52.42)</f>
        <v>52.42</v>
      </c>
      <c r="G195" s="143">
        <f ca="1">IFERROR(__xludf.DUMMYFUNCTION("""COMPUTED_VALUE"""),11231250)</f>
        <v>11231250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IFERROR(__xludf.DUMMYFUNCTION("""COMPUTED_VALUE"""),52.67)</f>
        <v>52.67</v>
      </c>
      <c r="D196" s="141">
        <f ca="1">IFERROR(__xludf.DUMMYFUNCTION("""COMPUTED_VALUE"""),54.1)</f>
        <v>54.1</v>
      </c>
      <c r="E196" s="141">
        <f ca="1">IFERROR(__xludf.DUMMYFUNCTION("""COMPUTED_VALUE"""),52.67)</f>
        <v>52.67</v>
      </c>
      <c r="F196" s="141">
        <f ca="1">IFERROR(__xludf.DUMMYFUNCTION("""COMPUTED_VALUE"""),54.05)</f>
        <v>54.05</v>
      </c>
      <c r="G196" s="143">
        <f ca="1">IFERROR(__xludf.DUMMYFUNCTION("""COMPUTED_VALUE"""),15494813)</f>
        <v>15494813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IFERROR(__xludf.DUMMYFUNCTION("""COMPUTED_VALUE"""),54.21)</f>
        <v>54.21</v>
      </c>
      <c r="D197" s="141">
        <f ca="1">IFERROR(__xludf.DUMMYFUNCTION("""COMPUTED_VALUE"""),54.62)</f>
        <v>54.62</v>
      </c>
      <c r="E197" s="141">
        <f ca="1">IFERROR(__xludf.DUMMYFUNCTION("""COMPUTED_VALUE"""),54.09)</f>
        <v>54.09</v>
      </c>
      <c r="F197" s="141">
        <f ca="1">IFERROR(__xludf.DUMMYFUNCTION("""COMPUTED_VALUE"""),54.21)</f>
        <v>54.21</v>
      </c>
      <c r="G197" s="143">
        <f ca="1">IFERROR(__xludf.DUMMYFUNCTION("""COMPUTED_VALUE"""),20099845)</f>
        <v>20099845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IFERROR(__xludf.DUMMYFUNCTION("""COMPUTED_VALUE"""),53.18)</f>
        <v>53.18</v>
      </c>
      <c r="D198" s="141">
        <f ca="1">IFERROR(__xludf.DUMMYFUNCTION("""COMPUTED_VALUE"""),54.15)</f>
        <v>54.15</v>
      </c>
      <c r="E198" s="141">
        <f ca="1">IFERROR(__xludf.DUMMYFUNCTION("""COMPUTED_VALUE"""),53.05)</f>
        <v>53.05</v>
      </c>
      <c r="F198" s="141">
        <f ca="1">IFERROR(__xludf.DUMMYFUNCTION("""COMPUTED_VALUE"""),53.82)</f>
        <v>53.82</v>
      </c>
      <c r="G198" s="143">
        <f ca="1">IFERROR(__xludf.DUMMYFUNCTION("""COMPUTED_VALUE"""),10256106)</f>
        <v>10256106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IFERROR(__xludf.DUMMYFUNCTION("""COMPUTED_VALUE"""),53.89)</f>
        <v>53.89</v>
      </c>
      <c r="D199" s="141">
        <f ca="1">IFERROR(__xludf.DUMMYFUNCTION("""COMPUTED_VALUE"""),54.3)</f>
        <v>54.3</v>
      </c>
      <c r="E199" s="141">
        <f ca="1">IFERROR(__xludf.DUMMYFUNCTION("""COMPUTED_VALUE"""),53.79)</f>
        <v>53.79</v>
      </c>
      <c r="F199" s="141">
        <f ca="1">IFERROR(__xludf.DUMMYFUNCTION("""COMPUTED_VALUE"""),54.01)</f>
        <v>54.01</v>
      </c>
      <c r="G199" s="143">
        <f ca="1">IFERROR(__xludf.DUMMYFUNCTION("""COMPUTED_VALUE"""),8924269)</f>
        <v>8924269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IFERROR(__xludf.DUMMYFUNCTION("""COMPUTED_VALUE"""),53.92)</f>
        <v>53.92</v>
      </c>
      <c r="D200" s="141">
        <f ca="1">IFERROR(__xludf.DUMMYFUNCTION("""COMPUTED_VALUE"""),54.11)</f>
        <v>54.11</v>
      </c>
      <c r="E200" s="141">
        <f ca="1">IFERROR(__xludf.DUMMYFUNCTION("""COMPUTED_VALUE"""),53.41)</f>
        <v>53.41</v>
      </c>
      <c r="F200" s="141">
        <f ca="1">IFERROR(__xludf.DUMMYFUNCTION("""COMPUTED_VALUE"""),54.09)</f>
        <v>54.09</v>
      </c>
      <c r="G200" s="143">
        <f ca="1">IFERROR(__xludf.DUMMYFUNCTION("""COMPUTED_VALUE"""),7711418)</f>
        <v>7711418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IFERROR(__xludf.DUMMYFUNCTION("""COMPUTED_VALUE"""),56.82)</f>
        <v>56.82</v>
      </c>
      <c r="D201" s="141">
        <f ca="1">IFERROR(__xludf.DUMMYFUNCTION("""COMPUTED_VALUE"""),56.93)</f>
        <v>56.93</v>
      </c>
      <c r="E201" s="141">
        <f ca="1">IFERROR(__xludf.DUMMYFUNCTION("""COMPUTED_VALUE"""),56.16)</f>
        <v>56.16</v>
      </c>
      <c r="F201" s="141">
        <f ca="1">IFERROR(__xludf.DUMMYFUNCTION("""COMPUTED_VALUE"""),56.5)</f>
        <v>56.5</v>
      </c>
      <c r="G201" s="143">
        <f ca="1">IFERROR(__xludf.DUMMYFUNCTION("""COMPUTED_VALUE"""),13739178)</f>
        <v>13739178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IFERROR(__xludf.DUMMYFUNCTION("""COMPUTED_VALUE"""),56.12)</f>
        <v>56.12</v>
      </c>
      <c r="D202" s="141">
        <f ca="1">IFERROR(__xludf.DUMMYFUNCTION("""COMPUTED_VALUE"""),56.62)</f>
        <v>56.62</v>
      </c>
      <c r="E202" s="141">
        <f ca="1">IFERROR(__xludf.DUMMYFUNCTION("""COMPUTED_VALUE"""),55.9)</f>
        <v>55.9</v>
      </c>
      <c r="F202" s="141">
        <f ca="1">IFERROR(__xludf.DUMMYFUNCTION("""COMPUTED_VALUE"""),56.44)</f>
        <v>56.44</v>
      </c>
      <c r="G202" s="143">
        <f ca="1">IFERROR(__xludf.DUMMYFUNCTION("""COMPUTED_VALUE"""),6776772)</f>
        <v>6776772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IFERROR(__xludf.DUMMYFUNCTION("""COMPUTED_VALUE"""),56.94)</f>
        <v>56.94</v>
      </c>
      <c r="D203" s="141">
        <f ca="1">IFERROR(__xludf.DUMMYFUNCTION("""COMPUTED_VALUE"""),57.07)</f>
        <v>57.07</v>
      </c>
      <c r="E203" s="141">
        <f ca="1">IFERROR(__xludf.DUMMYFUNCTION("""COMPUTED_VALUE"""),56.65)</f>
        <v>56.65</v>
      </c>
      <c r="F203" s="141">
        <f ca="1">IFERROR(__xludf.DUMMYFUNCTION("""COMPUTED_VALUE"""),56.75)</f>
        <v>56.75</v>
      </c>
      <c r="G203" s="143">
        <f ca="1">IFERROR(__xludf.DUMMYFUNCTION("""COMPUTED_VALUE"""),7160575)</f>
        <v>7160575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IFERROR(__xludf.DUMMYFUNCTION("""COMPUTED_VALUE"""),56.45)</f>
        <v>56.45</v>
      </c>
      <c r="D204" s="141">
        <f ca="1">IFERROR(__xludf.DUMMYFUNCTION("""COMPUTED_VALUE"""),57.23)</f>
        <v>57.23</v>
      </c>
      <c r="E204" s="141">
        <f ca="1">IFERROR(__xludf.DUMMYFUNCTION("""COMPUTED_VALUE"""),56.45)</f>
        <v>56.45</v>
      </c>
      <c r="F204" s="141">
        <f ca="1">IFERROR(__xludf.DUMMYFUNCTION("""COMPUTED_VALUE"""),57.18)</f>
        <v>57.18</v>
      </c>
      <c r="G204" s="143">
        <f ca="1">IFERROR(__xludf.DUMMYFUNCTION("""COMPUTED_VALUE"""),6327891)</f>
        <v>6327891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IFERROR(__xludf.DUMMYFUNCTION("""COMPUTED_VALUE"""),57.65)</f>
        <v>57.65</v>
      </c>
      <c r="D205" s="141">
        <f ca="1">IFERROR(__xludf.DUMMYFUNCTION("""COMPUTED_VALUE"""),58.03)</f>
        <v>58.03</v>
      </c>
      <c r="E205" s="141">
        <f ca="1">IFERROR(__xludf.DUMMYFUNCTION("""COMPUTED_VALUE"""),57.59)</f>
        <v>57.59</v>
      </c>
      <c r="F205" s="141">
        <f ca="1">IFERROR(__xludf.DUMMYFUNCTION("""COMPUTED_VALUE"""),57.98)</f>
        <v>57.98</v>
      </c>
      <c r="G205" s="143">
        <f ca="1">IFERROR(__xludf.DUMMYFUNCTION("""COMPUTED_VALUE"""),4706306)</f>
        <v>4706306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IFERROR(__xludf.DUMMYFUNCTION("""COMPUTED_VALUE"""),57.97)</f>
        <v>57.97</v>
      </c>
      <c r="D206" s="141">
        <f ca="1">IFERROR(__xludf.DUMMYFUNCTION("""COMPUTED_VALUE"""),58.19)</f>
        <v>58.19</v>
      </c>
      <c r="E206" s="141">
        <f ca="1">IFERROR(__xludf.DUMMYFUNCTION("""COMPUTED_VALUE"""),57.81)</f>
        <v>57.81</v>
      </c>
      <c r="F206" s="141">
        <f ca="1">IFERROR(__xludf.DUMMYFUNCTION("""COMPUTED_VALUE"""),58.09)</f>
        <v>58.09</v>
      </c>
      <c r="G206" s="143">
        <f ca="1">IFERROR(__xludf.DUMMYFUNCTION("""COMPUTED_VALUE"""),7012436)</f>
        <v>7012436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IFERROR(__xludf.DUMMYFUNCTION("""COMPUTED_VALUE"""),58.27)</f>
        <v>58.27</v>
      </c>
      <c r="D207" s="141">
        <f ca="1">IFERROR(__xludf.DUMMYFUNCTION("""COMPUTED_VALUE"""),58.45)</f>
        <v>58.45</v>
      </c>
      <c r="E207" s="141">
        <f ca="1">IFERROR(__xludf.DUMMYFUNCTION("""COMPUTED_VALUE"""),57.95)</f>
        <v>57.95</v>
      </c>
      <c r="F207" s="141">
        <f ca="1">IFERROR(__xludf.DUMMYFUNCTION("""COMPUTED_VALUE"""),58.21)</f>
        <v>58.21</v>
      </c>
      <c r="G207" s="143">
        <f ca="1">IFERROR(__xludf.DUMMYFUNCTION("""COMPUTED_VALUE"""),4837738)</f>
        <v>4837738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IFERROR(__xludf.DUMMYFUNCTION("""COMPUTED_VALUE"""),59.1)</f>
        <v>59.1</v>
      </c>
      <c r="D208" s="141">
        <f ca="1">IFERROR(__xludf.DUMMYFUNCTION("""COMPUTED_VALUE"""),59.62)</f>
        <v>59.62</v>
      </c>
      <c r="E208" s="141">
        <f ca="1">IFERROR(__xludf.DUMMYFUNCTION("""COMPUTED_VALUE"""),59.04)</f>
        <v>59.04</v>
      </c>
      <c r="F208" s="141">
        <f ca="1">IFERROR(__xludf.DUMMYFUNCTION("""COMPUTED_VALUE"""),59.18)</f>
        <v>59.18</v>
      </c>
      <c r="G208" s="143">
        <f ca="1">IFERROR(__xludf.DUMMYFUNCTION("""COMPUTED_VALUE"""),7123765)</f>
        <v>7123765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IFERROR(__xludf.DUMMYFUNCTION("""COMPUTED_VALUE"""),58.81)</f>
        <v>58.81</v>
      </c>
      <c r="D209" s="141">
        <f ca="1">IFERROR(__xludf.DUMMYFUNCTION("""COMPUTED_VALUE"""),58.95)</f>
        <v>58.95</v>
      </c>
      <c r="E209" s="141">
        <f ca="1">IFERROR(__xludf.DUMMYFUNCTION("""COMPUTED_VALUE"""),58.59)</f>
        <v>58.59</v>
      </c>
      <c r="F209" s="141">
        <f ca="1">IFERROR(__xludf.DUMMYFUNCTION("""COMPUTED_VALUE"""),58.91)</f>
        <v>58.91</v>
      </c>
      <c r="G209" s="143">
        <f ca="1">IFERROR(__xludf.DUMMYFUNCTION("""COMPUTED_VALUE"""),6691710)</f>
        <v>6691710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IFERROR(__xludf.DUMMYFUNCTION("""COMPUTED_VALUE"""),58.94)</f>
        <v>58.94</v>
      </c>
      <c r="D210" s="141">
        <f ca="1">IFERROR(__xludf.DUMMYFUNCTION("""COMPUTED_VALUE"""),58.95)</f>
        <v>58.95</v>
      </c>
      <c r="E210" s="141">
        <f ca="1">IFERROR(__xludf.DUMMYFUNCTION("""COMPUTED_VALUE"""),58.12)</f>
        <v>58.12</v>
      </c>
      <c r="F210" s="141">
        <f ca="1">IFERROR(__xludf.DUMMYFUNCTION("""COMPUTED_VALUE"""),58.2)</f>
        <v>58.2</v>
      </c>
      <c r="G210" s="143">
        <f ca="1">IFERROR(__xludf.DUMMYFUNCTION("""COMPUTED_VALUE"""),7712687)</f>
        <v>7712687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IFERROR(__xludf.DUMMYFUNCTION("""COMPUTED_VALUE"""),58.6)</f>
        <v>58.6</v>
      </c>
      <c r="D211" s="141">
        <f ca="1">IFERROR(__xludf.DUMMYFUNCTION("""COMPUTED_VALUE"""),58.82)</f>
        <v>58.82</v>
      </c>
      <c r="E211" s="141">
        <f ca="1">IFERROR(__xludf.DUMMYFUNCTION("""COMPUTED_VALUE"""),58.54)</f>
        <v>58.54</v>
      </c>
      <c r="F211" s="141">
        <f ca="1">IFERROR(__xludf.DUMMYFUNCTION("""COMPUTED_VALUE"""),58.76)</f>
        <v>58.76</v>
      </c>
      <c r="G211" s="143">
        <f ca="1">IFERROR(__xludf.DUMMYFUNCTION("""COMPUTED_VALUE"""),4763689)</f>
        <v>4763689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IFERROR(__xludf.DUMMYFUNCTION("""COMPUTED_VALUE"""),58.22)</f>
        <v>58.22</v>
      </c>
      <c r="D212" s="141">
        <f ca="1">IFERROR(__xludf.DUMMYFUNCTION("""COMPUTED_VALUE"""),58.4)</f>
        <v>58.4</v>
      </c>
      <c r="E212" s="141">
        <f ca="1">IFERROR(__xludf.DUMMYFUNCTION("""COMPUTED_VALUE"""),57.42)</f>
        <v>57.42</v>
      </c>
      <c r="F212" s="141">
        <f ca="1">IFERROR(__xludf.DUMMYFUNCTION("""COMPUTED_VALUE"""),57.92)</f>
        <v>57.92</v>
      </c>
      <c r="G212" s="143">
        <f ca="1">IFERROR(__xludf.DUMMYFUNCTION("""COMPUTED_VALUE"""),6906593)</f>
        <v>6906593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IFERROR(__xludf.DUMMYFUNCTION("""COMPUTED_VALUE"""),58.61)</f>
        <v>58.61</v>
      </c>
      <c r="D213" s="141">
        <f ca="1">IFERROR(__xludf.DUMMYFUNCTION("""COMPUTED_VALUE"""),59.07)</f>
        <v>59.07</v>
      </c>
      <c r="E213" s="141">
        <f ca="1">IFERROR(__xludf.DUMMYFUNCTION("""COMPUTED_VALUE"""),58.53)</f>
        <v>58.53</v>
      </c>
      <c r="F213" s="141">
        <f ca="1">IFERROR(__xludf.DUMMYFUNCTION("""COMPUTED_VALUE"""),59.02)</f>
        <v>59.02</v>
      </c>
      <c r="G213" s="143">
        <f ca="1">IFERROR(__xludf.DUMMYFUNCTION("""COMPUTED_VALUE"""),5426629)</f>
        <v>5426629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IFERROR(__xludf.DUMMYFUNCTION("""COMPUTED_VALUE"""),58.95)</f>
        <v>58.95</v>
      </c>
      <c r="D214" s="141">
        <f ca="1">IFERROR(__xludf.DUMMYFUNCTION("""COMPUTED_VALUE"""),58.96)</f>
        <v>58.96</v>
      </c>
      <c r="E214" s="141">
        <f ca="1">IFERROR(__xludf.DUMMYFUNCTION("""COMPUTED_VALUE"""),58.62)</f>
        <v>58.62</v>
      </c>
      <c r="F214" s="141">
        <f ca="1">IFERROR(__xludf.DUMMYFUNCTION("""COMPUTED_VALUE"""),58.73)</f>
        <v>58.73</v>
      </c>
      <c r="G214" s="143">
        <f ca="1">IFERROR(__xludf.DUMMYFUNCTION("""COMPUTED_VALUE"""),5036449)</f>
        <v>5036449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IFERROR(__xludf.DUMMYFUNCTION("""COMPUTED_VALUE"""),58.13)</f>
        <v>58.13</v>
      </c>
      <c r="D215" s="141">
        <f ca="1">IFERROR(__xludf.DUMMYFUNCTION("""COMPUTED_VALUE"""),58.37)</f>
        <v>58.37</v>
      </c>
      <c r="E215" s="141">
        <f ca="1">IFERROR(__xludf.DUMMYFUNCTION("""COMPUTED_VALUE"""),58)</f>
        <v>58</v>
      </c>
      <c r="F215" s="141">
        <f ca="1">IFERROR(__xludf.DUMMYFUNCTION("""COMPUTED_VALUE"""),58.32)</f>
        <v>58.32</v>
      </c>
      <c r="G215" s="143">
        <f ca="1">IFERROR(__xludf.DUMMYFUNCTION("""COMPUTED_VALUE"""),8274013)</f>
        <v>8274013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IFERROR(__xludf.DUMMYFUNCTION("""COMPUTED_VALUE"""),58.25)</f>
        <v>58.25</v>
      </c>
      <c r="D216" s="141">
        <f ca="1">IFERROR(__xludf.DUMMYFUNCTION("""COMPUTED_VALUE"""),58.32)</f>
        <v>58.32</v>
      </c>
      <c r="E216" s="141">
        <f ca="1">IFERROR(__xludf.DUMMYFUNCTION("""COMPUTED_VALUE"""),57.87)</f>
        <v>57.87</v>
      </c>
      <c r="F216" s="141">
        <f ca="1">IFERROR(__xludf.DUMMYFUNCTION("""COMPUTED_VALUE"""),58.08)</f>
        <v>58.08</v>
      </c>
      <c r="G216" s="143">
        <f ca="1">IFERROR(__xludf.DUMMYFUNCTION("""COMPUTED_VALUE"""),7061626)</f>
        <v>7061626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IFERROR(__xludf.DUMMYFUNCTION("""COMPUTED_VALUE"""),58.38)</f>
        <v>58.38</v>
      </c>
      <c r="D217" s="141">
        <f ca="1">IFERROR(__xludf.DUMMYFUNCTION("""COMPUTED_VALUE"""),59.03)</f>
        <v>59.03</v>
      </c>
      <c r="E217" s="141">
        <f ca="1">IFERROR(__xludf.DUMMYFUNCTION("""COMPUTED_VALUE"""),58.17)</f>
        <v>58.17</v>
      </c>
      <c r="F217" s="141">
        <f ca="1">IFERROR(__xludf.DUMMYFUNCTION("""COMPUTED_VALUE"""),58.93)</f>
        <v>58.93</v>
      </c>
      <c r="G217" s="143">
        <f ca="1">IFERROR(__xludf.DUMMYFUNCTION("""COMPUTED_VALUE"""),7341721)</f>
        <v>7341721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IFERROR(__xludf.DUMMYFUNCTION("""COMPUTED_VALUE"""),58.89)</f>
        <v>58.89</v>
      </c>
      <c r="D218" s="141">
        <f ca="1">IFERROR(__xludf.DUMMYFUNCTION("""COMPUTED_VALUE"""),59.43)</f>
        <v>59.43</v>
      </c>
      <c r="E218" s="141">
        <f ca="1">IFERROR(__xludf.DUMMYFUNCTION("""COMPUTED_VALUE"""),58.86)</f>
        <v>58.86</v>
      </c>
      <c r="F218" s="141">
        <f ca="1">IFERROR(__xludf.DUMMYFUNCTION("""COMPUTED_VALUE"""),58.99)</f>
        <v>58.99</v>
      </c>
      <c r="G218" s="143">
        <f ca="1">IFERROR(__xludf.DUMMYFUNCTION("""COMPUTED_VALUE"""),10537806)</f>
        <v>10537806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IFERROR(__xludf.DUMMYFUNCTION("""COMPUTED_VALUE"""),58.99)</f>
        <v>58.99</v>
      </c>
      <c r="D219" s="141">
        <f ca="1">IFERROR(__xludf.DUMMYFUNCTION("""COMPUTED_VALUE"""),59.23)</f>
        <v>59.23</v>
      </c>
      <c r="E219" s="141">
        <f ca="1">IFERROR(__xludf.DUMMYFUNCTION("""COMPUTED_VALUE"""),58.5)</f>
        <v>58.5</v>
      </c>
      <c r="F219" s="141">
        <f ca="1">IFERROR(__xludf.DUMMYFUNCTION("""COMPUTED_VALUE"""),58.73)</f>
        <v>58.73</v>
      </c>
      <c r="G219" s="143">
        <f ca="1">IFERROR(__xludf.DUMMYFUNCTION("""COMPUTED_VALUE"""),7068033)</f>
        <v>7068033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IFERROR(__xludf.DUMMYFUNCTION("""COMPUTED_VALUE"""),59.28)</f>
        <v>59.28</v>
      </c>
      <c r="D220" s="141">
        <f ca="1">IFERROR(__xludf.DUMMYFUNCTION("""COMPUTED_VALUE"""),59.48)</f>
        <v>59.48</v>
      </c>
      <c r="E220" s="141">
        <f ca="1">IFERROR(__xludf.DUMMYFUNCTION("""COMPUTED_VALUE"""),59.17)</f>
        <v>59.17</v>
      </c>
      <c r="F220" s="141">
        <f ca="1">IFERROR(__xludf.DUMMYFUNCTION("""COMPUTED_VALUE"""),59.36)</f>
        <v>59.36</v>
      </c>
      <c r="G220" s="143">
        <f ca="1">IFERROR(__xludf.DUMMYFUNCTION("""COMPUTED_VALUE"""),7505651)</f>
        <v>7505651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IFERROR(__xludf.DUMMYFUNCTION("""COMPUTED_VALUE"""),60.11)</f>
        <v>60.11</v>
      </c>
      <c r="D221" s="141">
        <f ca="1">IFERROR(__xludf.DUMMYFUNCTION("""COMPUTED_VALUE"""),60.8)</f>
        <v>60.8</v>
      </c>
      <c r="E221" s="141">
        <f ca="1">IFERROR(__xludf.DUMMYFUNCTION("""COMPUTED_VALUE"""),60.09)</f>
        <v>60.09</v>
      </c>
      <c r="F221" s="141">
        <f ca="1">IFERROR(__xludf.DUMMYFUNCTION("""COMPUTED_VALUE"""),60.75)</f>
        <v>60.75</v>
      </c>
      <c r="G221" s="143">
        <f ca="1">IFERROR(__xludf.DUMMYFUNCTION("""COMPUTED_VALUE"""),11277605)</f>
        <v>11277605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IFERROR(__xludf.DUMMYFUNCTION("""COMPUTED_VALUE"""),60.99)</f>
        <v>60.99</v>
      </c>
      <c r="D222" s="141">
        <f ca="1">IFERROR(__xludf.DUMMYFUNCTION("""COMPUTED_VALUE"""),61.03)</f>
        <v>61.03</v>
      </c>
      <c r="E222" s="141">
        <f ca="1">IFERROR(__xludf.DUMMYFUNCTION("""COMPUTED_VALUE"""),60.16)</f>
        <v>60.16</v>
      </c>
      <c r="F222" s="141">
        <f ca="1">IFERROR(__xludf.DUMMYFUNCTION("""COMPUTED_VALUE"""),60.21)</f>
        <v>60.21</v>
      </c>
      <c r="G222" s="143">
        <f ca="1">IFERROR(__xludf.DUMMYFUNCTION("""COMPUTED_VALUE"""),7522883)</f>
        <v>7522883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IFERROR(__xludf.DUMMYFUNCTION("""COMPUTED_VALUE"""),60.51)</f>
        <v>60.51</v>
      </c>
      <c r="D223" s="141">
        <f ca="1">IFERROR(__xludf.DUMMYFUNCTION("""COMPUTED_VALUE"""),60.7)</f>
        <v>60.7</v>
      </c>
      <c r="E223" s="141">
        <f ca="1">IFERROR(__xludf.DUMMYFUNCTION("""COMPUTED_VALUE"""),60.39)</f>
        <v>60.39</v>
      </c>
      <c r="F223" s="141">
        <f ca="1">IFERROR(__xludf.DUMMYFUNCTION("""COMPUTED_VALUE"""),60.54)</f>
        <v>60.54</v>
      </c>
      <c r="G223" s="143">
        <f ca="1">IFERROR(__xludf.DUMMYFUNCTION("""COMPUTED_VALUE"""),7629590)</f>
        <v>7629590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IFERROR(__xludf.DUMMYFUNCTION("""COMPUTED_VALUE"""),60.42)</f>
        <v>60.42</v>
      </c>
      <c r="D224" s="141">
        <f ca="1">IFERROR(__xludf.DUMMYFUNCTION("""COMPUTED_VALUE"""),60.55)</f>
        <v>60.55</v>
      </c>
      <c r="E224" s="141">
        <f ca="1">IFERROR(__xludf.DUMMYFUNCTION("""COMPUTED_VALUE"""),60.28)</f>
        <v>60.28</v>
      </c>
      <c r="F224" s="141">
        <f ca="1">IFERROR(__xludf.DUMMYFUNCTION("""COMPUTED_VALUE"""),60.39)</f>
        <v>60.39</v>
      </c>
      <c r="G224" s="143">
        <f ca="1">IFERROR(__xludf.DUMMYFUNCTION("""COMPUTED_VALUE"""),5425696)</f>
        <v>5425696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IFERROR(__xludf.DUMMYFUNCTION("""COMPUTED_VALUE"""),59.56)</f>
        <v>59.56</v>
      </c>
      <c r="D225" s="141">
        <f ca="1">IFERROR(__xludf.DUMMYFUNCTION("""COMPUTED_VALUE"""),59.63)</f>
        <v>59.63</v>
      </c>
      <c r="E225" s="141">
        <f ca="1">IFERROR(__xludf.DUMMYFUNCTION("""COMPUTED_VALUE"""),58.9)</f>
        <v>58.9</v>
      </c>
      <c r="F225" s="141">
        <f ca="1">IFERROR(__xludf.DUMMYFUNCTION("""COMPUTED_VALUE"""),59.39)</f>
        <v>59.39</v>
      </c>
      <c r="G225" s="143">
        <f ca="1">IFERROR(__xludf.DUMMYFUNCTION("""COMPUTED_VALUE"""),8088127)</f>
        <v>8088127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IFERROR(__xludf.DUMMYFUNCTION("""COMPUTED_VALUE"""),59.39)</f>
        <v>59.39</v>
      </c>
      <c r="D226" s="141">
        <f ca="1">IFERROR(__xludf.DUMMYFUNCTION("""COMPUTED_VALUE"""),60.1)</f>
        <v>60.1</v>
      </c>
      <c r="E226" s="141">
        <f ca="1">IFERROR(__xludf.DUMMYFUNCTION("""COMPUTED_VALUE"""),59.29)</f>
        <v>59.29</v>
      </c>
      <c r="F226" s="141">
        <f ca="1">IFERROR(__xludf.DUMMYFUNCTION("""COMPUTED_VALUE"""),59.94)</f>
        <v>59.94</v>
      </c>
      <c r="G226" s="143">
        <f ca="1">IFERROR(__xludf.DUMMYFUNCTION("""COMPUTED_VALUE"""),10806914)</f>
        <v>10806914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IFERROR(__xludf.DUMMYFUNCTION("""COMPUTED_VALUE"""),59.66)</f>
        <v>59.66</v>
      </c>
      <c r="D227" s="141">
        <f ca="1">IFERROR(__xludf.DUMMYFUNCTION("""COMPUTED_VALUE"""),60.05)</f>
        <v>60.05</v>
      </c>
      <c r="E227" s="141">
        <f ca="1">IFERROR(__xludf.DUMMYFUNCTION("""COMPUTED_VALUE"""),59.56)</f>
        <v>59.56</v>
      </c>
      <c r="F227" s="141">
        <f ca="1">IFERROR(__xludf.DUMMYFUNCTION("""COMPUTED_VALUE"""),59.96)</f>
        <v>59.96</v>
      </c>
      <c r="G227" s="143">
        <f ca="1">IFERROR(__xludf.DUMMYFUNCTION("""COMPUTED_VALUE"""),6763783)</f>
        <v>6763783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IFERROR(__xludf.DUMMYFUNCTION("""COMPUTED_VALUE"""),58.61)</f>
        <v>58.61</v>
      </c>
      <c r="D228" s="141">
        <f ca="1">IFERROR(__xludf.DUMMYFUNCTION("""COMPUTED_VALUE"""),58.72)</f>
        <v>58.72</v>
      </c>
      <c r="E228" s="141">
        <f ca="1">IFERROR(__xludf.DUMMYFUNCTION("""COMPUTED_VALUE"""),58.22)</f>
        <v>58.22</v>
      </c>
      <c r="F228" s="141">
        <f ca="1">IFERROR(__xludf.DUMMYFUNCTION("""COMPUTED_VALUE"""),58.44)</f>
        <v>58.44</v>
      </c>
      <c r="G228" s="143">
        <f ca="1">IFERROR(__xludf.DUMMYFUNCTION("""COMPUTED_VALUE"""),6194214)</f>
        <v>6194214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IFERROR(__xludf.DUMMYFUNCTION("""COMPUTED_VALUE"""),58.76)</f>
        <v>58.76</v>
      </c>
      <c r="D229" s="141">
        <f ca="1">IFERROR(__xludf.DUMMYFUNCTION("""COMPUTED_VALUE"""),58.77)</f>
        <v>58.77</v>
      </c>
      <c r="E229" s="141">
        <f ca="1">IFERROR(__xludf.DUMMYFUNCTION("""COMPUTED_VALUE"""),58.11)</f>
        <v>58.11</v>
      </c>
      <c r="F229" s="141">
        <f ca="1">IFERROR(__xludf.DUMMYFUNCTION("""COMPUTED_VALUE"""),58.48)</f>
        <v>58.48</v>
      </c>
      <c r="G229" s="143">
        <f ca="1">IFERROR(__xludf.DUMMYFUNCTION("""COMPUTED_VALUE"""),6597420)</f>
        <v>6597420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IFERROR(__xludf.DUMMYFUNCTION("""COMPUTED_VALUE"""),57.66)</f>
        <v>57.66</v>
      </c>
      <c r="D230" s="141">
        <f ca="1">IFERROR(__xludf.DUMMYFUNCTION("""COMPUTED_VALUE"""),58.19)</f>
        <v>58.19</v>
      </c>
      <c r="E230" s="141">
        <f ca="1">IFERROR(__xludf.DUMMYFUNCTION("""COMPUTED_VALUE"""),57.58)</f>
        <v>57.58</v>
      </c>
      <c r="F230" s="141">
        <f ca="1">IFERROR(__xludf.DUMMYFUNCTION("""COMPUTED_VALUE"""),57.87)</f>
        <v>57.87</v>
      </c>
      <c r="G230" s="143">
        <f ca="1">IFERROR(__xludf.DUMMYFUNCTION("""COMPUTED_VALUE"""),5940671)</f>
        <v>5940671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IFERROR(__xludf.DUMMYFUNCTION("""COMPUTED_VALUE"""),58.14)</f>
        <v>58.14</v>
      </c>
      <c r="D231" s="141">
        <f ca="1">IFERROR(__xludf.DUMMYFUNCTION("""COMPUTED_VALUE"""),58.75)</f>
        <v>58.75</v>
      </c>
      <c r="E231" s="141">
        <f ca="1">IFERROR(__xludf.DUMMYFUNCTION("""COMPUTED_VALUE"""),57.92)</f>
        <v>57.92</v>
      </c>
      <c r="F231" s="141">
        <f ca="1">IFERROR(__xludf.DUMMYFUNCTION("""COMPUTED_VALUE"""),58.67)</f>
        <v>58.67</v>
      </c>
      <c r="G231" s="143">
        <f ca="1">IFERROR(__xludf.DUMMYFUNCTION("""COMPUTED_VALUE"""),18616268)</f>
        <v>18616268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IFERROR(__xludf.DUMMYFUNCTION("""COMPUTED_VALUE"""),58.22)</f>
        <v>58.22</v>
      </c>
      <c r="D232" s="141">
        <f ca="1">IFERROR(__xludf.DUMMYFUNCTION("""COMPUTED_VALUE"""),58.92)</f>
        <v>58.92</v>
      </c>
      <c r="E232" s="141">
        <f ca="1">IFERROR(__xludf.DUMMYFUNCTION("""COMPUTED_VALUE"""),58.08)</f>
        <v>58.08</v>
      </c>
      <c r="F232" s="141">
        <f ca="1">IFERROR(__xludf.DUMMYFUNCTION("""COMPUTED_VALUE"""),58.7)</f>
        <v>58.7</v>
      </c>
      <c r="G232" s="143">
        <f ca="1">IFERROR(__xludf.DUMMYFUNCTION("""COMPUTED_VALUE"""),11031589)</f>
        <v>11031589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IFERROR(__xludf.DUMMYFUNCTION("""COMPUTED_VALUE"""),58.91)</f>
        <v>58.91</v>
      </c>
      <c r="D233" s="141">
        <f ca="1">IFERROR(__xludf.DUMMYFUNCTION("""COMPUTED_VALUE"""),59.28)</f>
        <v>59.28</v>
      </c>
      <c r="E233" s="141">
        <f ca="1">IFERROR(__xludf.DUMMYFUNCTION("""COMPUTED_VALUE"""),58.79)</f>
        <v>58.79</v>
      </c>
      <c r="F233" s="141">
        <f ca="1">IFERROR(__xludf.DUMMYFUNCTION("""COMPUTED_VALUE"""),58.98)</f>
        <v>58.98</v>
      </c>
      <c r="G233" s="143">
        <f ca="1">IFERROR(__xludf.DUMMYFUNCTION("""COMPUTED_VALUE"""),7554066)</f>
        <v>7554066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IFERROR(__xludf.DUMMYFUNCTION("""COMPUTED_VALUE"""),60.02)</f>
        <v>60.02</v>
      </c>
      <c r="D234" s="141">
        <f ca="1">IFERROR(__xludf.DUMMYFUNCTION("""COMPUTED_VALUE"""),60.29)</f>
        <v>60.29</v>
      </c>
      <c r="E234" s="141">
        <f ca="1">IFERROR(__xludf.DUMMYFUNCTION("""COMPUTED_VALUE"""),59.99)</f>
        <v>59.99</v>
      </c>
      <c r="F234" s="141">
        <f ca="1">IFERROR(__xludf.DUMMYFUNCTION("""COMPUTED_VALUE"""),60.23)</f>
        <v>60.23</v>
      </c>
      <c r="G234" s="143">
        <f ca="1">IFERROR(__xludf.DUMMYFUNCTION("""COMPUTED_VALUE"""),5974414)</f>
        <v>5974414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IFERROR(__xludf.DUMMYFUNCTION("""COMPUTED_VALUE"""),60.36)</f>
        <v>60.36</v>
      </c>
      <c r="D235" s="141">
        <f ca="1">IFERROR(__xludf.DUMMYFUNCTION("""COMPUTED_VALUE"""),60.57)</f>
        <v>60.57</v>
      </c>
      <c r="E235" s="141">
        <f ca="1">IFERROR(__xludf.DUMMYFUNCTION("""COMPUTED_VALUE"""),60.06)</f>
        <v>60.06</v>
      </c>
      <c r="F235" s="141">
        <f ca="1">IFERROR(__xludf.DUMMYFUNCTION("""COMPUTED_VALUE"""),60.29)</f>
        <v>60.29</v>
      </c>
      <c r="G235" s="143">
        <f ca="1">IFERROR(__xludf.DUMMYFUNCTION("""COMPUTED_VALUE"""),5130424)</f>
        <v>5130424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IFERROR(__xludf.DUMMYFUNCTION("""COMPUTED_VALUE"""),59.57)</f>
        <v>59.57</v>
      </c>
      <c r="D236" s="141">
        <f ca="1">IFERROR(__xludf.DUMMYFUNCTION("""COMPUTED_VALUE"""),60.13)</f>
        <v>60.13</v>
      </c>
      <c r="E236" s="141">
        <f ca="1">IFERROR(__xludf.DUMMYFUNCTION("""COMPUTED_VALUE"""),59.41)</f>
        <v>59.41</v>
      </c>
      <c r="F236" s="141">
        <f ca="1">IFERROR(__xludf.DUMMYFUNCTION("""COMPUTED_VALUE"""),59.9)</f>
        <v>59.9</v>
      </c>
      <c r="G236" s="143">
        <f ca="1">IFERROR(__xludf.DUMMYFUNCTION("""COMPUTED_VALUE"""),8935399)</f>
        <v>8935399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IFERROR(__xludf.DUMMYFUNCTION("""COMPUTED_VALUE"""),60.22)</f>
        <v>60.22</v>
      </c>
      <c r="D237" s="141">
        <f ca="1">IFERROR(__xludf.DUMMYFUNCTION("""COMPUTED_VALUE"""),60.27)</f>
        <v>60.27</v>
      </c>
      <c r="E237" s="141">
        <f ca="1">IFERROR(__xludf.DUMMYFUNCTION("""COMPUTED_VALUE"""),59.87)</f>
        <v>59.87</v>
      </c>
      <c r="F237" s="141">
        <f ca="1">IFERROR(__xludf.DUMMYFUNCTION("""COMPUTED_VALUE"""),59.88)</f>
        <v>59.88</v>
      </c>
      <c r="G237" s="143">
        <f ca="1">IFERROR(__xludf.DUMMYFUNCTION("""COMPUTED_VALUE"""),7541833)</f>
        <v>7541833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IFERROR(__xludf.DUMMYFUNCTION("""COMPUTED_VALUE"""),60.02)</f>
        <v>60.02</v>
      </c>
      <c r="D238" s="141">
        <f ca="1">IFERROR(__xludf.DUMMYFUNCTION("""COMPUTED_VALUE"""),60.79)</f>
        <v>60.79</v>
      </c>
      <c r="E238" s="141">
        <f ca="1">IFERROR(__xludf.DUMMYFUNCTION("""COMPUTED_VALUE"""),59.96)</f>
        <v>59.96</v>
      </c>
      <c r="F238" s="141">
        <f ca="1">IFERROR(__xludf.DUMMYFUNCTION("""COMPUTED_VALUE"""),60.42)</f>
        <v>60.42</v>
      </c>
      <c r="G238" s="143">
        <f ca="1">IFERROR(__xludf.DUMMYFUNCTION("""COMPUTED_VALUE"""),11002083)</f>
        <v>11002083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IFERROR(__xludf.DUMMYFUNCTION("""COMPUTED_VALUE"""),60.94)</f>
        <v>60.94</v>
      </c>
      <c r="D239" s="141">
        <f ca="1">IFERROR(__xludf.DUMMYFUNCTION("""COMPUTED_VALUE"""),61.35)</f>
        <v>61.35</v>
      </c>
      <c r="E239" s="141">
        <f ca="1">IFERROR(__xludf.DUMMYFUNCTION("""COMPUTED_VALUE"""),60.82)</f>
        <v>60.82</v>
      </c>
      <c r="F239" s="141">
        <f ca="1">IFERROR(__xludf.DUMMYFUNCTION("""COMPUTED_VALUE"""),61.19)</f>
        <v>61.19</v>
      </c>
      <c r="G239" s="143">
        <f ca="1">IFERROR(__xludf.DUMMYFUNCTION("""COMPUTED_VALUE"""),6992716)</f>
        <v>6992716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IFERROR(__xludf.DUMMYFUNCTION("""COMPUTED_VALUE"""),60.73)</f>
        <v>60.73</v>
      </c>
      <c r="D240" s="141">
        <f ca="1">IFERROR(__xludf.DUMMYFUNCTION("""COMPUTED_VALUE"""),60.8)</f>
        <v>60.8</v>
      </c>
      <c r="E240" s="141">
        <f ca="1">IFERROR(__xludf.DUMMYFUNCTION("""COMPUTED_VALUE"""),60.23)</f>
        <v>60.23</v>
      </c>
      <c r="F240" s="141">
        <f ca="1">IFERROR(__xludf.DUMMYFUNCTION("""COMPUTED_VALUE"""),60.33)</f>
        <v>60.33</v>
      </c>
      <c r="G240" s="143">
        <f ca="1">IFERROR(__xludf.DUMMYFUNCTION("""COMPUTED_VALUE"""),5139617)</f>
        <v>5139617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IFERROR(__xludf.DUMMYFUNCTION("""COMPUTED_VALUE"""),60.11)</f>
        <v>60.11</v>
      </c>
      <c r="D241" s="141">
        <f ca="1">IFERROR(__xludf.DUMMYFUNCTION("""COMPUTED_VALUE"""),60.41)</f>
        <v>60.41</v>
      </c>
      <c r="E241" s="141">
        <f ca="1">IFERROR(__xludf.DUMMYFUNCTION("""COMPUTED_VALUE"""),59.89)</f>
        <v>59.89</v>
      </c>
      <c r="F241" s="141">
        <f ca="1">IFERROR(__xludf.DUMMYFUNCTION("""COMPUTED_VALUE"""),60.31)</f>
        <v>60.31</v>
      </c>
      <c r="G241" s="143">
        <f ca="1">IFERROR(__xludf.DUMMYFUNCTION("""COMPUTED_VALUE"""),4979555)</f>
        <v>4979555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IFERROR(__xludf.DUMMYFUNCTION("""COMPUTED_VALUE"""),59.22)</f>
        <v>59.22</v>
      </c>
      <c r="D242" s="141">
        <f ca="1">IFERROR(__xludf.DUMMYFUNCTION("""COMPUTED_VALUE"""),59.25)</f>
        <v>59.25</v>
      </c>
      <c r="E242" s="141">
        <f ca="1">IFERROR(__xludf.DUMMYFUNCTION("""COMPUTED_VALUE"""),57.78)</f>
        <v>57.78</v>
      </c>
      <c r="F242" s="141">
        <f ca="1">IFERROR(__xludf.DUMMYFUNCTION("""COMPUTED_VALUE"""),58.03)</f>
        <v>58.03</v>
      </c>
      <c r="G242" s="143">
        <f ca="1">IFERROR(__xludf.DUMMYFUNCTION("""COMPUTED_VALUE"""),10811118)</f>
        <v>10811118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IFERROR(__xludf.DUMMYFUNCTION("""COMPUTED_VALUE"""),58.57)</f>
        <v>58.57</v>
      </c>
      <c r="D243" s="141">
        <f ca="1">IFERROR(__xludf.DUMMYFUNCTION("""COMPUTED_VALUE"""),58.73)</f>
        <v>58.73</v>
      </c>
      <c r="E243" s="141">
        <f ca="1">IFERROR(__xludf.DUMMYFUNCTION("""COMPUTED_VALUE"""),58.21)</f>
        <v>58.21</v>
      </c>
      <c r="F243" s="141">
        <f ca="1">IFERROR(__xludf.DUMMYFUNCTION("""COMPUTED_VALUE"""),58.33)</f>
        <v>58.33</v>
      </c>
      <c r="G243" s="143">
        <f ca="1">IFERROR(__xludf.DUMMYFUNCTION("""COMPUTED_VALUE"""),9265630)</f>
        <v>9265630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IFERROR(__xludf.DUMMYFUNCTION("""COMPUTED_VALUE"""),59.2)</f>
        <v>59.2</v>
      </c>
      <c r="D244" s="141">
        <f ca="1">IFERROR(__xludf.DUMMYFUNCTION("""COMPUTED_VALUE"""),59.42)</f>
        <v>59.42</v>
      </c>
      <c r="E244" s="141">
        <f ca="1">IFERROR(__xludf.DUMMYFUNCTION("""COMPUTED_VALUE"""),57.36)</f>
        <v>57.36</v>
      </c>
      <c r="F244" s="141">
        <f ca="1">IFERROR(__xludf.DUMMYFUNCTION("""COMPUTED_VALUE"""),58.45)</f>
        <v>58.45</v>
      </c>
      <c r="G244" s="143">
        <f ca="1">IFERROR(__xludf.DUMMYFUNCTION("""COMPUTED_VALUE"""),10154817)</f>
        <v>10154817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IFERROR(__xludf.DUMMYFUNCTION("""COMPUTED_VALUE"""),58.12)</f>
        <v>58.12</v>
      </c>
      <c r="D245" s="141">
        <f ca="1">IFERROR(__xludf.DUMMYFUNCTION("""COMPUTED_VALUE"""),58.64)</f>
        <v>58.64</v>
      </c>
      <c r="E245" s="141">
        <f ca="1">IFERROR(__xludf.DUMMYFUNCTION("""COMPUTED_VALUE"""),57.69)</f>
        <v>57.69</v>
      </c>
      <c r="F245" s="141">
        <f ca="1">IFERROR(__xludf.DUMMYFUNCTION("""COMPUTED_VALUE"""),57.72)</f>
        <v>57.72</v>
      </c>
      <c r="G245" s="143">
        <f ca="1">IFERROR(__xludf.DUMMYFUNCTION("""COMPUTED_VALUE"""),8099635)</f>
        <v>8099635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IFERROR(__xludf.DUMMYFUNCTION("""COMPUTED_VALUE"""),57.84)</f>
        <v>57.84</v>
      </c>
      <c r="D246" s="141">
        <f ca="1">IFERROR(__xludf.DUMMYFUNCTION("""COMPUTED_VALUE"""),59.17)</f>
        <v>59.17</v>
      </c>
      <c r="E246" s="141">
        <f ca="1">IFERROR(__xludf.DUMMYFUNCTION("""COMPUTED_VALUE"""),57.76)</f>
        <v>57.76</v>
      </c>
      <c r="F246" s="141">
        <f ca="1">IFERROR(__xludf.DUMMYFUNCTION("""COMPUTED_VALUE"""),59.1)</f>
        <v>59.1</v>
      </c>
      <c r="G246" s="143">
        <f ca="1">IFERROR(__xludf.DUMMYFUNCTION("""COMPUTED_VALUE"""),12401626)</f>
        <v>12401626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IFERROR(__xludf.DUMMYFUNCTION("""COMPUTED_VALUE"""),59.46)</f>
        <v>59.46</v>
      </c>
      <c r="D247" s="141">
        <f ca="1">IFERROR(__xludf.DUMMYFUNCTION("""COMPUTED_VALUE"""),59.66)</f>
        <v>59.66</v>
      </c>
      <c r="E247" s="141">
        <f ca="1">IFERROR(__xludf.DUMMYFUNCTION("""COMPUTED_VALUE"""),59.11)</f>
        <v>59.11</v>
      </c>
      <c r="F247" s="141">
        <f ca="1">IFERROR(__xludf.DUMMYFUNCTION("""COMPUTED_VALUE"""),59.55)</f>
        <v>59.55</v>
      </c>
      <c r="G247" s="143">
        <f ca="1">IFERROR(__xludf.DUMMYFUNCTION("""COMPUTED_VALUE"""),9644973)</f>
        <v>9644973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IFERROR(__xludf.DUMMYFUNCTION("""COMPUTED_VALUE"""),60.85)</f>
        <v>60.85</v>
      </c>
      <c r="D248" s="141">
        <f ca="1">IFERROR(__xludf.DUMMYFUNCTION("""COMPUTED_VALUE"""),60.99)</f>
        <v>60.99</v>
      </c>
      <c r="E248" s="141">
        <f ca="1">IFERROR(__xludf.DUMMYFUNCTION("""COMPUTED_VALUE"""),60.8)</f>
        <v>60.8</v>
      </c>
      <c r="F248" s="141">
        <f ca="1">IFERROR(__xludf.DUMMYFUNCTION("""COMPUTED_VALUE"""),60.84)</f>
        <v>60.84</v>
      </c>
      <c r="G248" s="143">
        <f ca="1">IFERROR(__xludf.DUMMYFUNCTION("""COMPUTED_VALUE"""),9120339)</f>
        <v>9120339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IFERROR(__xludf.DUMMYFUNCTION("""COMPUTED_VALUE"""),60.38)</f>
        <v>60.38</v>
      </c>
      <c r="D249" s="141">
        <f ca="1">IFERROR(__xludf.DUMMYFUNCTION("""COMPUTED_VALUE"""),60.59)</f>
        <v>60.59</v>
      </c>
      <c r="E249" s="141">
        <f ca="1">IFERROR(__xludf.DUMMYFUNCTION("""COMPUTED_VALUE"""),60.12)</f>
        <v>60.12</v>
      </c>
      <c r="F249" s="141">
        <f ca="1">IFERROR(__xludf.DUMMYFUNCTION("""COMPUTED_VALUE"""),60.16)</f>
        <v>60.16</v>
      </c>
      <c r="G249" s="143">
        <f ca="1">IFERROR(__xludf.DUMMYFUNCTION("""COMPUTED_VALUE"""),5986295)</f>
        <v>5986295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IFERROR(__xludf.DUMMYFUNCTION("""COMPUTED_VALUE"""),60.58)</f>
        <v>60.58</v>
      </c>
      <c r="D250" s="141">
        <f ca="1">IFERROR(__xludf.DUMMYFUNCTION("""COMPUTED_VALUE"""),60.88)</f>
        <v>60.88</v>
      </c>
      <c r="E250" s="141">
        <f ca="1">IFERROR(__xludf.DUMMYFUNCTION("""COMPUTED_VALUE"""),59.75)</f>
        <v>59.75</v>
      </c>
      <c r="F250" s="141">
        <f ca="1">IFERROR(__xludf.DUMMYFUNCTION("""COMPUTED_VALUE"""),59.81)</f>
        <v>59.81</v>
      </c>
      <c r="G250" s="143">
        <f ca="1">IFERROR(__xludf.DUMMYFUNCTION("""COMPUTED_VALUE"""),14107732)</f>
        <v>14107732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IFERROR(__xludf.DUMMYFUNCTION("""COMPUTED_VALUE"""),60.56)</f>
        <v>60.56</v>
      </c>
      <c r="D251" s="141">
        <f ca="1">IFERROR(__xludf.DUMMYFUNCTION("""COMPUTED_VALUE"""),60.86)</f>
        <v>60.86</v>
      </c>
      <c r="E251" s="141">
        <f ca="1">IFERROR(__xludf.DUMMYFUNCTION("""COMPUTED_VALUE"""),60.53)</f>
        <v>60.53</v>
      </c>
      <c r="F251" s="141">
        <f ca="1">IFERROR(__xludf.DUMMYFUNCTION("""COMPUTED_VALUE"""),60.77)</f>
        <v>60.77</v>
      </c>
      <c r="G251" s="143">
        <f ca="1">IFERROR(__xludf.DUMMYFUNCTION("""COMPUTED_VALUE"""),7991372)</f>
        <v>7991372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IFERROR(__xludf.DUMMYFUNCTION("""COMPUTED_VALUE"""),61.39)</f>
        <v>61.39</v>
      </c>
      <c r="D252" s="141">
        <f ca="1">IFERROR(__xludf.DUMMYFUNCTION("""COMPUTED_VALUE"""),61.52)</f>
        <v>61.52</v>
      </c>
      <c r="E252" s="141">
        <f ca="1">IFERROR(__xludf.DUMMYFUNCTION("""COMPUTED_VALUE"""),61.16)</f>
        <v>61.16</v>
      </c>
      <c r="F252" s="141">
        <f ca="1">IFERROR(__xludf.DUMMYFUNCTION("""COMPUTED_VALUE"""),61.24)</f>
        <v>61.24</v>
      </c>
      <c r="G252" s="143">
        <f ca="1">IFERROR(__xludf.DUMMYFUNCTION("""COMPUTED_VALUE"""),14098279)</f>
        <v>14098279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IFERROR(__xludf.DUMMYFUNCTION("""COMPUTED_VALUE"""),59.4)</f>
        <v>59.4</v>
      </c>
      <c r="D253" s="141">
        <f ca="1">IFERROR(__xludf.DUMMYFUNCTION("""COMPUTED_VALUE"""),59.79)</f>
        <v>59.79</v>
      </c>
      <c r="E253" s="141">
        <f ca="1">IFERROR(__xludf.DUMMYFUNCTION("""COMPUTED_VALUE"""),59.29)</f>
        <v>59.29</v>
      </c>
      <c r="F253" s="141">
        <f ca="1">IFERROR(__xludf.DUMMYFUNCTION("""COMPUTED_VALUE"""),59.36)</f>
        <v>59.36</v>
      </c>
      <c r="G253" s="143">
        <f ca="1">IFERROR(__xludf.DUMMYFUNCTION("""COMPUTED_VALUE"""),6988390)</f>
        <v>6988390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IFERROR(__xludf.DUMMYFUNCTION("""COMPUTED_VALUE"""),58.88)</f>
        <v>58.88</v>
      </c>
      <c r="D254" s="141">
        <f ca="1">IFERROR(__xludf.DUMMYFUNCTION("""COMPUTED_VALUE"""),59.18)</f>
        <v>59.18</v>
      </c>
      <c r="E254" s="141">
        <f ca="1">IFERROR(__xludf.DUMMYFUNCTION("""COMPUTED_VALUE"""),58.66)</f>
        <v>58.66</v>
      </c>
      <c r="F254" s="141">
        <f ca="1">IFERROR(__xludf.DUMMYFUNCTION("""COMPUTED_VALUE"""),58.97)</f>
        <v>58.97</v>
      </c>
      <c r="G254" s="143">
        <f ca="1">IFERROR(__xludf.DUMMYFUNCTION("""COMPUTED_VALUE"""),7250915)</f>
        <v>7250915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IFERROR(__xludf.DUMMYFUNCTION("""COMPUTED_VALUE"""),59.39)</f>
        <v>59.39</v>
      </c>
      <c r="D255" s="141">
        <f ca="1">IFERROR(__xludf.DUMMYFUNCTION("""COMPUTED_VALUE"""),59.45)</f>
        <v>59.45</v>
      </c>
      <c r="E255" s="141">
        <f ca="1">IFERROR(__xludf.DUMMYFUNCTION("""COMPUTED_VALUE"""),58.53)</f>
        <v>58.53</v>
      </c>
      <c r="F255" s="141">
        <f ca="1">IFERROR(__xludf.DUMMYFUNCTION("""COMPUTED_VALUE"""),58.8)</f>
        <v>58.8</v>
      </c>
      <c r="G255" s="143">
        <f ca="1">IFERROR(__xludf.DUMMYFUNCTION("""COMPUTED_VALUE"""),6943926)</f>
        <v>6943926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IFERROR(__xludf.DUMMYFUNCTION("""COMPUTED_VALUE"""),57.99)</f>
        <v>57.99</v>
      </c>
      <c r="D256" s="141">
        <f ca="1">IFERROR(__xludf.DUMMYFUNCTION("""COMPUTED_VALUE"""),58.79)</f>
        <v>58.79</v>
      </c>
      <c r="E256" s="141">
        <f ca="1">IFERROR(__xludf.DUMMYFUNCTION("""COMPUTED_VALUE"""),57.91)</f>
        <v>57.91</v>
      </c>
      <c r="F256" s="141">
        <f ca="1">IFERROR(__xludf.DUMMYFUNCTION("""COMPUTED_VALUE"""),58.58)</f>
        <v>58.58</v>
      </c>
      <c r="G256" s="143">
        <f ca="1">IFERROR(__xludf.DUMMYFUNCTION("""COMPUTED_VALUE"""),7418911)</f>
        <v>7418911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IFERROR(__xludf.DUMMYFUNCTION("""COMPUTED_VALUE"""),58.82)</f>
        <v>58.82</v>
      </c>
      <c r="D257" s="141">
        <f ca="1">IFERROR(__xludf.DUMMYFUNCTION("""COMPUTED_VALUE"""),59.21)</f>
        <v>59.21</v>
      </c>
      <c r="E257" s="141">
        <f ca="1">IFERROR(__xludf.DUMMYFUNCTION("""COMPUTED_VALUE"""),58.37)</f>
        <v>58.37</v>
      </c>
      <c r="F257" s="141">
        <f ca="1">IFERROR(__xludf.DUMMYFUNCTION("""COMPUTED_VALUE"""),59.18)</f>
        <v>59.18</v>
      </c>
      <c r="G257" s="143">
        <f ca="1">IFERROR(__xludf.DUMMYFUNCTION("""COMPUTED_VALUE"""),6535982)</f>
        <v>6535982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IFERROR(__xludf.DUMMYFUNCTION("""COMPUTED_VALUE"""),59.23)</f>
        <v>59.23</v>
      </c>
      <c r="D258" s="141">
        <f ca="1">IFERROR(__xludf.DUMMYFUNCTION("""COMPUTED_VALUE"""),59.79)</f>
        <v>59.79</v>
      </c>
      <c r="E258" s="141">
        <f ca="1">IFERROR(__xludf.DUMMYFUNCTION("""COMPUTED_VALUE"""),59.13)</f>
        <v>59.13</v>
      </c>
      <c r="F258" s="141">
        <f ca="1">IFERROR(__xludf.DUMMYFUNCTION("""COMPUTED_VALUE"""),59.69)</f>
        <v>59.69</v>
      </c>
      <c r="G258" s="143">
        <f ca="1">IFERROR(__xludf.DUMMYFUNCTION("""COMPUTED_VALUE"""),12279001)</f>
        <v>12279001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IFERROR(__xludf.DUMMYFUNCTION("""COMPUTED_VALUE"""),59.26)</f>
        <v>59.26</v>
      </c>
      <c r="D259" s="141">
        <f ca="1">IFERROR(__xludf.DUMMYFUNCTION("""COMPUTED_VALUE"""),59.65)</f>
        <v>59.65</v>
      </c>
      <c r="E259" s="141">
        <f ca="1">IFERROR(__xludf.DUMMYFUNCTION("""COMPUTED_VALUE"""),59.17)</f>
        <v>59.17</v>
      </c>
      <c r="F259" s="141">
        <f ca="1">IFERROR(__xludf.DUMMYFUNCTION("""COMPUTED_VALUE"""),59.22)</f>
        <v>59.22</v>
      </c>
      <c r="G259" s="143">
        <f ca="1">IFERROR(__xludf.DUMMYFUNCTION("""COMPUTED_VALUE"""),12331766)</f>
        <v>12331766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IFERROR(__xludf.DUMMYFUNCTION("""COMPUTED_VALUE"""),59.54)</f>
        <v>59.54</v>
      </c>
      <c r="D260" s="141">
        <f ca="1">IFERROR(__xludf.DUMMYFUNCTION("""COMPUTED_VALUE"""),59.95)</f>
        <v>59.95</v>
      </c>
      <c r="E260" s="141">
        <f ca="1">IFERROR(__xludf.DUMMYFUNCTION("""COMPUTED_VALUE"""),58.59)</f>
        <v>58.59</v>
      </c>
      <c r="F260" s="141">
        <f ca="1">IFERROR(__xludf.DUMMYFUNCTION("""COMPUTED_VALUE"""),59.04)</f>
        <v>59.04</v>
      </c>
      <c r="G260" s="143">
        <f ca="1">IFERROR(__xludf.DUMMYFUNCTION("""COMPUTED_VALUE"""),9268756)</f>
        <v>9268756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IFERROR(__xludf.DUMMYFUNCTION("""COMPUTED_VALUE"""),59.68)</f>
        <v>59.68</v>
      </c>
      <c r="D261" s="141">
        <f ca="1">IFERROR(__xludf.DUMMYFUNCTION("""COMPUTED_VALUE"""),60.15)</f>
        <v>60.15</v>
      </c>
      <c r="E261" s="141">
        <f ca="1">IFERROR(__xludf.DUMMYFUNCTION("""COMPUTED_VALUE"""),59.61)</f>
        <v>59.61</v>
      </c>
      <c r="F261" s="141">
        <f ca="1">IFERROR(__xludf.DUMMYFUNCTION("""COMPUTED_VALUE"""),60.07)</f>
        <v>60.07</v>
      </c>
      <c r="G261" s="143">
        <f ca="1">IFERROR(__xludf.DUMMYFUNCTION("""COMPUTED_VALUE"""),6413976)</f>
        <v>6413976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IFERROR(__xludf.DUMMYFUNCTION("""COMPUTED_VALUE"""),59.17)</f>
        <v>59.17</v>
      </c>
      <c r="D262" s="141">
        <f ca="1">IFERROR(__xludf.DUMMYFUNCTION("""COMPUTED_VALUE"""),59.39)</f>
        <v>59.39</v>
      </c>
      <c r="E262" s="141">
        <f ca="1">IFERROR(__xludf.DUMMYFUNCTION("""COMPUTED_VALUE"""),58.63)</f>
        <v>58.63</v>
      </c>
      <c r="F262" s="141">
        <f ca="1">IFERROR(__xludf.DUMMYFUNCTION("""COMPUTED_VALUE"""),58.88)</f>
        <v>58.88</v>
      </c>
      <c r="G262" s="143">
        <f ca="1">IFERROR(__xludf.DUMMYFUNCTION("""COMPUTED_VALUE"""),6948009)</f>
        <v>6948009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IFERROR(__xludf.DUMMYFUNCTION("""COMPUTED_VALUE"""),58.8)</f>
        <v>58.8</v>
      </c>
      <c r="D263" s="141">
        <f ca="1">IFERROR(__xludf.DUMMYFUNCTION("""COMPUTED_VALUE"""),59.19)</f>
        <v>59.19</v>
      </c>
      <c r="E263" s="141">
        <f ca="1">IFERROR(__xludf.DUMMYFUNCTION("""COMPUTED_VALUE"""),58.58)</f>
        <v>58.58</v>
      </c>
      <c r="F263" s="141">
        <f ca="1">IFERROR(__xludf.DUMMYFUNCTION("""COMPUTED_VALUE"""),59.17)</f>
        <v>59.17</v>
      </c>
      <c r="G263" s="143">
        <f ca="1">IFERROR(__xludf.DUMMYFUNCTION("""COMPUTED_VALUE"""),12304934)</f>
        <v>12304934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IFERROR(__xludf.DUMMYFUNCTION("""COMPUTED_VALUE"""),59.4)</f>
        <v>59.4</v>
      </c>
      <c r="D264" s="141">
        <f ca="1">IFERROR(__xludf.DUMMYFUNCTION("""COMPUTED_VALUE"""),59.71)</f>
        <v>59.71</v>
      </c>
      <c r="E264" s="141">
        <f ca="1">IFERROR(__xludf.DUMMYFUNCTION("""COMPUTED_VALUE"""),59.3)</f>
        <v>59.3</v>
      </c>
      <c r="F264" s="141">
        <f ca="1">IFERROR(__xludf.DUMMYFUNCTION("""COMPUTED_VALUE"""),59.49)</f>
        <v>59.49</v>
      </c>
      <c r="G264" s="143">
        <f ca="1">IFERROR(__xludf.DUMMYFUNCTION("""COMPUTED_VALUE"""),9659225)</f>
        <v>9659225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IFERROR(__xludf.DUMMYFUNCTION("""COMPUTED_VALUE"""),59.73)</f>
        <v>59.73</v>
      </c>
      <c r="D265" s="141">
        <f ca="1">IFERROR(__xludf.DUMMYFUNCTION("""COMPUTED_VALUE"""),60.04)</f>
        <v>60.04</v>
      </c>
      <c r="E265" s="141">
        <f ca="1">IFERROR(__xludf.DUMMYFUNCTION("""COMPUTED_VALUE"""),59.45)</f>
        <v>59.45</v>
      </c>
      <c r="F265" s="141">
        <f ca="1">IFERROR(__xludf.DUMMYFUNCTION("""COMPUTED_VALUE"""),59.89)</f>
        <v>59.89</v>
      </c>
      <c r="G265" s="143">
        <f ca="1">IFERROR(__xludf.DUMMYFUNCTION("""COMPUTED_VALUE"""),12054999)</f>
        <v>12054999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IFERROR(__xludf.DUMMYFUNCTION("""COMPUTED_VALUE"""),59.32)</f>
        <v>59.32</v>
      </c>
      <c r="D266" s="141">
        <f ca="1">IFERROR(__xludf.DUMMYFUNCTION("""COMPUTED_VALUE"""),59.4)</f>
        <v>59.4</v>
      </c>
      <c r="E266" s="141">
        <f ca="1">IFERROR(__xludf.DUMMYFUNCTION("""COMPUTED_VALUE"""),58.72)</f>
        <v>58.72</v>
      </c>
      <c r="F266" s="141">
        <f ca="1">IFERROR(__xludf.DUMMYFUNCTION("""COMPUTED_VALUE"""),58.79)</f>
        <v>58.79</v>
      </c>
      <c r="G266" s="143">
        <f ca="1">IFERROR(__xludf.DUMMYFUNCTION("""COMPUTED_VALUE"""),7809496)</f>
        <v>7809496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IFERROR(__xludf.DUMMYFUNCTION("""COMPUTED_VALUE"""),59.09)</f>
        <v>59.09</v>
      </c>
      <c r="D267" s="141">
        <f ca="1">IFERROR(__xludf.DUMMYFUNCTION("""COMPUTED_VALUE"""),59.26)</f>
        <v>59.26</v>
      </c>
      <c r="E267" s="141">
        <f ca="1">IFERROR(__xludf.DUMMYFUNCTION("""COMPUTED_VALUE"""),58.91)</f>
        <v>58.91</v>
      </c>
      <c r="F267" s="141">
        <f ca="1">IFERROR(__xludf.DUMMYFUNCTION("""COMPUTED_VALUE"""),59.08)</f>
        <v>59.08</v>
      </c>
      <c r="G267" s="143">
        <f ca="1">IFERROR(__xludf.DUMMYFUNCTION("""COMPUTED_VALUE"""),12487308)</f>
        <v>12487308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IFERROR(__xludf.DUMMYFUNCTION("""COMPUTED_VALUE"""),59.43)</f>
        <v>59.43</v>
      </c>
      <c r="D268" s="141">
        <f ca="1">IFERROR(__xludf.DUMMYFUNCTION("""COMPUTED_VALUE"""),59.64)</f>
        <v>59.64</v>
      </c>
      <c r="E268" s="141">
        <f ca="1">IFERROR(__xludf.DUMMYFUNCTION("""COMPUTED_VALUE"""),59.03)</f>
        <v>59.03</v>
      </c>
      <c r="F268" s="141">
        <f ca="1">IFERROR(__xludf.DUMMYFUNCTION("""COMPUTED_VALUE"""),59.48)</f>
        <v>59.48</v>
      </c>
      <c r="G268" s="143">
        <f ca="1">IFERROR(__xludf.DUMMYFUNCTION("""COMPUTED_VALUE"""),7850465)</f>
        <v>7850465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IFERROR(__xludf.DUMMYFUNCTION("""COMPUTED_VALUE"""),58.88)</f>
        <v>58.88</v>
      </c>
      <c r="D269" s="141">
        <f ca="1">IFERROR(__xludf.DUMMYFUNCTION("""COMPUTED_VALUE"""),59.03)</f>
        <v>59.03</v>
      </c>
      <c r="E269" s="141">
        <f ca="1">IFERROR(__xludf.DUMMYFUNCTION("""COMPUTED_VALUE"""),58.67)</f>
        <v>58.67</v>
      </c>
      <c r="F269" s="141">
        <f ca="1">IFERROR(__xludf.DUMMYFUNCTION("""COMPUTED_VALUE"""),58.84)</f>
        <v>58.84</v>
      </c>
      <c r="G269" s="143">
        <f ca="1">IFERROR(__xludf.DUMMYFUNCTION("""COMPUTED_VALUE"""),6467219)</f>
        <v>6467219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IFERROR(__xludf.DUMMYFUNCTION("""COMPUTED_VALUE"""),57.33)</f>
        <v>57.33</v>
      </c>
      <c r="D270" s="141">
        <f ca="1">IFERROR(__xludf.DUMMYFUNCTION("""COMPUTED_VALUE"""),57.97)</f>
        <v>57.97</v>
      </c>
      <c r="E270" s="141">
        <f ca="1">IFERROR(__xludf.DUMMYFUNCTION("""COMPUTED_VALUE"""),57.26)</f>
        <v>57.26</v>
      </c>
      <c r="F270" s="141">
        <f ca="1">IFERROR(__xludf.DUMMYFUNCTION("""COMPUTED_VALUE"""),57.84)</f>
        <v>57.84</v>
      </c>
      <c r="G270" s="143">
        <f ca="1">IFERROR(__xludf.DUMMYFUNCTION("""COMPUTED_VALUE"""),10037852)</f>
        <v>10037852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IFERROR(__xludf.DUMMYFUNCTION("""COMPUTED_VALUE"""),58.22)</f>
        <v>58.22</v>
      </c>
      <c r="D271" s="141">
        <f ca="1">IFERROR(__xludf.DUMMYFUNCTION("""COMPUTED_VALUE"""),58.28)</f>
        <v>58.28</v>
      </c>
      <c r="E271" s="141">
        <f ca="1">IFERROR(__xludf.DUMMYFUNCTION("""COMPUTED_VALUE"""),57.85)</f>
        <v>57.85</v>
      </c>
      <c r="F271" s="141">
        <f ca="1">IFERROR(__xludf.DUMMYFUNCTION("""COMPUTED_VALUE"""),57.93)</f>
        <v>57.93</v>
      </c>
      <c r="G271" s="143">
        <f ca="1">IFERROR(__xludf.DUMMYFUNCTION("""COMPUTED_VALUE"""),6693911)</f>
        <v>6693911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IFERROR(__xludf.DUMMYFUNCTION("""COMPUTED_VALUE"""),58.8)</f>
        <v>58.8</v>
      </c>
      <c r="D272" s="141">
        <f ca="1">IFERROR(__xludf.DUMMYFUNCTION("""COMPUTED_VALUE"""),58.94)</f>
        <v>58.94</v>
      </c>
      <c r="E272" s="141">
        <f ca="1">IFERROR(__xludf.DUMMYFUNCTION("""COMPUTED_VALUE"""),58.62)</f>
        <v>58.62</v>
      </c>
      <c r="F272" s="141">
        <f ca="1">IFERROR(__xludf.DUMMYFUNCTION("""COMPUTED_VALUE"""),58.86)</f>
        <v>58.86</v>
      </c>
      <c r="G272" s="143">
        <f ca="1">IFERROR(__xludf.DUMMYFUNCTION("""COMPUTED_VALUE"""),6840040)</f>
        <v>6840040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IFERROR(__xludf.DUMMYFUNCTION("""COMPUTED_VALUE"""),58.71)</f>
        <v>58.71</v>
      </c>
      <c r="D273" s="141">
        <f ca="1">IFERROR(__xludf.DUMMYFUNCTION("""COMPUTED_VALUE"""),58.95)</f>
        <v>58.95</v>
      </c>
      <c r="E273" s="141">
        <f ca="1">IFERROR(__xludf.DUMMYFUNCTION("""COMPUTED_VALUE"""),58.67)</f>
        <v>58.67</v>
      </c>
      <c r="F273" s="141">
        <f ca="1">IFERROR(__xludf.DUMMYFUNCTION("""COMPUTED_VALUE"""),58.81)</f>
        <v>58.81</v>
      </c>
      <c r="G273" s="143">
        <f ca="1">IFERROR(__xludf.DUMMYFUNCTION("""COMPUTED_VALUE"""),5395067)</f>
        <v>5395067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IFERROR(__xludf.DUMMYFUNCTION("""COMPUTED_VALUE"""),58.18)</f>
        <v>58.18</v>
      </c>
      <c r="D274" s="141">
        <f ca="1">IFERROR(__xludf.DUMMYFUNCTION("""COMPUTED_VALUE"""),58.43)</f>
        <v>58.43</v>
      </c>
      <c r="E274" s="141">
        <f ca="1">IFERROR(__xludf.DUMMYFUNCTION("""COMPUTED_VALUE"""),57.82)</f>
        <v>57.82</v>
      </c>
      <c r="F274" s="141">
        <f ca="1">IFERROR(__xludf.DUMMYFUNCTION("""COMPUTED_VALUE"""),58.1)</f>
        <v>58.1</v>
      </c>
      <c r="G274" s="143">
        <f ca="1">IFERROR(__xludf.DUMMYFUNCTION("""COMPUTED_VALUE"""),5733087)</f>
        <v>5733087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IFERROR(__xludf.DUMMYFUNCTION("""COMPUTED_VALUE"""),58)</f>
        <v>58</v>
      </c>
      <c r="D275" s="141">
        <f ca="1">IFERROR(__xludf.DUMMYFUNCTION("""COMPUTED_VALUE"""),58.28)</f>
        <v>58.28</v>
      </c>
      <c r="E275" s="141">
        <f ca="1">IFERROR(__xludf.DUMMYFUNCTION("""COMPUTED_VALUE"""),57.73)</f>
        <v>57.73</v>
      </c>
      <c r="F275" s="141">
        <f ca="1">IFERROR(__xludf.DUMMYFUNCTION("""COMPUTED_VALUE"""),57.8)</f>
        <v>57.8</v>
      </c>
      <c r="G275" s="143">
        <f ca="1">IFERROR(__xludf.DUMMYFUNCTION("""COMPUTED_VALUE"""),6078848)</f>
        <v>6078848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IFERROR(__xludf.DUMMYFUNCTION("""COMPUTED_VALUE"""),58.37)</f>
        <v>58.37</v>
      </c>
      <c r="D276" s="141">
        <f ca="1">IFERROR(__xludf.DUMMYFUNCTION("""COMPUTED_VALUE"""),58.43)</f>
        <v>58.43</v>
      </c>
      <c r="E276" s="141">
        <f ca="1">IFERROR(__xludf.DUMMYFUNCTION("""COMPUTED_VALUE"""),57.72)</f>
        <v>57.72</v>
      </c>
      <c r="F276" s="141">
        <f ca="1">IFERROR(__xludf.DUMMYFUNCTION("""COMPUTED_VALUE"""),58.23)</f>
        <v>58.23</v>
      </c>
      <c r="G276" s="143">
        <f ca="1">IFERROR(__xludf.DUMMYFUNCTION("""COMPUTED_VALUE"""),6416654)</f>
        <v>6416654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IFERROR(__xludf.DUMMYFUNCTION("""COMPUTED_VALUE"""),57.4)</f>
        <v>57.4</v>
      </c>
      <c r="D277" s="141">
        <f ca="1">IFERROR(__xludf.DUMMYFUNCTION("""COMPUTED_VALUE"""),57.95)</f>
        <v>57.95</v>
      </c>
      <c r="E277" s="141">
        <f ca="1">IFERROR(__xludf.DUMMYFUNCTION("""COMPUTED_VALUE"""),57.23)</f>
        <v>57.23</v>
      </c>
      <c r="F277" s="141">
        <f ca="1">IFERROR(__xludf.DUMMYFUNCTION("""COMPUTED_VALUE"""),57.74)</f>
        <v>57.74</v>
      </c>
      <c r="G277" s="143">
        <f ca="1">IFERROR(__xludf.DUMMYFUNCTION("""COMPUTED_VALUE"""),5828156)</f>
        <v>5828156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IFERROR(__xludf.DUMMYFUNCTION("""COMPUTED_VALUE"""),57.24)</f>
        <v>57.24</v>
      </c>
      <c r="D278" s="141">
        <f ca="1">IFERROR(__xludf.DUMMYFUNCTION("""COMPUTED_VALUE"""),57.92)</f>
        <v>57.92</v>
      </c>
      <c r="E278" s="141">
        <f ca="1">IFERROR(__xludf.DUMMYFUNCTION("""COMPUTED_VALUE"""),56.79)</f>
        <v>56.79</v>
      </c>
      <c r="F278" s="141">
        <f ca="1">IFERROR(__xludf.DUMMYFUNCTION("""COMPUTED_VALUE"""),56.92)</f>
        <v>56.92</v>
      </c>
      <c r="G278" s="143">
        <f ca="1">IFERROR(__xludf.DUMMYFUNCTION("""COMPUTED_VALUE"""),6851364)</f>
        <v>6851364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83" priority="5" operator="lessThan">
      <formula>0</formula>
    </cfRule>
    <cfRule type="cellIs" dxfId="82" priority="6" operator="greaterThan">
      <formula>0</formula>
    </cfRule>
  </conditionalFormatting>
  <conditionalFormatting sqref="F28:F1000">
    <cfRule type="expression" dxfId="81" priority="1">
      <formula>AND(F28=MAX(F$28:F$1000),F28&gt;0)</formula>
    </cfRule>
    <cfRule type="expression" dxfId="80" priority="2">
      <formula>AND(F28=MIN(F$28:F$1000),F28&gt;0)</formula>
    </cfRule>
  </conditionalFormatting>
  <conditionalFormatting sqref="F29:F1000">
    <cfRule type="expression" dxfId="79" priority="3">
      <formula>F29&gt;F27</formula>
    </cfRule>
    <cfRule type="expression" dxfId="78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C00-000000000000}">
      <formula1>"1 Month,3 Months,6 Months,12 Months,36 Months"</formula1>
    </dataValidation>
  </dataValidations>
  <hyperlinks>
    <hyperlink ref="G2" r:id="rId1" xr:uid="{00000000-0004-0000-0C00-000000000000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148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JPMorgan USD Emerging Markets Bond ETF")</f>
        <v>iShares JPMorgan USD Emerging Markets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IFERROR(__xludf.DUMMYFUNCTION("GOOGLEFINANCE(B18,""price"")"),94.56)</f>
        <v>94.56</v>
      </c>
      <c r="C10" s="322"/>
      <c r="D10" s="100">
        <f ca="1">IFERROR(__xludf.DUMMYFUNCTION("IFERROR(GOOGLEFINANCE(B18,""change""),""-"")"),-0.63)</f>
        <v>-0.63</v>
      </c>
      <c r="E10" s="103">
        <f ca="1">IFERROR(__xludf.DUMMYFUNCTION("IFERROR(GOOGLEFINANCE(B18,""changepct"")/100,""-"")"),-0.0066)</f>
        <v>-6.6E-3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 t="str">
        <f ca="1">IFERROR(__xludf.DUMMYFUNCTION("IFERROR(GOOGLEFINANCE(B18,""marketcap""),""-"")"),"-")</f>
        <v>-</v>
      </c>
      <c r="C14" s="115" t="str">
        <f ca="1">IFERROR(__xludf.DUMMYFUNCTION("IFERROR(GOOGLEFINANCE(B18,""pe""),""-"")"),"-")</f>
        <v>-</v>
      </c>
      <c r="D14" s="115">
        <f ca="1">IFERROR(__xludf.DUMMYFUNCTION("IFERROR(GOOGLEFINANCE(B18,""beta""),""-"")"),0.52)</f>
        <v>0.52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emb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IFERROR(__xludf.DUMMYFUNCTION("""COMPUTED_VALUE"""),92.88)</f>
        <v>92.88</v>
      </c>
      <c r="D28" s="141">
        <f ca="1">IFERROR(__xludf.DUMMYFUNCTION("""COMPUTED_VALUE"""),93.04)</f>
        <v>93.04</v>
      </c>
      <c r="E28" s="141">
        <f ca="1">IFERROR(__xludf.DUMMYFUNCTION("""COMPUTED_VALUE"""),92.65)</f>
        <v>92.65</v>
      </c>
      <c r="F28" s="141">
        <f ca="1">IFERROR(__xludf.DUMMYFUNCTION("""COMPUTED_VALUE"""),92.85)</f>
        <v>92.85</v>
      </c>
      <c r="G28" s="143">
        <f ca="1">IFERROR(__xludf.DUMMYFUNCTION("""COMPUTED_VALUE"""),6119035)</f>
        <v>6119035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IFERROR(__xludf.DUMMYFUNCTION("""COMPUTED_VALUE"""),92.92)</f>
        <v>92.92</v>
      </c>
      <c r="D29" s="141">
        <f ca="1">IFERROR(__xludf.DUMMYFUNCTION("""COMPUTED_VALUE"""),93.05)</f>
        <v>93.05</v>
      </c>
      <c r="E29" s="141">
        <f ca="1">IFERROR(__xludf.DUMMYFUNCTION("""COMPUTED_VALUE"""),92.79)</f>
        <v>92.79</v>
      </c>
      <c r="F29" s="141">
        <f ca="1">IFERROR(__xludf.DUMMYFUNCTION("""COMPUTED_VALUE"""),92.87)</f>
        <v>92.87</v>
      </c>
      <c r="G29" s="143">
        <f ca="1">IFERROR(__xludf.DUMMYFUNCTION("""COMPUTED_VALUE"""),7525666)</f>
        <v>7525666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IFERROR(__xludf.DUMMYFUNCTION("""COMPUTED_VALUE"""),92.64)</f>
        <v>92.64</v>
      </c>
      <c r="D30" s="141">
        <f ca="1">IFERROR(__xludf.DUMMYFUNCTION("""COMPUTED_VALUE"""),92.78)</f>
        <v>92.78</v>
      </c>
      <c r="E30" s="141">
        <f ca="1">IFERROR(__xludf.DUMMYFUNCTION("""COMPUTED_VALUE"""),92.55)</f>
        <v>92.55</v>
      </c>
      <c r="F30" s="141">
        <f ca="1">IFERROR(__xludf.DUMMYFUNCTION("""COMPUTED_VALUE"""),92.72)</f>
        <v>92.72</v>
      </c>
      <c r="G30" s="143">
        <f ca="1">IFERROR(__xludf.DUMMYFUNCTION("""COMPUTED_VALUE"""),11771523)</f>
        <v>11771523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IFERROR(__xludf.DUMMYFUNCTION("""COMPUTED_VALUE"""),93)</f>
        <v>93</v>
      </c>
      <c r="D31" s="141">
        <f ca="1">IFERROR(__xludf.DUMMYFUNCTION("""COMPUTED_VALUE"""),93.2)</f>
        <v>93.2</v>
      </c>
      <c r="E31" s="141">
        <f ca="1">IFERROR(__xludf.DUMMYFUNCTION("""COMPUTED_VALUE"""),92.92)</f>
        <v>92.92</v>
      </c>
      <c r="F31" s="141">
        <f ca="1">IFERROR(__xludf.DUMMYFUNCTION("""COMPUTED_VALUE"""),93.18)</f>
        <v>93.18</v>
      </c>
      <c r="G31" s="143">
        <f ca="1">IFERROR(__xludf.DUMMYFUNCTION("""COMPUTED_VALUE"""),5397905)</f>
        <v>5397905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IFERROR(__xludf.DUMMYFUNCTION("""COMPUTED_VALUE"""),93.17)</f>
        <v>93.17</v>
      </c>
      <c r="D32" s="141">
        <f ca="1">IFERROR(__xludf.DUMMYFUNCTION("""COMPUTED_VALUE"""),93.27)</f>
        <v>93.27</v>
      </c>
      <c r="E32" s="141">
        <f ca="1">IFERROR(__xludf.DUMMYFUNCTION("""COMPUTED_VALUE"""),93.08)</f>
        <v>93.08</v>
      </c>
      <c r="F32" s="141">
        <f ca="1">IFERROR(__xludf.DUMMYFUNCTION("""COMPUTED_VALUE"""),93.18)</f>
        <v>93.18</v>
      </c>
      <c r="G32" s="143">
        <f ca="1">IFERROR(__xludf.DUMMYFUNCTION("""COMPUTED_VALUE"""),8602398)</f>
        <v>8602398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IFERROR(__xludf.DUMMYFUNCTION("""COMPUTED_VALUE"""),93.18)</f>
        <v>93.18</v>
      </c>
      <c r="D33" s="141">
        <f ca="1">IFERROR(__xludf.DUMMYFUNCTION("""COMPUTED_VALUE"""),93.25)</f>
        <v>93.25</v>
      </c>
      <c r="E33" s="141">
        <f ca="1">IFERROR(__xludf.DUMMYFUNCTION("""COMPUTED_VALUE"""),92.87)</f>
        <v>92.87</v>
      </c>
      <c r="F33" s="141">
        <f ca="1">IFERROR(__xludf.DUMMYFUNCTION("""COMPUTED_VALUE"""),93.24)</f>
        <v>93.24</v>
      </c>
      <c r="G33" s="143">
        <f ca="1">IFERROR(__xludf.DUMMYFUNCTION("""COMPUTED_VALUE"""),5786461)</f>
        <v>5786461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IFERROR(__xludf.DUMMYFUNCTION("""COMPUTED_VALUE"""),93.34)</f>
        <v>93.34</v>
      </c>
      <c r="D34" s="141">
        <f ca="1">IFERROR(__xludf.DUMMYFUNCTION("""COMPUTED_VALUE"""),93.48)</f>
        <v>93.48</v>
      </c>
      <c r="E34" s="141">
        <f ca="1">IFERROR(__xludf.DUMMYFUNCTION("""COMPUTED_VALUE"""),93.26)</f>
        <v>93.26</v>
      </c>
      <c r="F34" s="141">
        <f ca="1">IFERROR(__xludf.DUMMYFUNCTION("""COMPUTED_VALUE"""),93.38)</f>
        <v>93.38</v>
      </c>
      <c r="G34" s="143">
        <f ca="1">IFERROR(__xludf.DUMMYFUNCTION("""COMPUTED_VALUE"""),5698342)</f>
        <v>5698342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IFERROR(__xludf.DUMMYFUNCTION("""COMPUTED_VALUE"""),93.23)</f>
        <v>93.23</v>
      </c>
      <c r="D35" s="141">
        <f ca="1">IFERROR(__xludf.DUMMYFUNCTION("""COMPUTED_VALUE"""),93.4)</f>
        <v>93.4</v>
      </c>
      <c r="E35" s="141">
        <f ca="1">IFERROR(__xludf.DUMMYFUNCTION("""COMPUTED_VALUE"""),93.23)</f>
        <v>93.23</v>
      </c>
      <c r="F35" s="141">
        <f ca="1">IFERROR(__xludf.DUMMYFUNCTION("""COMPUTED_VALUE"""),93.38)</f>
        <v>93.38</v>
      </c>
      <c r="G35" s="143">
        <f ca="1">IFERROR(__xludf.DUMMYFUNCTION("""COMPUTED_VALUE"""),3442732)</f>
        <v>3442732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IFERROR(__xludf.DUMMYFUNCTION("""COMPUTED_VALUE"""),93.38)</f>
        <v>93.38</v>
      </c>
      <c r="D36" s="141">
        <f ca="1">IFERROR(__xludf.DUMMYFUNCTION("""COMPUTED_VALUE"""),93.6)</f>
        <v>93.6</v>
      </c>
      <c r="E36" s="141">
        <f ca="1">IFERROR(__xludf.DUMMYFUNCTION("""COMPUTED_VALUE"""),93.38)</f>
        <v>93.38</v>
      </c>
      <c r="F36" s="141">
        <f ca="1">IFERROR(__xludf.DUMMYFUNCTION("""COMPUTED_VALUE"""),93.5)</f>
        <v>93.5</v>
      </c>
      <c r="G36" s="143">
        <f ca="1">IFERROR(__xludf.DUMMYFUNCTION("""COMPUTED_VALUE"""),3606651)</f>
        <v>3606651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IFERROR(__xludf.DUMMYFUNCTION("""COMPUTED_VALUE"""),93.57)</f>
        <v>93.57</v>
      </c>
      <c r="D37" s="141">
        <f ca="1">IFERROR(__xludf.DUMMYFUNCTION("""COMPUTED_VALUE"""),93.72)</f>
        <v>93.72</v>
      </c>
      <c r="E37" s="141">
        <f ca="1">IFERROR(__xludf.DUMMYFUNCTION("""COMPUTED_VALUE"""),93.5)</f>
        <v>93.5</v>
      </c>
      <c r="F37" s="141">
        <f ca="1">IFERROR(__xludf.DUMMYFUNCTION("""COMPUTED_VALUE"""),93.68)</f>
        <v>93.68</v>
      </c>
      <c r="G37" s="143">
        <f ca="1">IFERROR(__xludf.DUMMYFUNCTION("""COMPUTED_VALUE"""),7298104)</f>
        <v>7298104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IFERROR(__xludf.DUMMYFUNCTION("""COMPUTED_VALUE"""),94.11)</f>
        <v>94.11</v>
      </c>
      <c r="D38" s="141">
        <f ca="1">IFERROR(__xludf.DUMMYFUNCTION("""COMPUTED_VALUE"""),94.18)</f>
        <v>94.18</v>
      </c>
      <c r="E38" s="141">
        <f ca="1">IFERROR(__xludf.DUMMYFUNCTION("""COMPUTED_VALUE"""),94)</f>
        <v>94</v>
      </c>
      <c r="F38" s="141">
        <f ca="1">IFERROR(__xludf.DUMMYFUNCTION("""COMPUTED_VALUE"""),94.14)</f>
        <v>94.14</v>
      </c>
      <c r="G38" s="143">
        <f ca="1">IFERROR(__xludf.DUMMYFUNCTION("""COMPUTED_VALUE"""),6574926)</f>
        <v>6574926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IFERROR(__xludf.DUMMYFUNCTION("""COMPUTED_VALUE"""),93.95)</f>
        <v>93.95</v>
      </c>
      <c r="D39" s="141">
        <f ca="1">IFERROR(__xludf.DUMMYFUNCTION("""COMPUTED_VALUE"""),94.08)</f>
        <v>94.08</v>
      </c>
      <c r="E39" s="141">
        <f ca="1">IFERROR(__xludf.DUMMYFUNCTION("""COMPUTED_VALUE"""),93.8)</f>
        <v>93.8</v>
      </c>
      <c r="F39" s="141">
        <f ca="1">IFERROR(__xludf.DUMMYFUNCTION("""COMPUTED_VALUE"""),93.93)</f>
        <v>93.93</v>
      </c>
      <c r="G39" s="143">
        <f ca="1">IFERROR(__xludf.DUMMYFUNCTION("""COMPUTED_VALUE"""),7868268)</f>
        <v>7868268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IFERROR(__xludf.DUMMYFUNCTION("""COMPUTED_VALUE"""),93.96)</f>
        <v>93.96</v>
      </c>
      <c r="D40" s="141">
        <f ca="1">IFERROR(__xludf.DUMMYFUNCTION("""COMPUTED_VALUE"""),94)</f>
        <v>94</v>
      </c>
      <c r="E40" s="141">
        <f ca="1">IFERROR(__xludf.DUMMYFUNCTION("""COMPUTED_VALUE"""),93.74)</f>
        <v>93.74</v>
      </c>
      <c r="F40" s="141">
        <f ca="1">IFERROR(__xludf.DUMMYFUNCTION("""COMPUTED_VALUE"""),93.85)</f>
        <v>93.85</v>
      </c>
      <c r="G40" s="143">
        <f ca="1">IFERROR(__xludf.DUMMYFUNCTION("""COMPUTED_VALUE"""),3679471)</f>
        <v>3679471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IFERROR(__xludf.DUMMYFUNCTION("""COMPUTED_VALUE"""),93.7)</f>
        <v>93.7</v>
      </c>
      <c r="D41" s="141">
        <f ca="1">IFERROR(__xludf.DUMMYFUNCTION("""COMPUTED_VALUE"""),94.04)</f>
        <v>94.04</v>
      </c>
      <c r="E41" s="141">
        <f ca="1">IFERROR(__xludf.DUMMYFUNCTION("""COMPUTED_VALUE"""),93.7)</f>
        <v>93.7</v>
      </c>
      <c r="F41" s="141">
        <f ca="1">IFERROR(__xludf.DUMMYFUNCTION("""COMPUTED_VALUE"""),93.94)</f>
        <v>93.94</v>
      </c>
      <c r="G41" s="143">
        <f ca="1">IFERROR(__xludf.DUMMYFUNCTION("""COMPUTED_VALUE"""),2727206)</f>
        <v>2727206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IFERROR(__xludf.DUMMYFUNCTION("""COMPUTED_VALUE"""),93.94)</f>
        <v>93.94</v>
      </c>
      <c r="D42" s="141">
        <f ca="1">IFERROR(__xludf.DUMMYFUNCTION("""COMPUTED_VALUE"""),94.09)</f>
        <v>94.09</v>
      </c>
      <c r="E42" s="141">
        <f ca="1">IFERROR(__xludf.DUMMYFUNCTION("""COMPUTED_VALUE"""),93.91)</f>
        <v>93.91</v>
      </c>
      <c r="F42" s="141">
        <f ca="1">IFERROR(__xludf.DUMMYFUNCTION("""COMPUTED_VALUE"""),93.98)</f>
        <v>93.98</v>
      </c>
      <c r="G42" s="143">
        <f ca="1">IFERROR(__xludf.DUMMYFUNCTION("""COMPUTED_VALUE"""),4412663)</f>
        <v>4412663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IFERROR(__xludf.DUMMYFUNCTION("""COMPUTED_VALUE"""),93.87)</f>
        <v>93.87</v>
      </c>
      <c r="D43" s="141">
        <f ca="1">IFERROR(__xludf.DUMMYFUNCTION("""COMPUTED_VALUE"""),93.94)</f>
        <v>93.94</v>
      </c>
      <c r="E43" s="141">
        <f ca="1">IFERROR(__xludf.DUMMYFUNCTION("""COMPUTED_VALUE"""),93.74)</f>
        <v>93.74</v>
      </c>
      <c r="F43" s="141">
        <f ca="1">IFERROR(__xludf.DUMMYFUNCTION("""COMPUTED_VALUE"""),93.83)</f>
        <v>93.83</v>
      </c>
      <c r="G43" s="143">
        <f ca="1">IFERROR(__xludf.DUMMYFUNCTION("""COMPUTED_VALUE"""),4509476)</f>
        <v>4509476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IFERROR(__xludf.DUMMYFUNCTION("""COMPUTED_VALUE"""),93.75)</f>
        <v>93.75</v>
      </c>
      <c r="D44" s="141">
        <f ca="1">IFERROR(__xludf.DUMMYFUNCTION("""COMPUTED_VALUE"""),93.79)</f>
        <v>93.79</v>
      </c>
      <c r="E44" s="141">
        <f ca="1">IFERROR(__xludf.DUMMYFUNCTION("""COMPUTED_VALUE"""),93.46)</f>
        <v>93.46</v>
      </c>
      <c r="F44" s="141">
        <f ca="1">IFERROR(__xludf.DUMMYFUNCTION("""COMPUTED_VALUE"""),93.53)</f>
        <v>93.53</v>
      </c>
      <c r="G44" s="143">
        <f ca="1">IFERROR(__xludf.DUMMYFUNCTION("""COMPUTED_VALUE"""),11054822)</f>
        <v>11054822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IFERROR(__xludf.DUMMYFUNCTION("""COMPUTED_VALUE"""),93.53)</f>
        <v>93.53</v>
      </c>
      <c r="D45" s="141">
        <f ca="1">IFERROR(__xludf.DUMMYFUNCTION("""COMPUTED_VALUE"""),94.27)</f>
        <v>94.27</v>
      </c>
      <c r="E45" s="141">
        <f ca="1">IFERROR(__xludf.DUMMYFUNCTION("""COMPUTED_VALUE"""),93.53)</f>
        <v>93.53</v>
      </c>
      <c r="F45" s="141">
        <f ca="1">IFERROR(__xludf.DUMMYFUNCTION("""COMPUTED_VALUE"""),94.21)</f>
        <v>94.21</v>
      </c>
      <c r="G45" s="143">
        <f ca="1">IFERROR(__xludf.DUMMYFUNCTION("""COMPUTED_VALUE"""),8250378)</f>
        <v>8250378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IFERROR(__xludf.DUMMYFUNCTION("""COMPUTED_VALUE"""),93.97)</f>
        <v>93.97</v>
      </c>
      <c r="D46" s="141">
        <f ca="1">IFERROR(__xludf.DUMMYFUNCTION("""COMPUTED_VALUE"""),94.03)</f>
        <v>94.03</v>
      </c>
      <c r="E46" s="141">
        <f ca="1">IFERROR(__xludf.DUMMYFUNCTION("""COMPUTED_VALUE"""),93.84)</f>
        <v>93.84</v>
      </c>
      <c r="F46" s="141">
        <f ca="1">IFERROR(__xludf.DUMMYFUNCTION("""COMPUTED_VALUE"""),93.84)</f>
        <v>93.84</v>
      </c>
      <c r="G46" s="143">
        <f ca="1">IFERROR(__xludf.DUMMYFUNCTION("""COMPUTED_VALUE"""),4721238)</f>
        <v>4721238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IFERROR(__xludf.DUMMYFUNCTION("""COMPUTED_VALUE"""),93.75)</f>
        <v>93.75</v>
      </c>
      <c r="D47" s="141">
        <f ca="1">IFERROR(__xludf.DUMMYFUNCTION("""COMPUTED_VALUE"""),93.83)</f>
        <v>93.83</v>
      </c>
      <c r="E47" s="141">
        <f ca="1">IFERROR(__xludf.DUMMYFUNCTION("""COMPUTED_VALUE"""),93.6)</f>
        <v>93.6</v>
      </c>
      <c r="F47" s="141">
        <f ca="1">IFERROR(__xludf.DUMMYFUNCTION("""COMPUTED_VALUE"""),93.82)</f>
        <v>93.82</v>
      </c>
      <c r="G47" s="143">
        <f ca="1">IFERROR(__xludf.DUMMYFUNCTION("""COMPUTED_VALUE"""),6172132)</f>
        <v>6172132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IFERROR(__xludf.DUMMYFUNCTION("""COMPUTED_VALUE"""),93.74)</f>
        <v>93.74</v>
      </c>
      <c r="D48" s="141">
        <f ca="1">IFERROR(__xludf.DUMMYFUNCTION("""COMPUTED_VALUE"""),93.74)</f>
        <v>93.74</v>
      </c>
      <c r="E48" s="141">
        <f ca="1">IFERROR(__xludf.DUMMYFUNCTION("""COMPUTED_VALUE"""),93.49)</f>
        <v>93.49</v>
      </c>
      <c r="F48" s="141">
        <f ca="1">IFERROR(__xludf.DUMMYFUNCTION("""COMPUTED_VALUE"""),93.71)</f>
        <v>93.71</v>
      </c>
      <c r="G48" s="143">
        <f ca="1">IFERROR(__xludf.DUMMYFUNCTION("""COMPUTED_VALUE"""),4194706)</f>
        <v>4194706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IFERROR(__xludf.DUMMYFUNCTION("""COMPUTED_VALUE"""),93.91)</f>
        <v>93.91</v>
      </c>
      <c r="D49" s="141">
        <f ca="1">IFERROR(__xludf.DUMMYFUNCTION("""COMPUTED_VALUE"""),94.3)</f>
        <v>94.3</v>
      </c>
      <c r="E49" s="141">
        <f ca="1">IFERROR(__xludf.DUMMYFUNCTION("""COMPUTED_VALUE"""),93.86)</f>
        <v>93.86</v>
      </c>
      <c r="F49" s="141">
        <f ca="1">IFERROR(__xludf.DUMMYFUNCTION("""COMPUTED_VALUE"""),94.26)</f>
        <v>94.26</v>
      </c>
      <c r="G49" s="143">
        <f ca="1">IFERROR(__xludf.DUMMYFUNCTION("""COMPUTED_VALUE"""),9425611)</f>
        <v>9425611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IFERROR(__xludf.DUMMYFUNCTION("""COMPUTED_VALUE"""),94.07)</f>
        <v>94.07</v>
      </c>
      <c r="D50" s="141">
        <f ca="1">IFERROR(__xludf.DUMMYFUNCTION("""COMPUTED_VALUE"""),94.19)</f>
        <v>94.19</v>
      </c>
      <c r="E50" s="141">
        <f ca="1">IFERROR(__xludf.DUMMYFUNCTION("""COMPUTED_VALUE"""),94)</f>
        <v>94</v>
      </c>
      <c r="F50" s="141">
        <f ca="1">IFERROR(__xludf.DUMMYFUNCTION("""COMPUTED_VALUE"""),94.12)</f>
        <v>94.12</v>
      </c>
      <c r="G50" s="143">
        <f ca="1">IFERROR(__xludf.DUMMYFUNCTION("""COMPUTED_VALUE"""),8476409)</f>
        <v>8476409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IFERROR(__xludf.DUMMYFUNCTION("""COMPUTED_VALUE"""),93.12)</f>
        <v>93.12</v>
      </c>
      <c r="D51" s="141">
        <f ca="1">IFERROR(__xludf.DUMMYFUNCTION("""COMPUTED_VALUE"""),93.38)</f>
        <v>93.38</v>
      </c>
      <c r="E51" s="141">
        <f ca="1">IFERROR(__xludf.DUMMYFUNCTION("""COMPUTED_VALUE"""),93.03)</f>
        <v>93.03</v>
      </c>
      <c r="F51" s="141">
        <f ca="1">IFERROR(__xludf.DUMMYFUNCTION("""COMPUTED_VALUE"""),93.36)</f>
        <v>93.36</v>
      </c>
      <c r="G51" s="143">
        <f ca="1">IFERROR(__xludf.DUMMYFUNCTION("""COMPUTED_VALUE"""),9614858)</f>
        <v>9614858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IFERROR(__xludf.DUMMYFUNCTION("""COMPUTED_VALUE"""),93.42)</f>
        <v>93.42</v>
      </c>
      <c r="D52" s="141">
        <f ca="1">IFERROR(__xludf.DUMMYFUNCTION("""COMPUTED_VALUE"""),93.78)</f>
        <v>93.78</v>
      </c>
      <c r="E52" s="141">
        <f ca="1">IFERROR(__xludf.DUMMYFUNCTION("""COMPUTED_VALUE"""),93.4)</f>
        <v>93.4</v>
      </c>
      <c r="F52" s="141">
        <f ca="1">IFERROR(__xludf.DUMMYFUNCTION("""COMPUTED_VALUE"""),93.76)</f>
        <v>93.76</v>
      </c>
      <c r="G52" s="143">
        <f ca="1">IFERROR(__xludf.DUMMYFUNCTION("""COMPUTED_VALUE"""),9263853)</f>
        <v>9263853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IFERROR(__xludf.DUMMYFUNCTION("""COMPUTED_VALUE"""),94.02)</f>
        <v>94.02</v>
      </c>
      <c r="D53" s="141">
        <f ca="1">IFERROR(__xludf.DUMMYFUNCTION("""COMPUTED_VALUE"""),94.14)</f>
        <v>94.14</v>
      </c>
      <c r="E53" s="141">
        <f ca="1">IFERROR(__xludf.DUMMYFUNCTION("""COMPUTED_VALUE"""),93.85)</f>
        <v>93.85</v>
      </c>
      <c r="F53" s="141">
        <f ca="1">IFERROR(__xludf.DUMMYFUNCTION("""COMPUTED_VALUE"""),94.13)</f>
        <v>94.13</v>
      </c>
      <c r="G53" s="143">
        <f ca="1">IFERROR(__xludf.DUMMYFUNCTION("""COMPUTED_VALUE"""),5900182)</f>
        <v>5900182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IFERROR(__xludf.DUMMYFUNCTION("""COMPUTED_VALUE"""),94.66)</f>
        <v>94.66</v>
      </c>
      <c r="D54" s="141">
        <f ca="1">IFERROR(__xludf.DUMMYFUNCTION("""COMPUTED_VALUE"""),94.78)</f>
        <v>94.78</v>
      </c>
      <c r="E54" s="141">
        <f ca="1">IFERROR(__xludf.DUMMYFUNCTION("""COMPUTED_VALUE"""),94.55)</f>
        <v>94.55</v>
      </c>
      <c r="F54" s="141">
        <f ca="1">IFERROR(__xludf.DUMMYFUNCTION("""COMPUTED_VALUE"""),94.76)</f>
        <v>94.76</v>
      </c>
      <c r="G54" s="143">
        <f ca="1">IFERROR(__xludf.DUMMYFUNCTION("""COMPUTED_VALUE"""),10635491)</f>
        <v>10635491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IFERROR(__xludf.DUMMYFUNCTION("""COMPUTED_VALUE"""),94.5)</f>
        <v>94.5</v>
      </c>
      <c r="D55" s="141">
        <f ca="1">IFERROR(__xludf.DUMMYFUNCTION("""COMPUTED_VALUE"""),94.79)</f>
        <v>94.79</v>
      </c>
      <c r="E55" s="141">
        <f ca="1">IFERROR(__xludf.DUMMYFUNCTION("""COMPUTED_VALUE"""),94.5)</f>
        <v>94.5</v>
      </c>
      <c r="F55" s="141">
        <f ca="1">IFERROR(__xludf.DUMMYFUNCTION("""COMPUTED_VALUE"""),94.75)</f>
        <v>94.75</v>
      </c>
      <c r="G55" s="143">
        <f ca="1">IFERROR(__xludf.DUMMYFUNCTION("""COMPUTED_VALUE"""),6535207)</f>
        <v>6535207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IFERROR(__xludf.DUMMYFUNCTION("""COMPUTED_VALUE"""),94.7)</f>
        <v>94.7</v>
      </c>
      <c r="D56" s="141">
        <f ca="1">IFERROR(__xludf.DUMMYFUNCTION("""COMPUTED_VALUE"""),94.76)</f>
        <v>94.76</v>
      </c>
      <c r="E56" s="141">
        <f ca="1">IFERROR(__xludf.DUMMYFUNCTION("""COMPUTED_VALUE"""),94.55)</f>
        <v>94.55</v>
      </c>
      <c r="F56" s="141">
        <f ca="1">IFERROR(__xludf.DUMMYFUNCTION("""COMPUTED_VALUE"""),94.66)</f>
        <v>94.66</v>
      </c>
      <c r="G56" s="143">
        <f ca="1">IFERROR(__xludf.DUMMYFUNCTION("""COMPUTED_VALUE"""),6004064)</f>
        <v>6004064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IFERROR(__xludf.DUMMYFUNCTION("""COMPUTED_VALUE"""),94.84)</f>
        <v>94.84</v>
      </c>
      <c r="D57" s="141">
        <f ca="1">IFERROR(__xludf.DUMMYFUNCTION("""COMPUTED_VALUE"""),95.31)</f>
        <v>95.31</v>
      </c>
      <c r="E57" s="141">
        <f ca="1">IFERROR(__xludf.DUMMYFUNCTION("""COMPUTED_VALUE"""),94.75)</f>
        <v>94.75</v>
      </c>
      <c r="F57" s="141">
        <f ca="1">IFERROR(__xludf.DUMMYFUNCTION("""COMPUTED_VALUE"""),95.18)</f>
        <v>95.18</v>
      </c>
      <c r="G57" s="143">
        <f ca="1">IFERROR(__xludf.DUMMYFUNCTION("""COMPUTED_VALUE"""),9816166)</f>
        <v>9816166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IFERROR(__xludf.DUMMYFUNCTION("""COMPUTED_VALUE"""),95.31)</f>
        <v>95.31</v>
      </c>
      <c r="D58" s="141">
        <f ca="1">IFERROR(__xludf.DUMMYFUNCTION("""COMPUTED_VALUE"""),95.7)</f>
        <v>95.7</v>
      </c>
      <c r="E58" s="141">
        <f ca="1">IFERROR(__xludf.DUMMYFUNCTION("""COMPUTED_VALUE"""),95.28)</f>
        <v>95.28</v>
      </c>
      <c r="F58" s="141">
        <f ca="1">IFERROR(__xludf.DUMMYFUNCTION("""COMPUTED_VALUE"""),95.53)</f>
        <v>95.53</v>
      </c>
      <c r="G58" s="143">
        <f ca="1">IFERROR(__xludf.DUMMYFUNCTION("""COMPUTED_VALUE"""),11143541)</f>
        <v>11143541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IFERROR(__xludf.DUMMYFUNCTION("""COMPUTED_VALUE"""),95.42)</f>
        <v>95.42</v>
      </c>
      <c r="D59" s="141">
        <f ca="1">IFERROR(__xludf.DUMMYFUNCTION("""COMPUTED_VALUE"""),95.42)</f>
        <v>95.42</v>
      </c>
      <c r="E59" s="141">
        <f ca="1">IFERROR(__xludf.DUMMYFUNCTION("""COMPUTED_VALUE"""),95.18)</f>
        <v>95.18</v>
      </c>
      <c r="F59" s="141">
        <f ca="1">IFERROR(__xludf.DUMMYFUNCTION("""COMPUTED_VALUE"""),95.25)</f>
        <v>95.25</v>
      </c>
      <c r="G59" s="143">
        <f ca="1">IFERROR(__xludf.DUMMYFUNCTION("""COMPUTED_VALUE"""),5215810)</f>
        <v>5215810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IFERROR(__xludf.DUMMYFUNCTION("""COMPUTED_VALUE"""),95.38)</f>
        <v>95.38</v>
      </c>
      <c r="D60" s="141">
        <f ca="1">IFERROR(__xludf.DUMMYFUNCTION("""COMPUTED_VALUE"""),95.65)</f>
        <v>95.65</v>
      </c>
      <c r="E60" s="141">
        <f ca="1">IFERROR(__xludf.DUMMYFUNCTION("""COMPUTED_VALUE"""),95.34)</f>
        <v>95.34</v>
      </c>
      <c r="F60" s="141">
        <f ca="1">IFERROR(__xludf.DUMMYFUNCTION("""COMPUTED_VALUE"""),95.59)</f>
        <v>95.59</v>
      </c>
      <c r="G60" s="143">
        <f ca="1">IFERROR(__xludf.DUMMYFUNCTION("""COMPUTED_VALUE"""),5308684)</f>
        <v>5308684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IFERROR(__xludf.DUMMYFUNCTION("""COMPUTED_VALUE"""),95.71)</f>
        <v>95.71</v>
      </c>
      <c r="D61" s="141">
        <f ca="1">IFERROR(__xludf.DUMMYFUNCTION("""COMPUTED_VALUE"""),95.71)</f>
        <v>95.71</v>
      </c>
      <c r="E61" s="141">
        <f ca="1">IFERROR(__xludf.DUMMYFUNCTION("""COMPUTED_VALUE"""),95.45)</f>
        <v>95.45</v>
      </c>
      <c r="F61" s="141">
        <f ca="1">IFERROR(__xludf.DUMMYFUNCTION("""COMPUTED_VALUE"""),95.53)</f>
        <v>95.53</v>
      </c>
      <c r="G61" s="143">
        <f ca="1">IFERROR(__xludf.DUMMYFUNCTION("""COMPUTED_VALUE"""),5454679)</f>
        <v>5454679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IFERROR(__xludf.DUMMYFUNCTION("""COMPUTED_VALUE"""),95.74)</f>
        <v>95.74</v>
      </c>
      <c r="D62" s="141">
        <f ca="1">IFERROR(__xludf.DUMMYFUNCTION("""COMPUTED_VALUE"""),95.9)</f>
        <v>95.9</v>
      </c>
      <c r="E62" s="141">
        <f ca="1">IFERROR(__xludf.DUMMYFUNCTION("""COMPUTED_VALUE"""),95.31)</f>
        <v>95.31</v>
      </c>
      <c r="F62" s="141">
        <f ca="1">IFERROR(__xludf.DUMMYFUNCTION("""COMPUTED_VALUE"""),95.48)</f>
        <v>95.48</v>
      </c>
      <c r="G62" s="143">
        <f ca="1">IFERROR(__xludf.DUMMYFUNCTION("""COMPUTED_VALUE"""),8381880)</f>
        <v>8381880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IFERROR(__xludf.DUMMYFUNCTION("""COMPUTED_VALUE"""),95.77)</f>
        <v>95.77</v>
      </c>
      <c r="D63" s="141">
        <f ca="1">IFERROR(__xludf.DUMMYFUNCTION("""COMPUTED_VALUE"""),95.77)</f>
        <v>95.77</v>
      </c>
      <c r="E63" s="141">
        <f ca="1">IFERROR(__xludf.DUMMYFUNCTION("""COMPUTED_VALUE"""),95.04)</f>
        <v>95.04</v>
      </c>
      <c r="F63" s="141">
        <f ca="1">IFERROR(__xludf.DUMMYFUNCTION("""COMPUTED_VALUE"""),95.08)</f>
        <v>95.08</v>
      </c>
      <c r="G63" s="143">
        <f ca="1">IFERROR(__xludf.DUMMYFUNCTION("""COMPUTED_VALUE"""),7793664)</f>
        <v>7793664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IFERROR(__xludf.DUMMYFUNCTION("""COMPUTED_VALUE"""),94.96)</f>
        <v>94.96</v>
      </c>
      <c r="D64" s="141">
        <f ca="1">IFERROR(__xludf.DUMMYFUNCTION("""COMPUTED_VALUE"""),95.05)</f>
        <v>95.05</v>
      </c>
      <c r="E64" s="141">
        <f ca="1">IFERROR(__xludf.DUMMYFUNCTION("""COMPUTED_VALUE"""),94.84)</f>
        <v>94.84</v>
      </c>
      <c r="F64" s="141">
        <f ca="1">IFERROR(__xludf.DUMMYFUNCTION("""COMPUTED_VALUE"""),94.98)</f>
        <v>94.98</v>
      </c>
      <c r="G64" s="143">
        <f ca="1">IFERROR(__xludf.DUMMYFUNCTION("""COMPUTED_VALUE"""),6499614)</f>
        <v>6499614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IFERROR(__xludf.DUMMYFUNCTION("""COMPUTED_VALUE"""),95.12)</f>
        <v>95.12</v>
      </c>
      <c r="D65" s="141">
        <f ca="1">IFERROR(__xludf.DUMMYFUNCTION("""COMPUTED_VALUE"""),95.24)</f>
        <v>95.24</v>
      </c>
      <c r="E65" s="141">
        <f ca="1">IFERROR(__xludf.DUMMYFUNCTION("""COMPUTED_VALUE"""),95.04)</f>
        <v>95.04</v>
      </c>
      <c r="F65" s="141">
        <f ca="1">IFERROR(__xludf.DUMMYFUNCTION("""COMPUTED_VALUE"""),95.19)</f>
        <v>95.19</v>
      </c>
      <c r="G65" s="143">
        <f ca="1">IFERROR(__xludf.DUMMYFUNCTION("""COMPUTED_VALUE"""),5110127)</f>
        <v>5110127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IFERROR(__xludf.DUMMYFUNCTION("""COMPUTED_VALUE"""),95.34)</f>
        <v>95.34</v>
      </c>
      <c r="D66" s="141">
        <f ca="1">IFERROR(__xludf.DUMMYFUNCTION("""COMPUTED_VALUE"""),95.57)</f>
        <v>95.57</v>
      </c>
      <c r="E66" s="141">
        <f ca="1">IFERROR(__xludf.DUMMYFUNCTION("""COMPUTED_VALUE"""),95.3)</f>
        <v>95.3</v>
      </c>
      <c r="F66" s="141">
        <f ca="1">IFERROR(__xludf.DUMMYFUNCTION("""COMPUTED_VALUE"""),95.56)</f>
        <v>95.56</v>
      </c>
      <c r="G66" s="143">
        <f ca="1">IFERROR(__xludf.DUMMYFUNCTION("""COMPUTED_VALUE"""),5840278)</f>
        <v>5840278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IFERROR(__xludf.DUMMYFUNCTION("""COMPUTED_VALUE"""),95.73)</f>
        <v>95.73</v>
      </c>
      <c r="D67" s="141">
        <f ca="1">IFERROR(__xludf.DUMMYFUNCTION("""COMPUTED_VALUE"""),95.8)</f>
        <v>95.8</v>
      </c>
      <c r="E67" s="141">
        <f ca="1">IFERROR(__xludf.DUMMYFUNCTION("""COMPUTED_VALUE"""),95.43)</f>
        <v>95.43</v>
      </c>
      <c r="F67" s="141">
        <f ca="1">IFERROR(__xludf.DUMMYFUNCTION("""COMPUTED_VALUE"""),95.5)</f>
        <v>95.5</v>
      </c>
      <c r="G67" s="143">
        <f ca="1">IFERROR(__xludf.DUMMYFUNCTION("""COMPUTED_VALUE"""),7173634)</f>
        <v>7173634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IFERROR(__xludf.DUMMYFUNCTION("""COMPUTED_VALUE"""),95.6)</f>
        <v>95.6</v>
      </c>
      <c r="D68" s="141">
        <f ca="1">IFERROR(__xludf.DUMMYFUNCTION("""COMPUTED_VALUE"""),95.6)</f>
        <v>95.6</v>
      </c>
      <c r="E68" s="141">
        <f ca="1">IFERROR(__xludf.DUMMYFUNCTION("""COMPUTED_VALUE"""),95.18)</f>
        <v>95.18</v>
      </c>
      <c r="F68" s="141">
        <f ca="1">IFERROR(__xludf.DUMMYFUNCTION("""COMPUTED_VALUE"""),95.26)</f>
        <v>95.26</v>
      </c>
      <c r="G68" s="143">
        <f ca="1">IFERROR(__xludf.DUMMYFUNCTION("""COMPUTED_VALUE"""),7982640)</f>
        <v>7982640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IFERROR(__xludf.DUMMYFUNCTION("""COMPUTED_VALUE"""),95.3)</f>
        <v>95.3</v>
      </c>
      <c r="D69" s="141">
        <f ca="1">IFERROR(__xludf.DUMMYFUNCTION("""COMPUTED_VALUE"""),95.4)</f>
        <v>95.4</v>
      </c>
      <c r="E69" s="141">
        <f ca="1">IFERROR(__xludf.DUMMYFUNCTION("""COMPUTED_VALUE"""),95.1)</f>
        <v>95.1</v>
      </c>
      <c r="F69" s="141">
        <f ca="1">IFERROR(__xludf.DUMMYFUNCTION("""COMPUTED_VALUE"""),95.23)</f>
        <v>95.23</v>
      </c>
      <c r="G69" s="143">
        <f ca="1">IFERROR(__xludf.DUMMYFUNCTION("""COMPUTED_VALUE"""),6119875)</f>
        <v>6119875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IFERROR(__xludf.DUMMYFUNCTION("""COMPUTED_VALUE"""),95.23)</f>
        <v>95.23</v>
      </c>
      <c r="D70" s="141">
        <f ca="1">IFERROR(__xludf.DUMMYFUNCTION("""COMPUTED_VALUE"""),95.47)</f>
        <v>95.47</v>
      </c>
      <c r="E70" s="141">
        <f ca="1">IFERROR(__xludf.DUMMYFUNCTION("""COMPUTED_VALUE"""),95.23)</f>
        <v>95.23</v>
      </c>
      <c r="F70" s="141">
        <f ca="1">IFERROR(__xludf.DUMMYFUNCTION("""COMPUTED_VALUE"""),95.39)</f>
        <v>95.39</v>
      </c>
      <c r="G70" s="143">
        <f ca="1">IFERROR(__xludf.DUMMYFUNCTION("""COMPUTED_VALUE"""),4182261)</f>
        <v>4182261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IFERROR(__xludf.DUMMYFUNCTION("""COMPUTED_VALUE"""),95.43)</f>
        <v>95.43</v>
      </c>
      <c r="D71" s="141">
        <f ca="1">IFERROR(__xludf.DUMMYFUNCTION("""COMPUTED_VALUE"""),95.51)</f>
        <v>95.51</v>
      </c>
      <c r="E71" s="141">
        <f ca="1">IFERROR(__xludf.DUMMYFUNCTION("""COMPUTED_VALUE"""),95.17)</f>
        <v>95.17</v>
      </c>
      <c r="F71" s="141">
        <f ca="1">IFERROR(__xludf.DUMMYFUNCTION("""COMPUTED_VALUE"""),95.19)</f>
        <v>95.19</v>
      </c>
      <c r="G71" s="143">
        <f ca="1">IFERROR(__xludf.DUMMYFUNCTION("""COMPUTED_VALUE"""),7422900)</f>
        <v>7422900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IFERROR(__xludf.DUMMYFUNCTION("""COMPUTED_VALUE"""),94.88)</f>
        <v>94.88</v>
      </c>
      <c r="D72" s="141">
        <f ca="1">IFERROR(__xludf.DUMMYFUNCTION("""COMPUTED_VALUE"""),95.17)</f>
        <v>95.17</v>
      </c>
      <c r="E72" s="141">
        <f ca="1">IFERROR(__xludf.DUMMYFUNCTION("""COMPUTED_VALUE"""),94.84)</f>
        <v>94.84</v>
      </c>
      <c r="F72" s="141">
        <f ca="1">IFERROR(__xludf.DUMMYFUNCTION("""COMPUTED_VALUE"""),95.12)</f>
        <v>95.12</v>
      </c>
      <c r="G72" s="143">
        <f ca="1">IFERROR(__xludf.DUMMYFUNCTION("""COMPUTED_VALUE"""),10072502)</f>
        <v>10072502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IFERROR(__xludf.DUMMYFUNCTION("""COMPUTED_VALUE"""),94.92)</f>
        <v>94.92</v>
      </c>
      <c r="D73" s="141">
        <f ca="1">IFERROR(__xludf.DUMMYFUNCTION("""COMPUTED_VALUE"""),95.24)</f>
        <v>95.24</v>
      </c>
      <c r="E73" s="141">
        <f ca="1">IFERROR(__xludf.DUMMYFUNCTION("""COMPUTED_VALUE"""),94.91)</f>
        <v>94.91</v>
      </c>
      <c r="F73" s="141">
        <f ca="1">IFERROR(__xludf.DUMMYFUNCTION("""COMPUTED_VALUE"""),95.17)</f>
        <v>95.17</v>
      </c>
      <c r="G73" s="143">
        <f ca="1">IFERROR(__xludf.DUMMYFUNCTION("""COMPUTED_VALUE"""),6074040)</f>
        <v>6074040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IFERROR(__xludf.DUMMYFUNCTION("""COMPUTED_VALUE"""),95.27)</f>
        <v>95.27</v>
      </c>
      <c r="D74" s="141">
        <f ca="1">IFERROR(__xludf.DUMMYFUNCTION("""COMPUTED_VALUE"""),95.33)</f>
        <v>95.33</v>
      </c>
      <c r="E74" s="141">
        <f ca="1">IFERROR(__xludf.DUMMYFUNCTION("""COMPUTED_VALUE"""),95.13)</f>
        <v>95.13</v>
      </c>
      <c r="F74" s="141">
        <f ca="1">IFERROR(__xludf.DUMMYFUNCTION("""COMPUTED_VALUE"""),95.21)</f>
        <v>95.21</v>
      </c>
      <c r="G74" s="143">
        <f ca="1">IFERROR(__xludf.DUMMYFUNCTION("""COMPUTED_VALUE"""),4600809)</f>
        <v>4600809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IFERROR(__xludf.DUMMYFUNCTION("""COMPUTED_VALUE"""),95.18)</f>
        <v>95.18</v>
      </c>
      <c r="D75" s="141">
        <f ca="1">IFERROR(__xludf.DUMMYFUNCTION("""COMPUTED_VALUE"""),95.18)</f>
        <v>95.18</v>
      </c>
      <c r="E75" s="141">
        <f ca="1">IFERROR(__xludf.DUMMYFUNCTION("""COMPUTED_VALUE"""),95.03)</f>
        <v>95.03</v>
      </c>
      <c r="F75" s="141">
        <f ca="1">IFERROR(__xludf.DUMMYFUNCTION("""COMPUTED_VALUE"""),95.09)</f>
        <v>95.09</v>
      </c>
      <c r="G75" s="143">
        <f ca="1">IFERROR(__xludf.DUMMYFUNCTION("""COMPUTED_VALUE"""),5126805)</f>
        <v>5126805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IFERROR(__xludf.DUMMYFUNCTION("""COMPUTED_VALUE"""),95.07)</f>
        <v>95.07</v>
      </c>
      <c r="D76" s="141">
        <f ca="1">IFERROR(__xludf.DUMMYFUNCTION("""COMPUTED_VALUE"""),95.18)</f>
        <v>95.18</v>
      </c>
      <c r="E76" s="141">
        <f ca="1">IFERROR(__xludf.DUMMYFUNCTION("""COMPUTED_VALUE"""),94.97)</f>
        <v>94.97</v>
      </c>
      <c r="F76" s="141">
        <f ca="1">IFERROR(__xludf.DUMMYFUNCTION("""COMPUTED_VALUE"""),95.05)</f>
        <v>95.05</v>
      </c>
      <c r="G76" s="143">
        <f ca="1">IFERROR(__xludf.DUMMYFUNCTION("""COMPUTED_VALUE"""),7018281)</f>
        <v>7018281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IFERROR(__xludf.DUMMYFUNCTION("""COMPUTED_VALUE"""),95.27)</f>
        <v>95.27</v>
      </c>
      <c r="D77" s="141">
        <f ca="1">IFERROR(__xludf.DUMMYFUNCTION("""COMPUTED_VALUE"""),95.27)</f>
        <v>95.27</v>
      </c>
      <c r="E77" s="141">
        <f ca="1">IFERROR(__xludf.DUMMYFUNCTION("""COMPUTED_VALUE"""),95.01)</f>
        <v>95.01</v>
      </c>
      <c r="F77" s="141">
        <f ca="1">IFERROR(__xludf.DUMMYFUNCTION("""COMPUTED_VALUE"""),95.1)</f>
        <v>95.1</v>
      </c>
      <c r="G77" s="143">
        <f ca="1">IFERROR(__xludf.DUMMYFUNCTION("""COMPUTED_VALUE"""),10027526)</f>
        <v>10027526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IFERROR(__xludf.DUMMYFUNCTION("""COMPUTED_VALUE"""),95.19)</f>
        <v>95.19</v>
      </c>
      <c r="D78" s="141">
        <f ca="1">IFERROR(__xludf.DUMMYFUNCTION("""COMPUTED_VALUE"""),95.22)</f>
        <v>95.22</v>
      </c>
      <c r="E78" s="141">
        <f ca="1">IFERROR(__xludf.DUMMYFUNCTION("""COMPUTED_VALUE"""),94.88)</f>
        <v>94.88</v>
      </c>
      <c r="F78" s="141">
        <f ca="1">IFERROR(__xludf.DUMMYFUNCTION("""COMPUTED_VALUE"""),95.05)</f>
        <v>95.05</v>
      </c>
      <c r="G78" s="143">
        <f ca="1">IFERROR(__xludf.DUMMYFUNCTION("""COMPUTED_VALUE"""),7375716)</f>
        <v>7375716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IFERROR(__xludf.DUMMYFUNCTION("""COMPUTED_VALUE"""),95.14)</f>
        <v>95.14</v>
      </c>
      <c r="D79" s="141">
        <f ca="1">IFERROR(__xludf.DUMMYFUNCTION("""COMPUTED_VALUE"""),95.23)</f>
        <v>95.23</v>
      </c>
      <c r="E79" s="141">
        <f ca="1">IFERROR(__xludf.DUMMYFUNCTION("""COMPUTED_VALUE"""),94.57)</f>
        <v>94.57</v>
      </c>
      <c r="F79" s="141">
        <f ca="1">IFERROR(__xludf.DUMMYFUNCTION("""COMPUTED_VALUE"""),94.63)</f>
        <v>94.63</v>
      </c>
      <c r="G79" s="143">
        <f ca="1">IFERROR(__xludf.DUMMYFUNCTION("""COMPUTED_VALUE"""),16586388)</f>
        <v>16586388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IFERROR(__xludf.DUMMYFUNCTION("""COMPUTED_VALUE"""),95.01)</f>
        <v>95.01</v>
      </c>
      <c r="D80" s="141">
        <f ca="1">IFERROR(__xludf.DUMMYFUNCTION("""COMPUTED_VALUE"""),95.3)</f>
        <v>95.3</v>
      </c>
      <c r="E80" s="141">
        <f ca="1">IFERROR(__xludf.DUMMYFUNCTION("""COMPUTED_VALUE"""),94.92)</f>
        <v>94.92</v>
      </c>
      <c r="F80" s="141">
        <f ca="1">IFERROR(__xludf.DUMMYFUNCTION("""COMPUTED_VALUE"""),95.28)</f>
        <v>95.28</v>
      </c>
      <c r="G80" s="143">
        <f ca="1">IFERROR(__xludf.DUMMYFUNCTION("""COMPUTED_VALUE"""),4121691)</f>
        <v>4121691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IFERROR(__xludf.DUMMYFUNCTION("""COMPUTED_VALUE"""),95.03)</f>
        <v>95.03</v>
      </c>
      <c r="D81" s="141">
        <f ca="1">IFERROR(__xludf.DUMMYFUNCTION("""COMPUTED_VALUE"""),95.44)</f>
        <v>95.44</v>
      </c>
      <c r="E81" s="141">
        <f ca="1">IFERROR(__xludf.DUMMYFUNCTION("""COMPUTED_VALUE"""),94.91)</f>
        <v>94.91</v>
      </c>
      <c r="F81" s="141">
        <f ca="1">IFERROR(__xludf.DUMMYFUNCTION("""COMPUTED_VALUE"""),95.24)</f>
        <v>95.24</v>
      </c>
      <c r="G81" s="143">
        <f ca="1">IFERROR(__xludf.DUMMYFUNCTION("""COMPUTED_VALUE"""),9988278)</f>
        <v>9988278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IFERROR(__xludf.DUMMYFUNCTION("""COMPUTED_VALUE"""),95.63)</f>
        <v>95.63</v>
      </c>
      <c r="D82" s="141">
        <f ca="1">IFERROR(__xludf.DUMMYFUNCTION("""COMPUTED_VALUE"""),95.77)</f>
        <v>95.77</v>
      </c>
      <c r="E82" s="141">
        <f ca="1">IFERROR(__xludf.DUMMYFUNCTION("""COMPUTED_VALUE"""),95.39)</f>
        <v>95.39</v>
      </c>
      <c r="F82" s="141">
        <f ca="1">IFERROR(__xludf.DUMMYFUNCTION("""COMPUTED_VALUE"""),95.57)</f>
        <v>95.57</v>
      </c>
      <c r="G82" s="143">
        <f ca="1">IFERROR(__xludf.DUMMYFUNCTION("""COMPUTED_VALUE"""),11401347)</f>
        <v>11401347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IFERROR(__xludf.DUMMYFUNCTION("""COMPUTED_VALUE"""),95.66)</f>
        <v>95.66</v>
      </c>
      <c r="D83" s="141">
        <f ca="1">IFERROR(__xludf.DUMMYFUNCTION("""COMPUTED_VALUE"""),95.78)</f>
        <v>95.78</v>
      </c>
      <c r="E83" s="141">
        <f ca="1">IFERROR(__xludf.DUMMYFUNCTION("""COMPUTED_VALUE"""),95.56)</f>
        <v>95.56</v>
      </c>
      <c r="F83" s="141">
        <f ca="1">IFERROR(__xludf.DUMMYFUNCTION("""COMPUTED_VALUE"""),95.71)</f>
        <v>95.71</v>
      </c>
      <c r="G83" s="143">
        <f ca="1">IFERROR(__xludf.DUMMYFUNCTION("""COMPUTED_VALUE"""),7380413)</f>
        <v>7380413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IFERROR(__xludf.DUMMYFUNCTION("""COMPUTED_VALUE"""),95.71)</f>
        <v>95.71</v>
      </c>
      <c r="D84" s="141">
        <f ca="1">IFERROR(__xludf.DUMMYFUNCTION("""COMPUTED_VALUE"""),95.76)</f>
        <v>95.76</v>
      </c>
      <c r="E84" s="141">
        <f ca="1">IFERROR(__xludf.DUMMYFUNCTION("""COMPUTED_VALUE"""),95.52)</f>
        <v>95.52</v>
      </c>
      <c r="F84" s="141">
        <f ca="1">IFERROR(__xludf.DUMMYFUNCTION("""COMPUTED_VALUE"""),95.74)</f>
        <v>95.74</v>
      </c>
      <c r="G84" s="143">
        <f ca="1">IFERROR(__xludf.DUMMYFUNCTION("""COMPUTED_VALUE"""),6359175)</f>
        <v>6359175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IFERROR(__xludf.DUMMYFUNCTION("""COMPUTED_VALUE"""),95.97)</f>
        <v>95.97</v>
      </c>
      <c r="D85" s="141">
        <f ca="1">IFERROR(__xludf.DUMMYFUNCTION("""COMPUTED_VALUE"""),96.16)</f>
        <v>96.16</v>
      </c>
      <c r="E85" s="141">
        <f ca="1">IFERROR(__xludf.DUMMYFUNCTION("""COMPUTED_VALUE"""),95.95)</f>
        <v>95.95</v>
      </c>
      <c r="F85" s="141">
        <f ca="1">IFERROR(__xludf.DUMMYFUNCTION("""COMPUTED_VALUE"""),96.16)</f>
        <v>96.16</v>
      </c>
      <c r="G85" s="143">
        <f ca="1">IFERROR(__xludf.DUMMYFUNCTION("""COMPUTED_VALUE"""),7665734)</f>
        <v>7665734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IFERROR(__xludf.DUMMYFUNCTION("""COMPUTED_VALUE"""),96.41)</f>
        <v>96.41</v>
      </c>
      <c r="D86" s="141">
        <f ca="1">IFERROR(__xludf.DUMMYFUNCTION("""COMPUTED_VALUE"""),96.51)</f>
        <v>96.51</v>
      </c>
      <c r="E86" s="141">
        <f ca="1">IFERROR(__xludf.DUMMYFUNCTION("""COMPUTED_VALUE"""),96.26)</f>
        <v>96.26</v>
      </c>
      <c r="F86" s="141">
        <f ca="1">IFERROR(__xludf.DUMMYFUNCTION("""COMPUTED_VALUE"""),96.28)</f>
        <v>96.28</v>
      </c>
      <c r="G86" s="143">
        <f ca="1">IFERROR(__xludf.DUMMYFUNCTION("""COMPUTED_VALUE"""),4754065)</f>
        <v>4754065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IFERROR(__xludf.DUMMYFUNCTION("""COMPUTED_VALUE"""),96.32)</f>
        <v>96.32</v>
      </c>
      <c r="D87" s="141">
        <f ca="1">IFERROR(__xludf.DUMMYFUNCTION("""COMPUTED_VALUE"""),96.32)</f>
        <v>96.32</v>
      </c>
      <c r="E87" s="141">
        <f ca="1">IFERROR(__xludf.DUMMYFUNCTION("""COMPUTED_VALUE"""),95.98)</f>
        <v>95.98</v>
      </c>
      <c r="F87" s="141">
        <f ca="1">IFERROR(__xludf.DUMMYFUNCTION("""COMPUTED_VALUE"""),96.08)</f>
        <v>96.08</v>
      </c>
      <c r="G87" s="143">
        <f ca="1">IFERROR(__xludf.DUMMYFUNCTION("""COMPUTED_VALUE"""),6725743)</f>
        <v>6725743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IFERROR(__xludf.DUMMYFUNCTION("""COMPUTED_VALUE"""),96.1)</f>
        <v>96.1</v>
      </c>
      <c r="D88" s="141">
        <f ca="1">IFERROR(__xludf.DUMMYFUNCTION("""COMPUTED_VALUE"""),96.13)</f>
        <v>96.13</v>
      </c>
      <c r="E88" s="141">
        <f ca="1">IFERROR(__xludf.DUMMYFUNCTION("""COMPUTED_VALUE"""),95.93)</f>
        <v>95.93</v>
      </c>
      <c r="F88" s="141">
        <f ca="1">IFERROR(__xludf.DUMMYFUNCTION("""COMPUTED_VALUE"""),96.01)</f>
        <v>96.01</v>
      </c>
      <c r="G88" s="143">
        <f ca="1">IFERROR(__xludf.DUMMYFUNCTION("""COMPUTED_VALUE"""),4820545)</f>
        <v>4820545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IFERROR(__xludf.DUMMYFUNCTION("""COMPUTED_VALUE"""),96.33)</f>
        <v>96.33</v>
      </c>
      <c r="D89" s="141">
        <f ca="1">IFERROR(__xludf.DUMMYFUNCTION("""COMPUTED_VALUE"""),96.44)</f>
        <v>96.44</v>
      </c>
      <c r="E89" s="141">
        <f ca="1">IFERROR(__xludf.DUMMYFUNCTION("""COMPUTED_VALUE"""),96.13)</f>
        <v>96.13</v>
      </c>
      <c r="F89" s="141">
        <f ca="1">IFERROR(__xludf.DUMMYFUNCTION("""COMPUTED_VALUE"""),96.29)</f>
        <v>96.29</v>
      </c>
      <c r="G89" s="143">
        <f ca="1">IFERROR(__xludf.DUMMYFUNCTION("""COMPUTED_VALUE"""),4003255)</f>
        <v>4003255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IFERROR(__xludf.DUMMYFUNCTION("""COMPUTED_VALUE"""),96.99)</f>
        <v>96.99</v>
      </c>
      <c r="D90" s="141">
        <f ca="1">IFERROR(__xludf.DUMMYFUNCTION("""COMPUTED_VALUE"""),97.04)</f>
        <v>97.04</v>
      </c>
      <c r="E90" s="141">
        <f ca="1">IFERROR(__xludf.DUMMYFUNCTION("""COMPUTED_VALUE"""),96.75)</f>
        <v>96.75</v>
      </c>
      <c r="F90" s="141">
        <f ca="1">IFERROR(__xludf.DUMMYFUNCTION("""COMPUTED_VALUE"""),97.03)</f>
        <v>97.03</v>
      </c>
      <c r="G90" s="143">
        <f ca="1">IFERROR(__xludf.DUMMYFUNCTION("""COMPUTED_VALUE"""),5751735)</f>
        <v>5751735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IFERROR(__xludf.DUMMYFUNCTION("""COMPUTED_VALUE"""),97.07)</f>
        <v>97.07</v>
      </c>
      <c r="D91" s="141">
        <f ca="1">IFERROR(__xludf.DUMMYFUNCTION("""COMPUTED_VALUE"""),97.07)</f>
        <v>97.07</v>
      </c>
      <c r="E91" s="141">
        <f ca="1">IFERROR(__xludf.DUMMYFUNCTION("""COMPUTED_VALUE"""),96.9)</f>
        <v>96.9</v>
      </c>
      <c r="F91" s="141">
        <f ca="1">IFERROR(__xludf.DUMMYFUNCTION("""COMPUTED_VALUE"""),97.03)</f>
        <v>97.03</v>
      </c>
      <c r="G91" s="143">
        <f ca="1">IFERROR(__xludf.DUMMYFUNCTION("""COMPUTED_VALUE"""),4779958)</f>
        <v>4779958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IFERROR(__xludf.DUMMYFUNCTION("""COMPUTED_VALUE"""),96.99)</f>
        <v>96.99</v>
      </c>
      <c r="D92" s="141">
        <f ca="1">IFERROR(__xludf.DUMMYFUNCTION("""COMPUTED_VALUE"""),97.03)</f>
        <v>97.03</v>
      </c>
      <c r="E92" s="141">
        <f ca="1">IFERROR(__xludf.DUMMYFUNCTION("""COMPUTED_VALUE"""),96.55)</f>
        <v>96.55</v>
      </c>
      <c r="F92" s="141">
        <f ca="1">IFERROR(__xludf.DUMMYFUNCTION("""COMPUTED_VALUE"""),96.6)</f>
        <v>96.6</v>
      </c>
      <c r="G92" s="143">
        <f ca="1">IFERROR(__xludf.DUMMYFUNCTION("""COMPUTED_VALUE"""),7368613)</f>
        <v>7368613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IFERROR(__xludf.DUMMYFUNCTION("""COMPUTED_VALUE"""),96.52)</f>
        <v>96.52</v>
      </c>
      <c r="D93" s="141">
        <f ca="1">IFERROR(__xludf.DUMMYFUNCTION("""COMPUTED_VALUE"""),96.68)</f>
        <v>96.68</v>
      </c>
      <c r="E93" s="141">
        <f ca="1">IFERROR(__xludf.DUMMYFUNCTION("""COMPUTED_VALUE"""),96.31)</f>
        <v>96.31</v>
      </c>
      <c r="F93" s="141">
        <f ca="1">IFERROR(__xludf.DUMMYFUNCTION("""COMPUTED_VALUE"""),96.49)</f>
        <v>96.49</v>
      </c>
      <c r="G93" s="143">
        <f ca="1">IFERROR(__xludf.DUMMYFUNCTION("""COMPUTED_VALUE"""),9112492)</f>
        <v>9112492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IFERROR(__xludf.DUMMYFUNCTION("""COMPUTED_VALUE"""),96.72)</f>
        <v>96.72</v>
      </c>
      <c r="D94" s="141">
        <f ca="1">IFERROR(__xludf.DUMMYFUNCTION("""COMPUTED_VALUE"""),96.82)</f>
        <v>96.82</v>
      </c>
      <c r="E94" s="141">
        <f ca="1">IFERROR(__xludf.DUMMYFUNCTION("""COMPUTED_VALUE"""),96.55)</f>
        <v>96.55</v>
      </c>
      <c r="F94" s="141">
        <f ca="1">IFERROR(__xludf.DUMMYFUNCTION("""COMPUTED_VALUE"""),96.67)</f>
        <v>96.67</v>
      </c>
      <c r="G94" s="143">
        <f ca="1">IFERROR(__xludf.DUMMYFUNCTION("""COMPUTED_VALUE"""),8851562)</f>
        <v>8851562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IFERROR(__xludf.DUMMYFUNCTION("""COMPUTED_VALUE"""),96.51)</f>
        <v>96.51</v>
      </c>
      <c r="D95" s="141">
        <f ca="1">IFERROR(__xludf.DUMMYFUNCTION("""COMPUTED_VALUE"""),96.51)</f>
        <v>96.51</v>
      </c>
      <c r="E95" s="141">
        <f ca="1">IFERROR(__xludf.DUMMYFUNCTION("""COMPUTED_VALUE"""),95.93)</f>
        <v>95.93</v>
      </c>
      <c r="F95" s="141">
        <f ca="1">IFERROR(__xludf.DUMMYFUNCTION("""COMPUTED_VALUE"""),95.97)</f>
        <v>95.97</v>
      </c>
      <c r="G95" s="143">
        <f ca="1">IFERROR(__xludf.DUMMYFUNCTION("""COMPUTED_VALUE"""),9436868)</f>
        <v>9436868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IFERROR(__xludf.DUMMYFUNCTION("""COMPUTED_VALUE"""),95.81)</f>
        <v>95.81</v>
      </c>
      <c r="D96" s="141">
        <f ca="1">IFERROR(__xludf.DUMMYFUNCTION("""COMPUTED_VALUE"""),96.01)</f>
        <v>96.01</v>
      </c>
      <c r="E96" s="141">
        <f ca="1">IFERROR(__xludf.DUMMYFUNCTION("""COMPUTED_VALUE"""),95.75)</f>
        <v>95.75</v>
      </c>
      <c r="F96" s="141">
        <f ca="1">IFERROR(__xludf.DUMMYFUNCTION("""COMPUTED_VALUE"""),95.86)</f>
        <v>95.86</v>
      </c>
      <c r="G96" s="143">
        <f ca="1">IFERROR(__xludf.DUMMYFUNCTION("""COMPUTED_VALUE"""),6231677)</f>
        <v>6231677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IFERROR(__xludf.DUMMYFUNCTION("""COMPUTED_VALUE"""),95.94)</f>
        <v>95.94</v>
      </c>
      <c r="D97" s="141">
        <f ca="1">IFERROR(__xludf.DUMMYFUNCTION("""COMPUTED_VALUE"""),95.94)</f>
        <v>95.94</v>
      </c>
      <c r="E97" s="141">
        <f ca="1">IFERROR(__xludf.DUMMYFUNCTION("""COMPUTED_VALUE"""),95.65)</f>
        <v>95.65</v>
      </c>
      <c r="F97" s="141">
        <f ca="1">IFERROR(__xludf.DUMMYFUNCTION("""COMPUTED_VALUE"""),95.65)</f>
        <v>95.65</v>
      </c>
      <c r="G97" s="143">
        <f ca="1">IFERROR(__xludf.DUMMYFUNCTION("""COMPUTED_VALUE"""),5893895)</f>
        <v>5893895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IFERROR(__xludf.DUMMYFUNCTION("""COMPUTED_VALUE"""),96.06)</f>
        <v>96.06</v>
      </c>
      <c r="D98" s="141">
        <f ca="1">IFERROR(__xludf.DUMMYFUNCTION("""COMPUTED_VALUE"""),96.09)</f>
        <v>96.09</v>
      </c>
      <c r="E98" s="141">
        <f ca="1">IFERROR(__xludf.DUMMYFUNCTION("""COMPUTED_VALUE"""),95.89)</f>
        <v>95.89</v>
      </c>
      <c r="F98" s="141">
        <f ca="1">IFERROR(__xludf.DUMMYFUNCTION("""COMPUTED_VALUE"""),95.97)</f>
        <v>95.97</v>
      </c>
      <c r="G98" s="143">
        <f ca="1">IFERROR(__xludf.DUMMYFUNCTION("""COMPUTED_VALUE"""),6867790)</f>
        <v>6867790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IFERROR(__xludf.DUMMYFUNCTION("""COMPUTED_VALUE"""),96.12)</f>
        <v>96.12</v>
      </c>
      <c r="D99" s="141">
        <f ca="1">IFERROR(__xludf.DUMMYFUNCTION("""COMPUTED_VALUE"""),96.12)</f>
        <v>96.12</v>
      </c>
      <c r="E99" s="141">
        <f ca="1">IFERROR(__xludf.DUMMYFUNCTION("""COMPUTED_VALUE"""),95.72)</f>
        <v>95.72</v>
      </c>
      <c r="F99" s="141">
        <f ca="1">IFERROR(__xludf.DUMMYFUNCTION("""COMPUTED_VALUE"""),96.02)</f>
        <v>96.02</v>
      </c>
      <c r="G99" s="143">
        <f ca="1">IFERROR(__xludf.DUMMYFUNCTION("""COMPUTED_VALUE"""),6388855)</f>
        <v>6388855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IFERROR(__xludf.DUMMYFUNCTION("""COMPUTED_VALUE"""),95.94)</f>
        <v>95.94</v>
      </c>
      <c r="D100" s="141">
        <f ca="1">IFERROR(__xludf.DUMMYFUNCTION("""COMPUTED_VALUE"""),96.27)</f>
        <v>96.27</v>
      </c>
      <c r="E100" s="141">
        <f ca="1">IFERROR(__xludf.DUMMYFUNCTION("""COMPUTED_VALUE"""),95.94)</f>
        <v>95.94</v>
      </c>
      <c r="F100" s="141">
        <f ca="1">IFERROR(__xludf.DUMMYFUNCTION("""COMPUTED_VALUE"""),96.24)</f>
        <v>96.24</v>
      </c>
      <c r="G100" s="143">
        <f ca="1">IFERROR(__xludf.DUMMYFUNCTION("""COMPUTED_VALUE"""),6128266)</f>
        <v>6128266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IFERROR(__xludf.DUMMYFUNCTION("""COMPUTED_VALUE"""),96.27)</f>
        <v>96.27</v>
      </c>
      <c r="D101" s="141">
        <f ca="1">IFERROR(__xludf.DUMMYFUNCTION("""COMPUTED_VALUE"""),96.49)</f>
        <v>96.49</v>
      </c>
      <c r="E101" s="141">
        <f ca="1">IFERROR(__xludf.DUMMYFUNCTION("""COMPUTED_VALUE"""),96.22)</f>
        <v>96.22</v>
      </c>
      <c r="F101" s="141">
        <f ca="1">IFERROR(__xludf.DUMMYFUNCTION("""COMPUTED_VALUE"""),96.46)</f>
        <v>96.46</v>
      </c>
      <c r="G101" s="143">
        <f ca="1">IFERROR(__xludf.DUMMYFUNCTION("""COMPUTED_VALUE"""),2303522)</f>
        <v>2303522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IFERROR(__xludf.DUMMYFUNCTION("""COMPUTED_VALUE"""),96.46)</f>
        <v>96.46</v>
      </c>
      <c r="D102" s="141">
        <f ca="1">IFERROR(__xludf.DUMMYFUNCTION("""COMPUTED_VALUE"""),96.52)</f>
        <v>96.52</v>
      </c>
      <c r="E102" s="141">
        <f ca="1">IFERROR(__xludf.DUMMYFUNCTION("""COMPUTED_VALUE"""),96.23)</f>
        <v>96.23</v>
      </c>
      <c r="F102" s="141">
        <f ca="1">IFERROR(__xludf.DUMMYFUNCTION("""COMPUTED_VALUE"""),96.5)</f>
        <v>96.5</v>
      </c>
      <c r="G102" s="143">
        <f ca="1">IFERROR(__xludf.DUMMYFUNCTION("""COMPUTED_VALUE"""),7200662)</f>
        <v>7200662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IFERROR(__xludf.DUMMYFUNCTION("""COMPUTED_VALUE"""),96.54)</f>
        <v>96.54</v>
      </c>
      <c r="D103" s="141">
        <f ca="1">IFERROR(__xludf.DUMMYFUNCTION("""COMPUTED_VALUE"""),96.55)</f>
        <v>96.55</v>
      </c>
      <c r="E103" s="141">
        <f ca="1">IFERROR(__xludf.DUMMYFUNCTION("""COMPUTED_VALUE"""),96)</f>
        <v>96</v>
      </c>
      <c r="F103" s="141">
        <f ca="1">IFERROR(__xludf.DUMMYFUNCTION("""COMPUTED_VALUE"""),96.03)</f>
        <v>96.03</v>
      </c>
      <c r="G103" s="143">
        <f ca="1">IFERROR(__xludf.DUMMYFUNCTION("""COMPUTED_VALUE"""),6880202)</f>
        <v>6880202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IFERROR(__xludf.DUMMYFUNCTION("""COMPUTED_VALUE"""),96.05)</f>
        <v>96.05</v>
      </c>
      <c r="D104" s="141">
        <f ca="1">IFERROR(__xludf.DUMMYFUNCTION("""COMPUTED_VALUE"""),96.16)</f>
        <v>96.16</v>
      </c>
      <c r="E104" s="141">
        <f ca="1">IFERROR(__xludf.DUMMYFUNCTION("""COMPUTED_VALUE"""),95.97)</f>
        <v>95.97</v>
      </c>
      <c r="F104" s="141">
        <f ca="1">IFERROR(__xludf.DUMMYFUNCTION("""COMPUTED_VALUE"""),95.97)</f>
        <v>95.97</v>
      </c>
      <c r="G104" s="143">
        <f ca="1">IFERROR(__xludf.DUMMYFUNCTION("""COMPUTED_VALUE"""),7216067)</f>
        <v>7216067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IFERROR(__xludf.DUMMYFUNCTION("""COMPUTED_VALUE"""),96.21)</f>
        <v>96.21</v>
      </c>
      <c r="D105" s="141">
        <f ca="1">IFERROR(__xludf.DUMMYFUNCTION("""COMPUTED_VALUE"""),96.35)</f>
        <v>96.35</v>
      </c>
      <c r="E105" s="141">
        <f ca="1">IFERROR(__xludf.DUMMYFUNCTION("""COMPUTED_VALUE"""),95.97)</f>
        <v>95.97</v>
      </c>
      <c r="F105" s="141">
        <f ca="1">IFERROR(__xludf.DUMMYFUNCTION("""COMPUTED_VALUE"""),95.99)</f>
        <v>95.99</v>
      </c>
      <c r="G105" s="143">
        <f ca="1">IFERROR(__xludf.DUMMYFUNCTION("""COMPUTED_VALUE"""),9950593)</f>
        <v>9950593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IFERROR(__xludf.DUMMYFUNCTION("""COMPUTED_VALUE"""),96.02)</f>
        <v>96.02</v>
      </c>
      <c r="D106" s="141">
        <f ca="1">IFERROR(__xludf.DUMMYFUNCTION("""COMPUTED_VALUE"""),96.12)</f>
        <v>96.12</v>
      </c>
      <c r="E106" s="141">
        <f ca="1">IFERROR(__xludf.DUMMYFUNCTION("""COMPUTED_VALUE"""),95.87)</f>
        <v>95.87</v>
      </c>
      <c r="F106" s="141">
        <f ca="1">IFERROR(__xludf.DUMMYFUNCTION("""COMPUTED_VALUE"""),95.96)</f>
        <v>95.96</v>
      </c>
      <c r="G106" s="143">
        <f ca="1">IFERROR(__xludf.DUMMYFUNCTION("""COMPUTED_VALUE"""),6411184)</f>
        <v>6411184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IFERROR(__xludf.DUMMYFUNCTION("""COMPUTED_VALUE"""),96.06)</f>
        <v>96.06</v>
      </c>
      <c r="D107" s="141">
        <f ca="1">IFERROR(__xludf.DUMMYFUNCTION("""COMPUTED_VALUE"""),96.18)</f>
        <v>96.18</v>
      </c>
      <c r="E107" s="141">
        <f ca="1">IFERROR(__xludf.DUMMYFUNCTION("""COMPUTED_VALUE"""),95.99)</f>
        <v>95.99</v>
      </c>
      <c r="F107" s="141">
        <f ca="1">IFERROR(__xludf.DUMMYFUNCTION("""COMPUTED_VALUE"""),96.12)</f>
        <v>96.12</v>
      </c>
      <c r="G107" s="143">
        <f ca="1">IFERROR(__xludf.DUMMYFUNCTION("""COMPUTED_VALUE"""),8184796)</f>
        <v>8184796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IFERROR(__xludf.DUMMYFUNCTION("""COMPUTED_VALUE"""),96.19)</f>
        <v>96.19</v>
      </c>
      <c r="D108" s="141">
        <f ca="1">IFERROR(__xludf.DUMMYFUNCTION("""COMPUTED_VALUE"""),96.35)</f>
        <v>96.35</v>
      </c>
      <c r="E108" s="141">
        <f ca="1">IFERROR(__xludf.DUMMYFUNCTION("""COMPUTED_VALUE"""),95.86)</f>
        <v>95.86</v>
      </c>
      <c r="F108" s="141">
        <f ca="1">IFERROR(__xludf.DUMMYFUNCTION("""COMPUTED_VALUE"""),95.89)</f>
        <v>95.89</v>
      </c>
      <c r="G108" s="143">
        <f ca="1">IFERROR(__xludf.DUMMYFUNCTION("""COMPUTED_VALUE"""),14799075)</f>
        <v>14799075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IFERROR(__xludf.DUMMYFUNCTION("""COMPUTED_VALUE"""),95.89)</f>
        <v>95.89</v>
      </c>
      <c r="D109" s="141">
        <f ca="1">IFERROR(__xludf.DUMMYFUNCTION("""COMPUTED_VALUE"""),96.25)</f>
        <v>96.25</v>
      </c>
      <c r="E109" s="141">
        <f ca="1">IFERROR(__xludf.DUMMYFUNCTION("""COMPUTED_VALUE"""),95.89)</f>
        <v>95.89</v>
      </c>
      <c r="F109" s="141">
        <f ca="1">IFERROR(__xludf.DUMMYFUNCTION("""COMPUTED_VALUE"""),96.15)</f>
        <v>96.15</v>
      </c>
      <c r="G109" s="143">
        <f ca="1">IFERROR(__xludf.DUMMYFUNCTION("""COMPUTED_VALUE"""),5329764)</f>
        <v>5329764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IFERROR(__xludf.DUMMYFUNCTION("""COMPUTED_VALUE"""),96.39)</f>
        <v>96.39</v>
      </c>
      <c r="D110" s="141">
        <f ca="1">IFERROR(__xludf.DUMMYFUNCTION("""COMPUTED_VALUE"""),96.43)</f>
        <v>96.43</v>
      </c>
      <c r="E110" s="141">
        <f ca="1">IFERROR(__xludf.DUMMYFUNCTION("""COMPUTED_VALUE"""),96.24)</f>
        <v>96.24</v>
      </c>
      <c r="F110" s="141">
        <f ca="1">IFERROR(__xludf.DUMMYFUNCTION("""COMPUTED_VALUE"""),96.35)</f>
        <v>96.35</v>
      </c>
      <c r="G110" s="143">
        <f ca="1">IFERROR(__xludf.DUMMYFUNCTION("""COMPUTED_VALUE"""),5421718)</f>
        <v>5421718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IFERROR(__xludf.DUMMYFUNCTION("""COMPUTED_VALUE"""),96.4)</f>
        <v>96.4</v>
      </c>
      <c r="D111" s="141">
        <f ca="1">IFERROR(__xludf.DUMMYFUNCTION("""COMPUTED_VALUE"""),96.64)</f>
        <v>96.64</v>
      </c>
      <c r="E111" s="141">
        <f ca="1">IFERROR(__xludf.DUMMYFUNCTION("""COMPUTED_VALUE"""),96.32)</f>
        <v>96.32</v>
      </c>
      <c r="F111" s="141">
        <f ca="1">IFERROR(__xludf.DUMMYFUNCTION("""COMPUTED_VALUE"""),96.6)</f>
        <v>96.6</v>
      </c>
      <c r="G111" s="143">
        <f ca="1">IFERROR(__xludf.DUMMYFUNCTION("""COMPUTED_VALUE"""),10391296)</f>
        <v>10391296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IFERROR(__xludf.DUMMYFUNCTION("""COMPUTED_VALUE"""),96.61)</f>
        <v>96.61</v>
      </c>
      <c r="D112" s="141">
        <f ca="1">IFERROR(__xludf.DUMMYFUNCTION("""COMPUTED_VALUE"""),96.74)</f>
        <v>96.74</v>
      </c>
      <c r="E112" s="141">
        <f ca="1">IFERROR(__xludf.DUMMYFUNCTION("""COMPUTED_VALUE"""),96.45)</f>
        <v>96.45</v>
      </c>
      <c r="F112" s="141">
        <f ca="1">IFERROR(__xludf.DUMMYFUNCTION("""COMPUTED_VALUE"""),96.7)</f>
        <v>96.7</v>
      </c>
      <c r="G112" s="143">
        <f ca="1">IFERROR(__xludf.DUMMYFUNCTION("""COMPUTED_VALUE"""),4718733)</f>
        <v>4718733</v>
      </c>
      <c r="H112" s="26"/>
    </row>
    <row r="113" spans="1:8" ht="17.25" customHeight="1" x14ac:dyDescent="0.2">
      <c r="A113" s="26"/>
      <c r="B113" s="139">
        <f ca="1">IFERROR(__xludf.DUMMYFUNCTION("""COMPUTED_VALUE"""),45989.5451388888)</f>
        <v>45989.545138888803</v>
      </c>
      <c r="C113" s="141">
        <f ca="1">IFERROR(__xludf.DUMMYFUNCTION("""COMPUTED_VALUE"""),96.75)</f>
        <v>96.75</v>
      </c>
      <c r="D113" s="141">
        <f ca="1">IFERROR(__xludf.DUMMYFUNCTION("""COMPUTED_VALUE"""),96.8)</f>
        <v>96.8</v>
      </c>
      <c r="E113" s="141">
        <f ca="1">IFERROR(__xludf.DUMMYFUNCTION("""COMPUTED_VALUE"""),96.61)</f>
        <v>96.61</v>
      </c>
      <c r="F113" s="141">
        <f ca="1">IFERROR(__xludf.DUMMYFUNCTION("""COMPUTED_VALUE"""),96.73)</f>
        <v>96.73</v>
      </c>
      <c r="G113" s="143">
        <f ca="1">IFERROR(__xludf.DUMMYFUNCTION("""COMPUTED_VALUE"""),2628375)</f>
        <v>2628375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IFERROR(__xludf.DUMMYFUNCTION("""COMPUTED_VALUE"""),95.94)</f>
        <v>95.94</v>
      </c>
      <c r="D114" s="141">
        <f ca="1">IFERROR(__xludf.DUMMYFUNCTION("""COMPUTED_VALUE"""),96.22)</f>
        <v>96.22</v>
      </c>
      <c r="E114" s="141">
        <f ca="1">IFERROR(__xludf.DUMMYFUNCTION("""COMPUTED_VALUE"""),95.93)</f>
        <v>95.93</v>
      </c>
      <c r="F114" s="141">
        <f ca="1">IFERROR(__xludf.DUMMYFUNCTION("""COMPUTED_VALUE"""),96.02)</f>
        <v>96.02</v>
      </c>
      <c r="G114" s="143">
        <f ca="1">IFERROR(__xludf.DUMMYFUNCTION("""COMPUTED_VALUE"""),11152104)</f>
        <v>11152104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IFERROR(__xludf.DUMMYFUNCTION("""COMPUTED_VALUE"""),96.11)</f>
        <v>96.11</v>
      </c>
      <c r="D115" s="141">
        <f ca="1">IFERROR(__xludf.DUMMYFUNCTION("""COMPUTED_VALUE"""),96.47)</f>
        <v>96.47</v>
      </c>
      <c r="E115" s="141">
        <f ca="1">IFERROR(__xludf.DUMMYFUNCTION("""COMPUTED_VALUE"""),96.04)</f>
        <v>96.04</v>
      </c>
      <c r="F115" s="141">
        <f ca="1">IFERROR(__xludf.DUMMYFUNCTION("""COMPUTED_VALUE"""),96.42)</f>
        <v>96.42</v>
      </c>
      <c r="G115" s="143">
        <f ca="1">IFERROR(__xludf.DUMMYFUNCTION("""COMPUTED_VALUE"""),10879885)</f>
        <v>10879885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IFERROR(__xludf.DUMMYFUNCTION("""COMPUTED_VALUE"""),96.72)</f>
        <v>96.72</v>
      </c>
      <c r="D116" s="141">
        <f ca="1">IFERROR(__xludf.DUMMYFUNCTION("""COMPUTED_VALUE"""),96.73)</f>
        <v>96.73</v>
      </c>
      <c r="E116" s="141">
        <f ca="1">IFERROR(__xludf.DUMMYFUNCTION("""COMPUTED_VALUE"""),96.42)</f>
        <v>96.42</v>
      </c>
      <c r="F116" s="141">
        <f ca="1">IFERROR(__xludf.DUMMYFUNCTION("""COMPUTED_VALUE"""),96.54)</f>
        <v>96.54</v>
      </c>
      <c r="G116" s="143">
        <f ca="1">IFERROR(__xludf.DUMMYFUNCTION("""COMPUTED_VALUE"""),6136282)</f>
        <v>6136282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IFERROR(__xludf.DUMMYFUNCTION("""COMPUTED_VALUE"""),96.47)</f>
        <v>96.47</v>
      </c>
      <c r="D117" s="141">
        <f ca="1">IFERROR(__xludf.DUMMYFUNCTION("""COMPUTED_VALUE"""),96.51)</f>
        <v>96.51</v>
      </c>
      <c r="E117" s="141">
        <f ca="1">IFERROR(__xludf.DUMMYFUNCTION("""COMPUTED_VALUE"""),96.3)</f>
        <v>96.3</v>
      </c>
      <c r="F117" s="141">
        <f ca="1">IFERROR(__xludf.DUMMYFUNCTION("""COMPUTED_VALUE"""),96.46)</f>
        <v>96.46</v>
      </c>
      <c r="G117" s="143">
        <f ca="1">IFERROR(__xludf.DUMMYFUNCTION("""COMPUTED_VALUE"""),8228997)</f>
        <v>8228997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IFERROR(__xludf.DUMMYFUNCTION("""COMPUTED_VALUE"""),96.47)</f>
        <v>96.47</v>
      </c>
      <c r="D118" s="141">
        <f ca="1">IFERROR(__xludf.DUMMYFUNCTION("""COMPUTED_VALUE"""),96.63)</f>
        <v>96.63</v>
      </c>
      <c r="E118" s="141">
        <f ca="1">IFERROR(__xludf.DUMMYFUNCTION("""COMPUTED_VALUE"""),96.28)</f>
        <v>96.28</v>
      </c>
      <c r="F118" s="141">
        <f ca="1">IFERROR(__xludf.DUMMYFUNCTION("""COMPUTED_VALUE"""),96.33)</f>
        <v>96.33</v>
      </c>
      <c r="G118" s="143">
        <f ca="1">IFERROR(__xludf.DUMMYFUNCTION("""COMPUTED_VALUE"""),5998398)</f>
        <v>5998398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IFERROR(__xludf.DUMMYFUNCTION("""COMPUTED_VALUE"""),96.24)</f>
        <v>96.24</v>
      </c>
      <c r="D119" s="141">
        <f ca="1">IFERROR(__xludf.DUMMYFUNCTION("""COMPUTED_VALUE"""),96.25)</f>
        <v>96.25</v>
      </c>
      <c r="E119" s="141">
        <f ca="1">IFERROR(__xludf.DUMMYFUNCTION("""COMPUTED_VALUE"""),95.88)</f>
        <v>95.88</v>
      </c>
      <c r="F119" s="141">
        <f ca="1">IFERROR(__xludf.DUMMYFUNCTION("""COMPUTED_VALUE"""),95.93)</f>
        <v>95.93</v>
      </c>
      <c r="G119" s="143">
        <f ca="1">IFERROR(__xludf.DUMMYFUNCTION("""COMPUTED_VALUE"""),6617217)</f>
        <v>6617217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IFERROR(__xludf.DUMMYFUNCTION("""COMPUTED_VALUE"""),95.98)</f>
        <v>95.98</v>
      </c>
      <c r="D120" s="141">
        <f ca="1">IFERROR(__xludf.DUMMYFUNCTION("""COMPUTED_VALUE"""),95.98)</f>
        <v>95.98</v>
      </c>
      <c r="E120" s="141">
        <f ca="1">IFERROR(__xludf.DUMMYFUNCTION("""COMPUTED_VALUE"""),95.72)</f>
        <v>95.72</v>
      </c>
      <c r="F120" s="141">
        <f ca="1">IFERROR(__xludf.DUMMYFUNCTION("""COMPUTED_VALUE"""),95.85)</f>
        <v>95.85</v>
      </c>
      <c r="G120" s="143">
        <f ca="1">IFERROR(__xludf.DUMMYFUNCTION("""COMPUTED_VALUE"""),7763926)</f>
        <v>7763926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IFERROR(__xludf.DUMMYFUNCTION("""COMPUTED_VALUE"""),95.85)</f>
        <v>95.85</v>
      </c>
      <c r="D121" s="141">
        <f ca="1">IFERROR(__xludf.DUMMYFUNCTION("""COMPUTED_VALUE"""),96.25)</f>
        <v>96.25</v>
      </c>
      <c r="E121" s="141">
        <f ca="1">IFERROR(__xludf.DUMMYFUNCTION("""COMPUTED_VALUE"""),95.68)</f>
        <v>95.68</v>
      </c>
      <c r="F121" s="141">
        <f ca="1">IFERROR(__xludf.DUMMYFUNCTION("""COMPUTED_VALUE"""),96.24)</f>
        <v>96.24</v>
      </c>
      <c r="G121" s="143">
        <f ca="1">IFERROR(__xludf.DUMMYFUNCTION("""COMPUTED_VALUE"""),7249129)</f>
        <v>7249129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IFERROR(__xludf.DUMMYFUNCTION("""COMPUTED_VALUE"""),96.35)</f>
        <v>96.35</v>
      </c>
      <c r="D122" s="141">
        <f ca="1">IFERROR(__xludf.DUMMYFUNCTION("""COMPUTED_VALUE"""),96.44)</f>
        <v>96.44</v>
      </c>
      <c r="E122" s="141">
        <f ca="1">IFERROR(__xludf.DUMMYFUNCTION("""COMPUTED_VALUE"""),96.24)</f>
        <v>96.24</v>
      </c>
      <c r="F122" s="141">
        <f ca="1">IFERROR(__xludf.DUMMYFUNCTION("""COMPUTED_VALUE"""),96.31)</f>
        <v>96.31</v>
      </c>
      <c r="G122" s="143">
        <f ca="1">IFERROR(__xludf.DUMMYFUNCTION("""COMPUTED_VALUE"""),4875777)</f>
        <v>4875777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IFERROR(__xludf.DUMMYFUNCTION("""COMPUTED_VALUE"""),96.26)</f>
        <v>96.26</v>
      </c>
      <c r="D123" s="141">
        <f ca="1">IFERROR(__xludf.DUMMYFUNCTION("""COMPUTED_VALUE"""),96.38)</f>
        <v>96.38</v>
      </c>
      <c r="E123" s="141">
        <f ca="1">IFERROR(__xludf.DUMMYFUNCTION("""COMPUTED_VALUE"""),96.18)</f>
        <v>96.18</v>
      </c>
      <c r="F123" s="141">
        <f ca="1">IFERROR(__xludf.DUMMYFUNCTION("""COMPUTED_VALUE"""),96.26)</f>
        <v>96.26</v>
      </c>
      <c r="G123" s="143">
        <f ca="1">IFERROR(__xludf.DUMMYFUNCTION("""COMPUTED_VALUE"""),8805818)</f>
        <v>8805818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IFERROR(__xludf.DUMMYFUNCTION("""COMPUTED_VALUE"""),96.45)</f>
        <v>96.45</v>
      </c>
      <c r="D124" s="141">
        <f ca="1">IFERROR(__xludf.DUMMYFUNCTION("""COMPUTED_VALUE"""),96.54)</f>
        <v>96.54</v>
      </c>
      <c r="E124" s="141">
        <f ca="1">IFERROR(__xludf.DUMMYFUNCTION("""COMPUTED_VALUE"""),96.31)</f>
        <v>96.31</v>
      </c>
      <c r="F124" s="141">
        <f ca="1">IFERROR(__xludf.DUMMYFUNCTION("""COMPUTED_VALUE"""),96.39)</f>
        <v>96.39</v>
      </c>
      <c r="G124" s="143">
        <f ca="1">IFERROR(__xludf.DUMMYFUNCTION("""COMPUTED_VALUE"""),7951795)</f>
        <v>7951795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IFERROR(__xludf.DUMMYFUNCTION("""COMPUTED_VALUE"""),96.45)</f>
        <v>96.45</v>
      </c>
      <c r="D125" s="141">
        <f ca="1">IFERROR(__xludf.DUMMYFUNCTION("""COMPUTED_VALUE"""),96.66)</f>
        <v>96.66</v>
      </c>
      <c r="E125" s="141">
        <f ca="1">IFERROR(__xludf.DUMMYFUNCTION("""COMPUTED_VALUE"""),96.4)</f>
        <v>96.4</v>
      </c>
      <c r="F125" s="141">
        <f ca="1">IFERROR(__xludf.DUMMYFUNCTION("""COMPUTED_VALUE"""),96.65)</f>
        <v>96.65</v>
      </c>
      <c r="G125" s="143">
        <f ca="1">IFERROR(__xludf.DUMMYFUNCTION("""COMPUTED_VALUE"""),8632568)</f>
        <v>8632568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IFERROR(__xludf.DUMMYFUNCTION("""COMPUTED_VALUE"""),96.54)</f>
        <v>96.54</v>
      </c>
      <c r="D126" s="141">
        <f ca="1">IFERROR(__xludf.DUMMYFUNCTION("""COMPUTED_VALUE"""),96.54)</f>
        <v>96.54</v>
      </c>
      <c r="E126" s="141">
        <f ca="1">IFERROR(__xludf.DUMMYFUNCTION("""COMPUTED_VALUE"""),96.25)</f>
        <v>96.25</v>
      </c>
      <c r="F126" s="141">
        <f ca="1">IFERROR(__xludf.DUMMYFUNCTION("""COMPUTED_VALUE"""),96.28)</f>
        <v>96.28</v>
      </c>
      <c r="G126" s="143">
        <f ca="1">IFERROR(__xludf.DUMMYFUNCTION("""COMPUTED_VALUE"""),7068291)</f>
        <v>7068291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IFERROR(__xludf.DUMMYFUNCTION("""COMPUTED_VALUE"""),96.68)</f>
        <v>96.68</v>
      </c>
      <c r="D127" s="141">
        <f ca="1">IFERROR(__xludf.DUMMYFUNCTION("""COMPUTED_VALUE"""),96.74)</f>
        <v>96.74</v>
      </c>
      <c r="E127" s="141">
        <f ca="1">IFERROR(__xludf.DUMMYFUNCTION("""COMPUTED_VALUE"""),96.5)</f>
        <v>96.5</v>
      </c>
      <c r="F127" s="141">
        <f ca="1">IFERROR(__xludf.DUMMYFUNCTION("""COMPUTED_VALUE"""),96.7)</f>
        <v>96.7</v>
      </c>
      <c r="G127" s="143">
        <f ca="1">IFERROR(__xludf.DUMMYFUNCTION("""COMPUTED_VALUE"""),5520099)</f>
        <v>5520099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IFERROR(__xludf.DUMMYFUNCTION("""COMPUTED_VALUE"""),96.4)</f>
        <v>96.4</v>
      </c>
      <c r="D128" s="141">
        <f ca="1">IFERROR(__xludf.DUMMYFUNCTION("""COMPUTED_VALUE"""),96.43)</f>
        <v>96.43</v>
      </c>
      <c r="E128" s="141">
        <f ca="1">IFERROR(__xludf.DUMMYFUNCTION("""COMPUTED_VALUE"""),96.19)</f>
        <v>96.19</v>
      </c>
      <c r="F128" s="141">
        <f ca="1">IFERROR(__xludf.DUMMYFUNCTION("""COMPUTED_VALUE"""),96.27)</f>
        <v>96.27</v>
      </c>
      <c r="G128" s="143">
        <f ca="1">IFERROR(__xludf.DUMMYFUNCTION("""COMPUTED_VALUE"""),4903958)</f>
        <v>4903958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IFERROR(__xludf.DUMMYFUNCTION("""COMPUTED_VALUE"""),96.42)</f>
        <v>96.42</v>
      </c>
      <c r="D129" s="141">
        <f ca="1">IFERROR(__xludf.DUMMYFUNCTION("""COMPUTED_VALUE"""),96.5)</f>
        <v>96.5</v>
      </c>
      <c r="E129" s="141">
        <f ca="1">IFERROR(__xludf.DUMMYFUNCTION("""COMPUTED_VALUE"""),96.21)</f>
        <v>96.21</v>
      </c>
      <c r="F129" s="141">
        <f ca="1">IFERROR(__xludf.DUMMYFUNCTION("""COMPUTED_VALUE"""),96.31)</f>
        <v>96.31</v>
      </c>
      <c r="G129" s="143">
        <f ca="1">IFERROR(__xludf.DUMMYFUNCTION("""COMPUTED_VALUE"""),2877151)</f>
        <v>2877151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IFERROR(__xludf.DUMMYFUNCTION("""COMPUTED_VALUE"""),96.25)</f>
        <v>96.25</v>
      </c>
      <c r="D130" s="141">
        <f ca="1">IFERROR(__xludf.DUMMYFUNCTION("""COMPUTED_VALUE"""),96.36)</f>
        <v>96.36</v>
      </c>
      <c r="E130" s="141">
        <f ca="1">IFERROR(__xludf.DUMMYFUNCTION("""COMPUTED_VALUE"""),96.15)</f>
        <v>96.15</v>
      </c>
      <c r="F130" s="141">
        <f ca="1">IFERROR(__xludf.DUMMYFUNCTION("""COMPUTED_VALUE"""),96.26)</f>
        <v>96.26</v>
      </c>
      <c r="G130" s="143">
        <f ca="1">IFERROR(__xludf.DUMMYFUNCTION("""COMPUTED_VALUE"""),4529907)</f>
        <v>4529907</v>
      </c>
      <c r="H130" s="26"/>
    </row>
    <row r="131" spans="1:8" ht="17.25" customHeight="1" x14ac:dyDescent="0.2">
      <c r="A131" s="26"/>
      <c r="B131" s="139">
        <f ca="1">IFERROR(__xludf.DUMMYFUNCTION("""COMPUTED_VALUE"""),46015.5451388888)</f>
        <v>46015.545138888803</v>
      </c>
      <c r="C131" s="141">
        <f ca="1">IFERROR(__xludf.DUMMYFUNCTION("""COMPUTED_VALUE"""),96.48)</f>
        <v>96.48</v>
      </c>
      <c r="D131" s="141">
        <f ca="1">IFERROR(__xludf.DUMMYFUNCTION("""COMPUTED_VALUE"""),96.57)</f>
        <v>96.57</v>
      </c>
      <c r="E131" s="141">
        <f ca="1">IFERROR(__xludf.DUMMYFUNCTION("""COMPUTED_VALUE"""),96.35)</f>
        <v>96.35</v>
      </c>
      <c r="F131" s="141">
        <f ca="1">IFERROR(__xludf.DUMMYFUNCTION("""COMPUTED_VALUE"""),96.55)</f>
        <v>96.55</v>
      </c>
      <c r="G131" s="143">
        <f ca="1">IFERROR(__xludf.DUMMYFUNCTION("""COMPUTED_VALUE"""),1328899)</f>
        <v>1328899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IFERROR(__xludf.DUMMYFUNCTION("""COMPUTED_VALUE"""),96.64)</f>
        <v>96.64</v>
      </c>
      <c r="D132" s="141">
        <f ca="1">IFERROR(__xludf.DUMMYFUNCTION("""COMPUTED_VALUE"""),96.72)</f>
        <v>96.72</v>
      </c>
      <c r="E132" s="141">
        <f ca="1">IFERROR(__xludf.DUMMYFUNCTION("""COMPUTED_VALUE"""),96.41)</f>
        <v>96.41</v>
      </c>
      <c r="F132" s="141">
        <f ca="1">IFERROR(__xludf.DUMMYFUNCTION("""COMPUTED_VALUE"""),96.54)</f>
        <v>96.54</v>
      </c>
      <c r="G132" s="143">
        <f ca="1">IFERROR(__xludf.DUMMYFUNCTION("""COMPUTED_VALUE"""),2965599)</f>
        <v>2965599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IFERROR(__xludf.DUMMYFUNCTION("""COMPUTED_VALUE"""),96.62)</f>
        <v>96.62</v>
      </c>
      <c r="D133" s="141">
        <f ca="1">IFERROR(__xludf.DUMMYFUNCTION("""COMPUTED_VALUE"""),96.65)</f>
        <v>96.65</v>
      </c>
      <c r="E133" s="141">
        <f ca="1">IFERROR(__xludf.DUMMYFUNCTION("""COMPUTED_VALUE"""),96.46)</f>
        <v>96.46</v>
      </c>
      <c r="F133" s="141">
        <f ca="1">IFERROR(__xludf.DUMMYFUNCTION("""COMPUTED_VALUE"""),96.59)</f>
        <v>96.59</v>
      </c>
      <c r="G133" s="143">
        <f ca="1">IFERROR(__xludf.DUMMYFUNCTION("""COMPUTED_VALUE"""),4935634)</f>
        <v>4935634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IFERROR(__xludf.DUMMYFUNCTION("""COMPUTED_VALUE"""),96.58)</f>
        <v>96.58</v>
      </c>
      <c r="D134" s="141">
        <f ca="1">IFERROR(__xludf.DUMMYFUNCTION("""COMPUTED_VALUE"""),96.62)</f>
        <v>96.62</v>
      </c>
      <c r="E134" s="141">
        <f ca="1">IFERROR(__xludf.DUMMYFUNCTION("""COMPUTED_VALUE"""),96.47)</f>
        <v>96.47</v>
      </c>
      <c r="F134" s="141">
        <f ca="1">IFERROR(__xludf.DUMMYFUNCTION("""COMPUTED_VALUE"""),96.47)</f>
        <v>96.47</v>
      </c>
      <c r="G134" s="143">
        <f ca="1">IFERROR(__xludf.DUMMYFUNCTION("""COMPUTED_VALUE"""),4021677)</f>
        <v>4021677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IFERROR(__xludf.DUMMYFUNCTION("""COMPUTED_VALUE"""),96.54)</f>
        <v>96.54</v>
      </c>
      <c r="D135" s="141">
        <f ca="1">IFERROR(__xludf.DUMMYFUNCTION("""COMPUTED_VALUE"""),96.61)</f>
        <v>96.61</v>
      </c>
      <c r="E135" s="141">
        <f ca="1">IFERROR(__xludf.DUMMYFUNCTION("""COMPUTED_VALUE"""),96.28)</f>
        <v>96.28</v>
      </c>
      <c r="F135" s="141">
        <f ca="1">IFERROR(__xludf.DUMMYFUNCTION("""COMPUTED_VALUE"""),96.28)</f>
        <v>96.28</v>
      </c>
      <c r="G135" s="143">
        <f ca="1">IFERROR(__xludf.DUMMYFUNCTION("""COMPUTED_VALUE"""),3672234)</f>
        <v>3672234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IFERROR(__xludf.DUMMYFUNCTION("""COMPUTED_VALUE"""),96.5)</f>
        <v>96.5</v>
      </c>
      <c r="D136" s="141">
        <f ca="1">IFERROR(__xludf.DUMMYFUNCTION("""COMPUTED_VALUE"""),96.5)</f>
        <v>96.5</v>
      </c>
      <c r="E136" s="141">
        <f ca="1">IFERROR(__xludf.DUMMYFUNCTION("""COMPUTED_VALUE"""),96.21)</f>
        <v>96.21</v>
      </c>
      <c r="F136" s="141">
        <f ca="1">IFERROR(__xludf.DUMMYFUNCTION("""COMPUTED_VALUE"""),96.3)</f>
        <v>96.3</v>
      </c>
      <c r="G136" s="143">
        <f ca="1">IFERROR(__xludf.DUMMYFUNCTION("""COMPUTED_VALUE"""),9525820)</f>
        <v>9525820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IFERROR(__xludf.DUMMYFUNCTION("""COMPUTED_VALUE"""),96.45)</f>
        <v>96.45</v>
      </c>
      <c r="D137" s="141">
        <f ca="1">IFERROR(__xludf.DUMMYFUNCTION("""COMPUTED_VALUE"""),96.47)</f>
        <v>96.47</v>
      </c>
      <c r="E137" s="141">
        <f ca="1">IFERROR(__xludf.DUMMYFUNCTION("""COMPUTED_VALUE"""),96.28)</f>
        <v>96.28</v>
      </c>
      <c r="F137" s="141">
        <f ca="1">IFERROR(__xludf.DUMMYFUNCTION("""COMPUTED_VALUE"""),96.45)</f>
        <v>96.45</v>
      </c>
      <c r="G137" s="143">
        <f ca="1">IFERROR(__xludf.DUMMYFUNCTION("""COMPUTED_VALUE"""),6030243)</f>
        <v>6030243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IFERROR(__xludf.DUMMYFUNCTION("""COMPUTED_VALUE"""),96.45)</f>
        <v>96.45</v>
      </c>
      <c r="D138" s="141">
        <f ca="1">IFERROR(__xludf.DUMMYFUNCTION("""COMPUTED_VALUE"""),96.45)</f>
        <v>96.45</v>
      </c>
      <c r="E138" s="141">
        <f ca="1">IFERROR(__xludf.DUMMYFUNCTION("""COMPUTED_VALUE"""),96.21)</f>
        <v>96.21</v>
      </c>
      <c r="F138" s="141">
        <f ca="1">IFERROR(__xludf.DUMMYFUNCTION("""COMPUTED_VALUE"""),96.35)</f>
        <v>96.35</v>
      </c>
      <c r="G138" s="143">
        <f ca="1">IFERROR(__xludf.DUMMYFUNCTION("""COMPUTED_VALUE"""),7385001)</f>
        <v>7385001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IFERROR(__xludf.DUMMYFUNCTION("""COMPUTED_VALUE"""),96.45)</f>
        <v>96.45</v>
      </c>
      <c r="D139" s="141">
        <f ca="1">IFERROR(__xludf.DUMMYFUNCTION("""COMPUTED_VALUE"""),96.45)</f>
        <v>96.45</v>
      </c>
      <c r="E139" s="141">
        <f ca="1">IFERROR(__xludf.DUMMYFUNCTION("""COMPUTED_VALUE"""),96.14)</f>
        <v>96.14</v>
      </c>
      <c r="F139" s="141">
        <f ca="1">IFERROR(__xludf.DUMMYFUNCTION("""COMPUTED_VALUE"""),96.16)</f>
        <v>96.16</v>
      </c>
      <c r="G139" s="143">
        <f ca="1">IFERROR(__xludf.DUMMYFUNCTION("""COMPUTED_VALUE"""),9562709)</f>
        <v>9562709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IFERROR(__xludf.DUMMYFUNCTION("""COMPUTED_VALUE"""),95.93)</f>
        <v>95.93</v>
      </c>
      <c r="D140" s="141">
        <f ca="1">IFERROR(__xludf.DUMMYFUNCTION("""COMPUTED_VALUE"""),96.09)</f>
        <v>96.09</v>
      </c>
      <c r="E140" s="141">
        <f ca="1">IFERROR(__xludf.DUMMYFUNCTION("""COMPUTED_VALUE"""),95.84)</f>
        <v>95.84</v>
      </c>
      <c r="F140" s="141">
        <f ca="1">IFERROR(__xludf.DUMMYFUNCTION("""COMPUTED_VALUE"""),96.01)</f>
        <v>96.01</v>
      </c>
      <c r="G140" s="143">
        <f ca="1">IFERROR(__xludf.DUMMYFUNCTION("""COMPUTED_VALUE"""),8138030)</f>
        <v>8138030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IFERROR(__xludf.DUMMYFUNCTION("""COMPUTED_VALUE"""),96.19)</f>
        <v>96.19</v>
      </c>
      <c r="D141" s="141">
        <f ca="1">IFERROR(__xludf.DUMMYFUNCTION("""COMPUTED_VALUE"""),96.36)</f>
        <v>96.36</v>
      </c>
      <c r="E141" s="141">
        <f ca="1">IFERROR(__xludf.DUMMYFUNCTION("""COMPUTED_VALUE"""),96.09)</f>
        <v>96.09</v>
      </c>
      <c r="F141" s="141">
        <f ca="1">IFERROR(__xludf.DUMMYFUNCTION("""COMPUTED_VALUE"""),96.36)</f>
        <v>96.36</v>
      </c>
      <c r="G141" s="143">
        <f ca="1">IFERROR(__xludf.DUMMYFUNCTION("""COMPUTED_VALUE"""),6646408)</f>
        <v>6646408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IFERROR(__xludf.DUMMYFUNCTION("""COMPUTED_VALUE"""),96.1)</f>
        <v>96.1</v>
      </c>
      <c r="D142" s="141">
        <f ca="1">IFERROR(__xludf.DUMMYFUNCTION("""COMPUTED_VALUE"""),96.39)</f>
        <v>96.39</v>
      </c>
      <c r="E142" s="141">
        <f ca="1">IFERROR(__xludf.DUMMYFUNCTION("""COMPUTED_VALUE"""),96.1)</f>
        <v>96.1</v>
      </c>
      <c r="F142" s="141">
        <f ca="1">IFERROR(__xludf.DUMMYFUNCTION("""COMPUTED_VALUE"""),96.28)</f>
        <v>96.28</v>
      </c>
      <c r="G142" s="143">
        <f ca="1">IFERROR(__xludf.DUMMYFUNCTION("""COMPUTED_VALUE"""),7894965)</f>
        <v>7894965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IFERROR(__xludf.DUMMYFUNCTION("""COMPUTED_VALUE"""),96.29)</f>
        <v>96.29</v>
      </c>
      <c r="D143" s="141">
        <f ca="1">IFERROR(__xludf.DUMMYFUNCTION("""COMPUTED_VALUE"""),96.32)</f>
        <v>96.32</v>
      </c>
      <c r="E143" s="141">
        <f ca="1">IFERROR(__xludf.DUMMYFUNCTION("""COMPUTED_VALUE"""),96.09)</f>
        <v>96.09</v>
      </c>
      <c r="F143" s="141">
        <f ca="1">IFERROR(__xludf.DUMMYFUNCTION("""COMPUTED_VALUE"""),96.16)</f>
        <v>96.16</v>
      </c>
      <c r="G143" s="143">
        <f ca="1">IFERROR(__xludf.DUMMYFUNCTION("""COMPUTED_VALUE"""),7871315)</f>
        <v>7871315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IFERROR(__xludf.DUMMYFUNCTION("""COMPUTED_VALUE"""),96.25)</f>
        <v>96.25</v>
      </c>
      <c r="D144" s="141">
        <f ca="1">IFERROR(__xludf.DUMMYFUNCTION("""COMPUTED_VALUE"""),96.37)</f>
        <v>96.37</v>
      </c>
      <c r="E144" s="141">
        <f ca="1">IFERROR(__xludf.DUMMYFUNCTION("""COMPUTED_VALUE"""),96.1)</f>
        <v>96.1</v>
      </c>
      <c r="F144" s="141">
        <f ca="1">IFERROR(__xludf.DUMMYFUNCTION("""COMPUTED_VALUE"""),96.36)</f>
        <v>96.36</v>
      </c>
      <c r="G144" s="143">
        <f ca="1">IFERROR(__xludf.DUMMYFUNCTION("""COMPUTED_VALUE"""),6723875)</f>
        <v>6723875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IFERROR(__xludf.DUMMYFUNCTION("""COMPUTED_VALUE"""),96.44)</f>
        <v>96.44</v>
      </c>
      <c r="D145" s="141">
        <f ca="1">IFERROR(__xludf.DUMMYFUNCTION("""COMPUTED_VALUE"""),96.52)</f>
        <v>96.52</v>
      </c>
      <c r="E145" s="141">
        <f ca="1">IFERROR(__xludf.DUMMYFUNCTION("""COMPUTED_VALUE"""),96.36)</f>
        <v>96.36</v>
      </c>
      <c r="F145" s="141">
        <f ca="1">IFERROR(__xludf.DUMMYFUNCTION("""COMPUTED_VALUE"""),96.4)</f>
        <v>96.4</v>
      </c>
      <c r="G145" s="143">
        <f ca="1">IFERROR(__xludf.DUMMYFUNCTION("""COMPUTED_VALUE"""),7041329)</f>
        <v>7041329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IFERROR(__xludf.DUMMYFUNCTION("""COMPUTED_VALUE"""),96.45)</f>
        <v>96.45</v>
      </c>
      <c r="D146" s="141">
        <f ca="1">IFERROR(__xludf.DUMMYFUNCTION("""COMPUTED_VALUE"""),96.49)</f>
        <v>96.49</v>
      </c>
      <c r="E146" s="141">
        <f ca="1">IFERROR(__xludf.DUMMYFUNCTION("""COMPUTED_VALUE"""),96.2)</f>
        <v>96.2</v>
      </c>
      <c r="F146" s="141">
        <f ca="1">IFERROR(__xludf.DUMMYFUNCTION("""COMPUTED_VALUE"""),96.21)</f>
        <v>96.21</v>
      </c>
      <c r="G146" s="143">
        <f ca="1">IFERROR(__xludf.DUMMYFUNCTION("""COMPUTED_VALUE"""),9285204)</f>
        <v>9285204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IFERROR(__xludf.DUMMYFUNCTION("""COMPUTED_VALUE"""),95.78)</f>
        <v>95.78</v>
      </c>
      <c r="D147" s="141">
        <f ca="1">IFERROR(__xludf.DUMMYFUNCTION("""COMPUTED_VALUE"""),95.92)</f>
        <v>95.92</v>
      </c>
      <c r="E147" s="141">
        <f ca="1">IFERROR(__xludf.DUMMYFUNCTION("""COMPUTED_VALUE"""),95.67)</f>
        <v>95.67</v>
      </c>
      <c r="F147" s="141">
        <f ca="1">IFERROR(__xludf.DUMMYFUNCTION("""COMPUTED_VALUE"""),95.73)</f>
        <v>95.73</v>
      </c>
      <c r="G147" s="143">
        <f ca="1">IFERROR(__xludf.DUMMYFUNCTION("""COMPUTED_VALUE"""),7840318)</f>
        <v>7840318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IFERROR(__xludf.DUMMYFUNCTION("""COMPUTED_VALUE"""),96)</f>
        <v>96</v>
      </c>
      <c r="D148" s="141">
        <f ca="1">IFERROR(__xludf.DUMMYFUNCTION("""COMPUTED_VALUE"""),96.51)</f>
        <v>96.51</v>
      </c>
      <c r="E148" s="141">
        <f ca="1">IFERROR(__xludf.DUMMYFUNCTION("""COMPUTED_VALUE"""),95.97)</f>
        <v>95.97</v>
      </c>
      <c r="F148" s="141">
        <f ca="1">IFERROR(__xludf.DUMMYFUNCTION("""COMPUTED_VALUE"""),96.5)</f>
        <v>96.5</v>
      </c>
      <c r="G148" s="143">
        <f ca="1">IFERROR(__xludf.DUMMYFUNCTION("""COMPUTED_VALUE"""),15998885)</f>
        <v>15998885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IFERROR(__xludf.DUMMYFUNCTION("""COMPUTED_VALUE"""),96.5)</f>
        <v>96.5</v>
      </c>
      <c r="D149" s="141">
        <f ca="1">IFERROR(__xludf.DUMMYFUNCTION("""COMPUTED_VALUE"""),96.72)</f>
        <v>96.72</v>
      </c>
      <c r="E149" s="141">
        <f ca="1">IFERROR(__xludf.DUMMYFUNCTION("""COMPUTED_VALUE"""),96.27)</f>
        <v>96.27</v>
      </c>
      <c r="F149" s="141">
        <f ca="1">IFERROR(__xludf.DUMMYFUNCTION("""COMPUTED_VALUE"""),96.48)</f>
        <v>96.48</v>
      </c>
      <c r="G149" s="143">
        <f ca="1">IFERROR(__xludf.DUMMYFUNCTION("""COMPUTED_VALUE"""),10693029)</f>
        <v>10693029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IFERROR(__xludf.DUMMYFUNCTION("""COMPUTED_VALUE"""),96.56)</f>
        <v>96.56</v>
      </c>
      <c r="D150" s="141">
        <f ca="1">IFERROR(__xludf.DUMMYFUNCTION("""COMPUTED_VALUE"""),96.74)</f>
        <v>96.74</v>
      </c>
      <c r="E150" s="141">
        <f ca="1">IFERROR(__xludf.DUMMYFUNCTION("""COMPUTED_VALUE"""),96.38)</f>
        <v>96.38</v>
      </c>
      <c r="F150" s="141">
        <f ca="1">IFERROR(__xludf.DUMMYFUNCTION("""COMPUTED_VALUE"""),96.72)</f>
        <v>96.72</v>
      </c>
      <c r="G150" s="143">
        <f ca="1">IFERROR(__xludf.DUMMYFUNCTION("""COMPUTED_VALUE"""),14874060)</f>
        <v>14874060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IFERROR(__xludf.DUMMYFUNCTION("""COMPUTED_VALUE"""),96.79)</f>
        <v>96.79</v>
      </c>
      <c r="D151" s="141">
        <f ca="1">IFERROR(__xludf.DUMMYFUNCTION("""COMPUTED_VALUE"""),96.87)</f>
        <v>96.87</v>
      </c>
      <c r="E151" s="141">
        <f ca="1">IFERROR(__xludf.DUMMYFUNCTION("""COMPUTED_VALUE"""),96.75)</f>
        <v>96.75</v>
      </c>
      <c r="F151" s="141">
        <f ca="1">IFERROR(__xludf.DUMMYFUNCTION("""COMPUTED_VALUE"""),96.82)</f>
        <v>96.82</v>
      </c>
      <c r="G151" s="143">
        <f ca="1">IFERROR(__xludf.DUMMYFUNCTION("""COMPUTED_VALUE"""),7558290)</f>
        <v>7558290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IFERROR(__xludf.DUMMYFUNCTION("""COMPUTED_VALUE"""),96.82)</f>
        <v>96.82</v>
      </c>
      <c r="D152" s="141">
        <f ca="1">IFERROR(__xludf.DUMMYFUNCTION("""COMPUTED_VALUE"""),96.87)</f>
        <v>96.87</v>
      </c>
      <c r="E152" s="141">
        <f ca="1">IFERROR(__xludf.DUMMYFUNCTION("""COMPUTED_VALUE"""),96.65)</f>
        <v>96.65</v>
      </c>
      <c r="F152" s="141">
        <f ca="1">IFERROR(__xludf.DUMMYFUNCTION("""COMPUTED_VALUE"""),96.78)</f>
        <v>96.78</v>
      </c>
      <c r="G152" s="143">
        <f ca="1">IFERROR(__xludf.DUMMYFUNCTION("""COMPUTED_VALUE"""),7602648)</f>
        <v>7602648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IFERROR(__xludf.DUMMYFUNCTION("""COMPUTED_VALUE"""),96.76)</f>
        <v>96.76</v>
      </c>
      <c r="D153" s="141">
        <f ca="1">IFERROR(__xludf.DUMMYFUNCTION("""COMPUTED_VALUE"""),96.8)</f>
        <v>96.8</v>
      </c>
      <c r="E153" s="141">
        <f ca="1">IFERROR(__xludf.DUMMYFUNCTION("""COMPUTED_VALUE"""),96.55)</f>
        <v>96.55</v>
      </c>
      <c r="F153" s="141">
        <f ca="1">IFERROR(__xludf.DUMMYFUNCTION("""COMPUTED_VALUE"""),96.66)</f>
        <v>96.66</v>
      </c>
      <c r="G153" s="143">
        <f ca="1">IFERROR(__xludf.DUMMYFUNCTION("""COMPUTED_VALUE"""),6810789)</f>
        <v>6810789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IFERROR(__xludf.DUMMYFUNCTION("""COMPUTED_VALUE"""),96.57)</f>
        <v>96.57</v>
      </c>
      <c r="D154" s="141">
        <f ca="1">IFERROR(__xludf.DUMMYFUNCTION("""COMPUTED_VALUE"""),96.75)</f>
        <v>96.75</v>
      </c>
      <c r="E154" s="141">
        <f ca="1">IFERROR(__xludf.DUMMYFUNCTION("""COMPUTED_VALUE"""),96.45)</f>
        <v>96.45</v>
      </c>
      <c r="F154" s="141">
        <f ca="1">IFERROR(__xludf.DUMMYFUNCTION("""COMPUTED_VALUE"""),96.67)</f>
        <v>96.67</v>
      </c>
      <c r="G154" s="143">
        <f ca="1">IFERROR(__xludf.DUMMYFUNCTION("""COMPUTED_VALUE"""),8092135)</f>
        <v>8092135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IFERROR(__xludf.DUMMYFUNCTION("""COMPUTED_VALUE"""),96.74)</f>
        <v>96.74</v>
      </c>
      <c r="D155" s="141">
        <f ca="1">IFERROR(__xludf.DUMMYFUNCTION("""COMPUTED_VALUE"""),96.76)</f>
        <v>96.76</v>
      </c>
      <c r="E155" s="141">
        <f ca="1">IFERROR(__xludf.DUMMYFUNCTION("""COMPUTED_VALUE"""),96.55)</f>
        <v>96.55</v>
      </c>
      <c r="F155" s="141">
        <f ca="1">IFERROR(__xludf.DUMMYFUNCTION("""COMPUTED_VALUE"""),96.58)</f>
        <v>96.58</v>
      </c>
      <c r="G155" s="143">
        <f ca="1">IFERROR(__xludf.DUMMYFUNCTION("""COMPUTED_VALUE"""),10990037)</f>
        <v>10990037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IFERROR(__xludf.DUMMYFUNCTION("""COMPUTED_VALUE"""),96.21)</f>
        <v>96.21</v>
      </c>
      <c r="D156" s="141">
        <f ca="1">IFERROR(__xludf.DUMMYFUNCTION("""COMPUTED_VALUE"""),96.46)</f>
        <v>96.46</v>
      </c>
      <c r="E156" s="141">
        <f ca="1">IFERROR(__xludf.DUMMYFUNCTION("""COMPUTED_VALUE"""),96.14)</f>
        <v>96.14</v>
      </c>
      <c r="F156" s="141">
        <f ca="1">IFERROR(__xludf.DUMMYFUNCTION("""COMPUTED_VALUE"""),96.14)</f>
        <v>96.14</v>
      </c>
      <c r="G156" s="143">
        <f ca="1">IFERROR(__xludf.DUMMYFUNCTION("""COMPUTED_VALUE"""),16267309)</f>
        <v>16267309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IFERROR(__xludf.DUMMYFUNCTION("""COMPUTED_VALUE"""),96.3)</f>
        <v>96.3</v>
      </c>
      <c r="D157" s="141">
        <f ca="1">IFERROR(__xludf.DUMMYFUNCTION("""COMPUTED_VALUE"""),96.3)</f>
        <v>96.3</v>
      </c>
      <c r="E157" s="141">
        <f ca="1">IFERROR(__xludf.DUMMYFUNCTION("""COMPUTED_VALUE"""),95.97)</f>
        <v>95.97</v>
      </c>
      <c r="F157" s="141">
        <f ca="1">IFERROR(__xludf.DUMMYFUNCTION("""COMPUTED_VALUE"""),96.16)</f>
        <v>96.16</v>
      </c>
      <c r="G157" s="143">
        <f ca="1">IFERROR(__xludf.DUMMYFUNCTION("""COMPUTED_VALUE"""),10483097)</f>
        <v>10483097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IFERROR(__xludf.DUMMYFUNCTION("""COMPUTED_VALUE"""),96.37)</f>
        <v>96.37</v>
      </c>
      <c r="D158" s="141">
        <f ca="1">IFERROR(__xludf.DUMMYFUNCTION("""COMPUTED_VALUE"""),96.4)</f>
        <v>96.4</v>
      </c>
      <c r="E158" s="141">
        <f ca="1">IFERROR(__xludf.DUMMYFUNCTION("""COMPUTED_VALUE"""),96.09)</f>
        <v>96.09</v>
      </c>
      <c r="F158" s="141">
        <f ca="1">IFERROR(__xludf.DUMMYFUNCTION("""COMPUTED_VALUE"""),96.2)</f>
        <v>96.2</v>
      </c>
      <c r="G158" s="143">
        <f ca="1">IFERROR(__xludf.DUMMYFUNCTION("""COMPUTED_VALUE"""),12475702)</f>
        <v>12475702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IFERROR(__xludf.DUMMYFUNCTION("""COMPUTED_VALUE"""),96.34)</f>
        <v>96.34</v>
      </c>
      <c r="D159" s="141">
        <f ca="1">IFERROR(__xludf.DUMMYFUNCTION("""COMPUTED_VALUE"""),96.5)</f>
        <v>96.5</v>
      </c>
      <c r="E159" s="141">
        <f ca="1">IFERROR(__xludf.DUMMYFUNCTION("""COMPUTED_VALUE"""),96.23)</f>
        <v>96.23</v>
      </c>
      <c r="F159" s="141">
        <f ca="1">IFERROR(__xludf.DUMMYFUNCTION("""COMPUTED_VALUE"""),96.44)</f>
        <v>96.44</v>
      </c>
      <c r="G159" s="143">
        <f ca="1">IFERROR(__xludf.DUMMYFUNCTION("""COMPUTED_VALUE"""),12106883)</f>
        <v>12106883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IFERROR(__xludf.DUMMYFUNCTION("""COMPUTED_VALUE"""),96.6)</f>
        <v>96.6</v>
      </c>
      <c r="D160" s="141">
        <f ca="1">IFERROR(__xludf.DUMMYFUNCTION("""COMPUTED_VALUE"""),96.69)</f>
        <v>96.69</v>
      </c>
      <c r="E160" s="141">
        <f ca="1">IFERROR(__xludf.DUMMYFUNCTION("""COMPUTED_VALUE"""),96.44)</f>
        <v>96.44</v>
      </c>
      <c r="F160" s="141">
        <f ca="1">IFERROR(__xludf.DUMMYFUNCTION("""COMPUTED_VALUE"""),96.69)</f>
        <v>96.69</v>
      </c>
      <c r="G160" s="143">
        <f ca="1">IFERROR(__xludf.DUMMYFUNCTION("""COMPUTED_VALUE"""),7991452)</f>
        <v>7991452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IFERROR(__xludf.DUMMYFUNCTION("""COMPUTED_VALUE"""),96.65)</f>
        <v>96.65</v>
      </c>
      <c r="D161" s="141">
        <f ca="1">IFERROR(__xludf.DUMMYFUNCTION("""COMPUTED_VALUE"""),96.88)</f>
        <v>96.88</v>
      </c>
      <c r="E161" s="141">
        <f ca="1">IFERROR(__xludf.DUMMYFUNCTION("""COMPUTED_VALUE"""),96.42)</f>
        <v>96.42</v>
      </c>
      <c r="F161" s="141">
        <f ca="1">IFERROR(__xludf.DUMMYFUNCTION("""COMPUTED_VALUE"""),96.72)</f>
        <v>96.72</v>
      </c>
      <c r="G161" s="143">
        <f ca="1">IFERROR(__xludf.DUMMYFUNCTION("""COMPUTED_VALUE"""),12302287)</f>
        <v>12302287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IFERROR(__xludf.DUMMYFUNCTION("""COMPUTED_VALUE"""),97.07)</f>
        <v>97.07</v>
      </c>
      <c r="D162" s="141">
        <f ca="1">IFERROR(__xludf.DUMMYFUNCTION("""COMPUTED_VALUE"""),97.09)</f>
        <v>97.09</v>
      </c>
      <c r="E162" s="141">
        <f ca="1">IFERROR(__xludf.DUMMYFUNCTION("""COMPUTED_VALUE"""),96.94)</f>
        <v>96.94</v>
      </c>
      <c r="F162" s="141">
        <f ca="1">IFERROR(__xludf.DUMMYFUNCTION("""COMPUTED_VALUE"""),96.97)</f>
        <v>96.97</v>
      </c>
      <c r="G162" s="143">
        <f ca="1">IFERROR(__xludf.DUMMYFUNCTION("""COMPUTED_VALUE"""),5805100)</f>
        <v>5805100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IFERROR(__xludf.DUMMYFUNCTION("""COMPUTED_VALUE"""),96.95)</f>
        <v>96.95</v>
      </c>
      <c r="D163" s="141">
        <f ca="1">IFERROR(__xludf.DUMMYFUNCTION("""COMPUTED_VALUE"""),97.09)</f>
        <v>97.09</v>
      </c>
      <c r="E163" s="141">
        <f ca="1">IFERROR(__xludf.DUMMYFUNCTION("""COMPUTED_VALUE"""),96.83)</f>
        <v>96.83</v>
      </c>
      <c r="F163" s="141">
        <f ca="1">IFERROR(__xludf.DUMMYFUNCTION("""COMPUTED_VALUE"""),96.98)</f>
        <v>96.98</v>
      </c>
      <c r="G163" s="143">
        <f ca="1">IFERROR(__xludf.DUMMYFUNCTION("""COMPUTED_VALUE"""),6827186)</f>
        <v>6827186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IFERROR(__xludf.DUMMYFUNCTION("""COMPUTED_VALUE"""),97.2)</f>
        <v>97.2</v>
      </c>
      <c r="D164" s="141">
        <f ca="1">IFERROR(__xludf.DUMMYFUNCTION("""COMPUTED_VALUE"""),97.4)</f>
        <v>97.4</v>
      </c>
      <c r="E164" s="141">
        <f ca="1">IFERROR(__xludf.DUMMYFUNCTION("""COMPUTED_VALUE"""),97.05)</f>
        <v>97.05</v>
      </c>
      <c r="F164" s="141">
        <f ca="1">IFERROR(__xludf.DUMMYFUNCTION("""COMPUTED_VALUE"""),97.25)</f>
        <v>97.25</v>
      </c>
      <c r="G164" s="143">
        <f ca="1">IFERROR(__xludf.DUMMYFUNCTION("""COMPUTED_VALUE"""),7447320)</f>
        <v>7447320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IFERROR(__xludf.DUMMYFUNCTION("""COMPUTED_VALUE"""),97.48)</f>
        <v>97.48</v>
      </c>
      <c r="D165" s="141">
        <f ca="1">IFERROR(__xludf.DUMMYFUNCTION("""COMPUTED_VALUE"""),97.61)</f>
        <v>97.61</v>
      </c>
      <c r="E165" s="141">
        <f ca="1">IFERROR(__xludf.DUMMYFUNCTION("""COMPUTED_VALUE"""),97.31)</f>
        <v>97.31</v>
      </c>
      <c r="F165" s="141">
        <f ca="1">IFERROR(__xludf.DUMMYFUNCTION("""COMPUTED_VALUE"""),97.42)</f>
        <v>97.42</v>
      </c>
      <c r="G165" s="143">
        <f ca="1">IFERROR(__xludf.DUMMYFUNCTION("""COMPUTED_VALUE"""),6711920)</f>
        <v>6711920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IFERROR(__xludf.DUMMYFUNCTION("""COMPUTED_VALUE"""),97.6)</f>
        <v>97.6</v>
      </c>
      <c r="D166" s="141">
        <f ca="1">IFERROR(__xludf.DUMMYFUNCTION("""COMPUTED_VALUE"""),97.76)</f>
        <v>97.76</v>
      </c>
      <c r="E166" s="141">
        <f ca="1">IFERROR(__xludf.DUMMYFUNCTION("""COMPUTED_VALUE"""),97.54)</f>
        <v>97.54</v>
      </c>
      <c r="F166" s="141">
        <f ca="1">IFERROR(__xludf.DUMMYFUNCTION("""COMPUTED_VALUE"""),97.62)</f>
        <v>97.62</v>
      </c>
      <c r="G166" s="143">
        <f ca="1">IFERROR(__xludf.DUMMYFUNCTION("""COMPUTED_VALUE"""),4672193)</f>
        <v>4672193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IFERROR(__xludf.DUMMYFUNCTION("""COMPUTED_VALUE"""),97.71)</f>
        <v>97.71</v>
      </c>
      <c r="D167" s="141">
        <f ca="1">IFERROR(__xludf.DUMMYFUNCTION("""COMPUTED_VALUE"""),97.77)</f>
        <v>97.77</v>
      </c>
      <c r="E167" s="141">
        <f ca="1">IFERROR(__xludf.DUMMYFUNCTION("""COMPUTED_VALUE"""),97.55)</f>
        <v>97.55</v>
      </c>
      <c r="F167" s="141">
        <f ca="1">IFERROR(__xludf.DUMMYFUNCTION("""COMPUTED_VALUE"""),97.66)</f>
        <v>97.66</v>
      </c>
      <c r="G167" s="143">
        <f ca="1">IFERROR(__xludf.DUMMYFUNCTION("""COMPUTED_VALUE"""),7574348)</f>
        <v>7574348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IFERROR(__xludf.DUMMYFUNCTION("""COMPUTED_VALUE"""),97.46)</f>
        <v>97.46</v>
      </c>
      <c r="D168" s="141">
        <f ca="1">IFERROR(__xludf.DUMMYFUNCTION("""COMPUTED_VALUE"""),97.58)</f>
        <v>97.58</v>
      </c>
      <c r="E168" s="141">
        <f ca="1">IFERROR(__xludf.DUMMYFUNCTION("""COMPUTED_VALUE"""),97.24)</f>
        <v>97.24</v>
      </c>
      <c r="F168" s="141">
        <f ca="1">IFERROR(__xludf.DUMMYFUNCTION("""COMPUTED_VALUE"""),97.55)</f>
        <v>97.55</v>
      </c>
      <c r="G168" s="143">
        <f ca="1">IFERROR(__xludf.DUMMYFUNCTION("""COMPUTED_VALUE"""),6826619)</f>
        <v>6826619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IFERROR(__xludf.DUMMYFUNCTION("""COMPUTED_VALUE"""),97.55)</f>
        <v>97.55</v>
      </c>
      <c r="D169" s="141">
        <f ca="1">IFERROR(__xludf.DUMMYFUNCTION("""COMPUTED_VALUE"""),97.65)</f>
        <v>97.65</v>
      </c>
      <c r="E169" s="141">
        <f ca="1">IFERROR(__xludf.DUMMYFUNCTION("""COMPUTED_VALUE"""),97.4)</f>
        <v>97.4</v>
      </c>
      <c r="F169" s="141">
        <f ca="1">IFERROR(__xludf.DUMMYFUNCTION("""COMPUTED_VALUE"""),97.65)</f>
        <v>97.65</v>
      </c>
      <c r="G169" s="143">
        <f ca="1">IFERROR(__xludf.DUMMYFUNCTION("""COMPUTED_VALUE"""),7931635)</f>
        <v>7931635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IFERROR(__xludf.DUMMYFUNCTION("""COMPUTED_VALUE"""),97.72)</f>
        <v>97.72</v>
      </c>
      <c r="D170" s="141">
        <f ca="1">IFERROR(__xludf.DUMMYFUNCTION("""COMPUTED_VALUE"""),97.8)</f>
        <v>97.8</v>
      </c>
      <c r="E170" s="141">
        <f ca="1">IFERROR(__xludf.DUMMYFUNCTION("""COMPUTED_VALUE"""),97.5)</f>
        <v>97.5</v>
      </c>
      <c r="F170" s="141">
        <f ca="1">IFERROR(__xludf.DUMMYFUNCTION("""COMPUTED_VALUE"""),97.71)</f>
        <v>97.71</v>
      </c>
      <c r="G170" s="143">
        <f ca="1">IFERROR(__xludf.DUMMYFUNCTION("""COMPUTED_VALUE"""),7100297)</f>
        <v>7100297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IFERROR(__xludf.DUMMYFUNCTION("""COMPUTED_VALUE"""),97.53)</f>
        <v>97.53</v>
      </c>
      <c r="D171" s="141">
        <f ca="1">IFERROR(__xludf.DUMMYFUNCTION("""COMPUTED_VALUE"""),97.75)</f>
        <v>97.75</v>
      </c>
      <c r="E171" s="141">
        <f ca="1">IFERROR(__xludf.DUMMYFUNCTION("""COMPUTED_VALUE"""),97.53)</f>
        <v>97.53</v>
      </c>
      <c r="F171" s="141">
        <f ca="1">IFERROR(__xludf.DUMMYFUNCTION("""COMPUTED_VALUE"""),97.65)</f>
        <v>97.65</v>
      </c>
      <c r="G171" s="143">
        <f ca="1">IFERROR(__xludf.DUMMYFUNCTION("""COMPUTED_VALUE"""),6251292)</f>
        <v>6251292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IFERROR(__xludf.DUMMYFUNCTION("""COMPUTED_VALUE"""),97.63)</f>
        <v>97.63</v>
      </c>
      <c r="D172" s="141">
        <f ca="1">IFERROR(__xludf.DUMMYFUNCTION("""COMPUTED_VALUE"""),97.79)</f>
        <v>97.79</v>
      </c>
      <c r="E172" s="141">
        <f ca="1">IFERROR(__xludf.DUMMYFUNCTION("""COMPUTED_VALUE"""),97.6)</f>
        <v>97.6</v>
      </c>
      <c r="F172" s="141">
        <f ca="1">IFERROR(__xludf.DUMMYFUNCTION("""COMPUTED_VALUE"""),97.74)</f>
        <v>97.74</v>
      </c>
      <c r="G172" s="143">
        <f ca="1">IFERROR(__xludf.DUMMYFUNCTION("""COMPUTED_VALUE"""),5461055)</f>
        <v>5461055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IFERROR(__xludf.DUMMYFUNCTION("""COMPUTED_VALUE"""),97.75)</f>
        <v>97.75</v>
      </c>
      <c r="D173" s="141">
        <f ca="1">IFERROR(__xludf.DUMMYFUNCTION("""COMPUTED_VALUE"""),97.78)</f>
        <v>97.78</v>
      </c>
      <c r="E173" s="141">
        <f ca="1">IFERROR(__xludf.DUMMYFUNCTION("""COMPUTED_VALUE"""),97.55)</f>
        <v>97.55</v>
      </c>
      <c r="F173" s="141">
        <f ca="1">IFERROR(__xludf.DUMMYFUNCTION("""COMPUTED_VALUE"""),97.68)</f>
        <v>97.68</v>
      </c>
      <c r="G173" s="143">
        <f ca="1">IFERROR(__xludf.DUMMYFUNCTION("""COMPUTED_VALUE"""),4958695)</f>
        <v>4958695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IFERROR(__xludf.DUMMYFUNCTION("""COMPUTED_VALUE"""),97.63)</f>
        <v>97.63</v>
      </c>
      <c r="D174" s="141">
        <f ca="1">IFERROR(__xludf.DUMMYFUNCTION("""COMPUTED_VALUE"""),97.74)</f>
        <v>97.74</v>
      </c>
      <c r="E174" s="141">
        <f ca="1">IFERROR(__xludf.DUMMYFUNCTION("""COMPUTED_VALUE"""),97.48)</f>
        <v>97.48</v>
      </c>
      <c r="F174" s="141">
        <f ca="1">IFERROR(__xludf.DUMMYFUNCTION("""COMPUTED_VALUE"""),97.73)</f>
        <v>97.73</v>
      </c>
      <c r="G174" s="143">
        <f ca="1">IFERROR(__xludf.DUMMYFUNCTION("""COMPUTED_VALUE"""),8824844)</f>
        <v>8824844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IFERROR(__xludf.DUMMYFUNCTION("""COMPUTED_VALUE"""),96.76)</f>
        <v>96.76</v>
      </c>
      <c r="D175" s="141">
        <f ca="1">IFERROR(__xludf.DUMMYFUNCTION("""COMPUTED_VALUE"""),97)</f>
        <v>97</v>
      </c>
      <c r="E175" s="141">
        <f ca="1">IFERROR(__xludf.DUMMYFUNCTION("""COMPUTED_VALUE"""),96.69)</f>
        <v>96.69</v>
      </c>
      <c r="F175" s="141">
        <f ca="1">IFERROR(__xludf.DUMMYFUNCTION("""COMPUTED_VALUE"""),96.99)</f>
        <v>96.99</v>
      </c>
      <c r="G175" s="143">
        <f ca="1">IFERROR(__xludf.DUMMYFUNCTION("""COMPUTED_VALUE"""),16503807)</f>
        <v>16503807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IFERROR(__xludf.DUMMYFUNCTION("""COMPUTED_VALUE"""),95.96)</f>
        <v>95.96</v>
      </c>
      <c r="D176" s="141">
        <f ca="1">IFERROR(__xludf.DUMMYFUNCTION("""COMPUTED_VALUE"""),96.67)</f>
        <v>96.67</v>
      </c>
      <c r="E176" s="141">
        <f ca="1">IFERROR(__xludf.DUMMYFUNCTION("""COMPUTED_VALUE"""),95.91)</f>
        <v>95.91</v>
      </c>
      <c r="F176" s="141">
        <f ca="1">IFERROR(__xludf.DUMMYFUNCTION("""COMPUTED_VALUE"""),96.55)</f>
        <v>96.55</v>
      </c>
      <c r="G176" s="143">
        <f ca="1">IFERROR(__xludf.DUMMYFUNCTION("""COMPUTED_VALUE"""),15705332)</f>
        <v>15705332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IFERROR(__xludf.DUMMYFUNCTION("""COMPUTED_VALUE"""),96.52)</f>
        <v>96.52</v>
      </c>
      <c r="D177" s="141">
        <f ca="1">IFERROR(__xludf.DUMMYFUNCTION("""COMPUTED_VALUE"""),96.93)</f>
        <v>96.93</v>
      </c>
      <c r="E177" s="141">
        <f ca="1">IFERROR(__xludf.DUMMYFUNCTION("""COMPUTED_VALUE"""),96.42)</f>
        <v>96.42</v>
      </c>
      <c r="F177" s="141">
        <f ca="1">IFERROR(__xludf.DUMMYFUNCTION("""COMPUTED_VALUE"""),96.87)</f>
        <v>96.87</v>
      </c>
      <c r="G177" s="143">
        <f ca="1">IFERROR(__xludf.DUMMYFUNCTION("""COMPUTED_VALUE"""),12157309)</f>
        <v>12157309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IFERROR(__xludf.DUMMYFUNCTION("""COMPUTED_VALUE"""),96.34)</f>
        <v>96.34</v>
      </c>
      <c r="D178" s="141">
        <f ca="1">IFERROR(__xludf.DUMMYFUNCTION("""COMPUTED_VALUE"""),96.58)</f>
        <v>96.58</v>
      </c>
      <c r="E178" s="141">
        <f ca="1">IFERROR(__xludf.DUMMYFUNCTION("""COMPUTED_VALUE"""),96.22)</f>
        <v>96.22</v>
      </c>
      <c r="F178" s="141">
        <f ca="1">IFERROR(__xludf.DUMMYFUNCTION("""COMPUTED_VALUE"""),96.38)</f>
        <v>96.38</v>
      </c>
      <c r="G178" s="143">
        <f ca="1">IFERROR(__xludf.DUMMYFUNCTION("""COMPUTED_VALUE"""),12699373)</f>
        <v>12699373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IFERROR(__xludf.DUMMYFUNCTION("""COMPUTED_VALUE"""),95.73)</f>
        <v>95.73</v>
      </c>
      <c r="D179" s="141">
        <f ca="1">IFERROR(__xludf.DUMMYFUNCTION("""COMPUTED_VALUE"""),96.01)</f>
        <v>96.01</v>
      </c>
      <c r="E179" s="141">
        <f ca="1">IFERROR(__xludf.DUMMYFUNCTION("""COMPUTED_VALUE"""),95.5)</f>
        <v>95.5</v>
      </c>
      <c r="F179" s="141">
        <f ca="1">IFERROR(__xludf.DUMMYFUNCTION("""COMPUTED_VALUE"""),95.75)</f>
        <v>95.75</v>
      </c>
      <c r="G179" s="143">
        <f ca="1">IFERROR(__xludf.DUMMYFUNCTION("""COMPUTED_VALUE"""),12473198)</f>
        <v>12473198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IFERROR(__xludf.DUMMYFUNCTION("""COMPUTED_VALUE"""),95.09)</f>
        <v>95.09</v>
      </c>
      <c r="D180" s="141">
        <f ca="1">IFERROR(__xludf.DUMMYFUNCTION("""COMPUTED_VALUE"""),96.09)</f>
        <v>96.09</v>
      </c>
      <c r="E180" s="141">
        <f ca="1">IFERROR(__xludf.DUMMYFUNCTION("""COMPUTED_VALUE"""),95.04)</f>
        <v>95.04</v>
      </c>
      <c r="F180" s="141">
        <f ca="1">IFERROR(__xludf.DUMMYFUNCTION("""COMPUTED_VALUE"""),95.96)</f>
        <v>95.96</v>
      </c>
      <c r="G180" s="143">
        <f ca="1">IFERROR(__xludf.DUMMYFUNCTION("""COMPUTED_VALUE"""),21921615)</f>
        <v>21921615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IFERROR(__xludf.DUMMYFUNCTION("""COMPUTED_VALUE"""),96.06)</f>
        <v>96.06</v>
      </c>
      <c r="D181" s="141">
        <f ca="1">IFERROR(__xludf.DUMMYFUNCTION("""COMPUTED_VALUE"""),96.5)</f>
        <v>96.5</v>
      </c>
      <c r="E181" s="141">
        <f ca="1">IFERROR(__xludf.DUMMYFUNCTION("""COMPUTED_VALUE"""),95.94)</f>
        <v>95.94</v>
      </c>
      <c r="F181" s="141">
        <f ca="1">IFERROR(__xludf.DUMMYFUNCTION("""COMPUTED_VALUE"""),95.95)</f>
        <v>95.95</v>
      </c>
      <c r="G181" s="143">
        <f ca="1">IFERROR(__xludf.DUMMYFUNCTION("""COMPUTED_VALUE"""),13627690)</f>
        <v>13627690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IFERROR(__xludf.DUMMYFUNCTION("""COMPUTED_VALUE"""),96.11)</f>
        <v>96.11</v>
      </c>
      <c r="D182" s="141">
        <f ca="1">IFERROR(__xludf.DUMMYFUNCTION("""COMPUTED_VALUE"""),96.11)</f>
        <v>96.11</v>
      </c>
      <c r="E182" s="141">
        <f ca="1">IFERROR(__xludf.DUMMYFUNCTION("""COMPUTED_VALUE"""),95.6)</f>
        <v>95.6</v>
      </c>
      <c r="F182" s="141">
        <f ca="1">IFERROR(__xludf.DUMMYFUNCTION("""COMPUTED_VALUE"""),95.64)</f>
        <v>95.64</v>
      </c>
      <c r="G182" s="143">
        <f ca="1">IFERROR(__xludf.DUMMYFUNCTION("""COMPUTED_VALUE"""),14478794)</f>
        <v>14478794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IFERROR(__xludf.DUMMYFUNCTION("""COMPUTED_VALUE"""),95.28)</f>
        <v>95.28</v>
      </c>
      <c r="D183" s="141">
        <f ca="1">IFERROR(__xludf.DUMMYFUNCTION("""COMPUTED_VALUE"""),95.36)</f>
        <v>95.36</v>
      </c>
      <c r="E183" s="141">
        <f ca="1">IFERROR(__xludf.DUMMYFUNCTION("""COMPUTED_VALUE"""),94.84)</f>
        <v>94.84</v>
      </c>
      <c r="F183" s="141">
        <f ca="1">IFERROR(__xludf.DUMMYFUNCTION("""COMPUTED_VALUE"""),94.84)</f>
        <v>94.84</v>
      </c>
      <c r="G183" s="143">
        <f ca="1">IFERROR(__xludf.DUMMYFUNCTION("""COMPUTED_VALUE"""),39159988)</f>
        <v>39159988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IFERROR(__xludf.DUMMYFUNCTION("""COMPUTED_VALUE"""),95.06)</f>
        <v>95.06</v>
      </c>
      <c r="D184" s="141">
        <f ca="1">IFERROR(__xludf.DUMMYFUNCTION("""COMPUTED_VALUE"""),95.27)</f>
        <v>95.27</v>
      </c>
      <c r="E184" s="141">
        <f ca="1">IFERROR(__xludf.DUMMYFUNCTION("""COMPUTED_VALUE"""),94.35)</f>
        <v>94.35</v>
      </c>
      <c r="F184" s="141">
        <f ca="1">IFERROR(__xludf.DUMMYFUNCTION("""COMPUTED_VALUE"""),94.38)</f>
        <v>94.38</v>
      </c>
      <c r="G184" s="143">
        <f ca="1">IFERROR(__xludf.DUMMYFUNCTION("""COMPUTED_VALUE"""),20572136)</f>
        <v>20572136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IFERROR(__xludf.DUMMYFUNCTION("""COMPUTED_VALUE"""),94.56)</f>
        <v>94.56</v>
      </c>
      <c r="D185" s="141">
        <f ca="1">IFERROR(__xludf.DUMMYFUNCTION("""COMPUTED_VALUE"""),94.96)</f>
        <v>94.96</v>
      </c>
      <c r="E185" s="141">
        <f ca="1">IFERROR(__xludf.DUMMYFUNCTION("""COMPUTED_VALUE"""),94.56)</f>
        <v>94.56</v>
      </c>
      <c r="F185" s="141">
        <f ca="1">IFERROR(__xludf.DUMMYFUNCTION("""COMPUTED_VALUE"""),94.75)</f>
        <v>94.75</v>
      </c>
      <c r="G185" s="143">
        <f ca="1">IFERROR(__xludf.DUMMYFUNCTION("""COMPUTED_VALUE"""),11271569)</f>
        <v>11271569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IFERROR(__xludf.DUMMYFUNCTION("""COMPUTED_VALUE"""),95.03)</f>
        <v>95.03</v>
      </c>
      <c r="D186" s="141">
        <f ca="1">IFERROR(__xludf.DUMMYFUNCTION("""COMPUTED_VALUE"""),95.24)</f>
        <v>95.24</v>
      </c>
      <c r="E186" s="141">
        <f ca="1">IFERROR(__xludf.DUMMYFUNCTION("""COMPUTED_VALUE"""),95.01)</f>
        <v>95.01</v>
      </c>
      <c r="F186" s="141">
        <f ca="1">IFERROR(__xludf.DUMMYFUNCTION("""COMPUTED_VALUE"""),95.1)</f>
        <v>95.1</v>
      </c>
      <c r="G186" s="143">
        <f ca="1">IFERROR(__xludf.DUMMYFUNCTION("""COMPUTED_VALUE"""),10304438)</f>
        <v>10304438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IFERROR(__xludf.DUMMYFUNCTION("""COMPUTED_VALUE"""),95.01)</f>
        <v>95.01</v>
      </c>
      <c r="D187" s="141">
        <f ca="1">IFERROR(__xludf.DUMMYFUNCTION("""COMPUTED_VALUE"""),95.05)</f>
        <v>95.05</v>
      </c>
      <c r="E187" s="141">
        <f ca="1">IFERROR(__xludf.DUMMYFUNCTION("""COMPUTED_VALUE"""),94.36)</f>
        <v>94.36</v>
      </c>
      <c r="F187" s="141">
        <f ca="1">IFERROR(__xludf.DUMMYFUNCTION("""COMPUTED_VALUE"""),94.36)</f>
        <v>94.36</v>
      </c>
      <c r="G187" s="143">
        <f ca="1">IFERROR(__xludf.DUMMYFUNCTION("""COMPUTED_VALUE"""),12867811)</f>
        <v>12867811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IFERROR(__xludf.DUMMYFUNCTION("""COMPUTED_VALUE"""),93.93)</f>
        <v>93.93</v>
      </c>
      <c r="D188" s="141">
        <f ca="1">IFERROR(__xludf.DUMMYFUNCTION("""COMPUTED_VALUE"""),94.69)</f>
        <v>94.69</v>
      </c>
      <c r="E188" s="141">
        <f ca="1">IFERROR(__xludf.DUMMYFUNCTION("""COMPUTED_VALUE"""),93.86)</f>
        <v>93.86</v>
      </c>
      <c r="F188" s="141">
        <f ca="1">IFERROR(__xludf.DUMMYFUNCTION("""COMPUTED_VALUE"""),94.63)</f>
        <v>94.63</v>
      </c>
      <c r="G188" s="143">
        <f ca="1">IFERROR(__xludf.DUMMYFUNCTION("""COMPUTED_VALUE"""),15194733)</f>
        <v>15194733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IFERROR(__xludf.DUMMYFUNCTION("""COMPUTED_VALUE"""),94.31)</f>
        <v>94.31</v>
      </c>
      <c r="D189" s="141">
        <f ca="1">IFERROR(__xludf.DUMMYFUNCTION("""COMPUTED_VALUE"""),94.35)</f>
        <v>94.35</v>
      </c>
      <c r="E189" s="141">
        <f ca="1">IFERROR(__xludf.DUMMYFUNCTION("""COMPUTED_VALUE"""),93.1)</f>
        <v>93.1</v>
      </c>
      <c r="F189" s="141">
        <f ca="1">IFERROR(__xludf.DUMMYFUNCTION("""COMPUTED_VALUE"""),93.15)</f>
        <v>93.15</v>
      </c>
      <c r="G189" s="143">
        <f ca="1">IFERROR(__xludf.DUMMYFUNCTION("""COMPUTED_VALUE"""),13837343)</f>
        <v>13837343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IFERROR(__xludf.DUMMYFUNCTION("""COMPUTED_VALUE"""),93.52)</f>
        <v>93.52</v>
      </c>
      <c r="D190" s="141">
        <f ca="1">IFERROR(__xludf.DUMMYFUNCTION("""COMPUTED_VALUE"""),94.35)</f>
        <v>94.35</v>
      </c>
      <c r="E190" s="141">
        <f ca="1">IFERROR(__xludf.DUMMYFUNCTION("""COMPUTED_VALUE"""),93.45)</f>
        <v>93.45</v>
      </c>
      <c r="F190" s="141">
        <f ca="1">IFERROR(__xludf.DUMMYFUNCTION("""COMPUTED_VALUE"""),94.06)</f>
        <v>94.06</v>
      </c>
      <c r="G190" s="143">
        <f ca="1">IFERROR(__xludf.DUMMYFUNCTION("""COMPUTED_VALUE"""),24642041)</f>
        <v>24642041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IFERROR(__xludf.DUMMYFUNCTION("""COMPUTED_VALUE"""),93.68)</f>
        <v>93.68</v>
      </c>
      <c r="D191" s="141">
        <f ca="1">IFERROR(__xludf.DUMMYFUNCTION("""COMPUTED_VALUE"""),93.93)</f>
        <v>93.93</v>
      </c>
      <c r="E191" s="141">
        <f ca="1">IFERROR(__xludf.DUMMYFUNCTION("""COMPUTED_VALUE"""),93.4)</f>
        <v>93.4</v>
      </c>
      <c r="F191" s="141">
        <f ca="1">IFERROR(__xludf.DUMMYFUNCTION("""COMPUTED_VALUE"""),93.58)</f>
        <v>93.58</v>
      </c>
      <c r="G191" s="143">
        <f ca="1">IFERROR(__xludf.DUMMYFUNCTION("""COMPUTED_VALUE"""),12780054)</f>
        <v>12780054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IFERROR(__xludf.DUMMYFUNCTION("""COMPUTED_VALUE"""),94.3)</f>
        <v>94.3</v>
      </c>
      <c r="D192" s="141">
        <f ca="1">IFERROR(__xludf.DUMMYFUNCTION("""COMPUTED_VALUE"""),94.55)</f>
        <v>94.55</v>
      </c>
      <c r="E192" s="141">
        <f ca="1">IFERROR(__xludf.DUMMYFUNCTION("""COMPUTED_VALUE"""),94.15)</f>
        <v>94.15</v>
      </c>
      <c r="F192" s="141">
        <f ca="1">IFERROR(__xludf.DUMMYFUNCTION("""COMPUTED_VALUE"""),94.43)</f>
        <v>94.43</v>
      </c>
      <c r="G192" s="143">
        <f ca="1">IFERROR(__xludf.DUMMYFUNCTION("""COMPUTED_VALUE"""),14139304)</f>
        <v>14139304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IFERROR(__xludf.DUMMYFUNCTION("""COMPUTED_VALUE"""),94.29)</f>
        <v>94.29</v>
      </c>
      <c r="D193" s="141">
        <f ca="1">IFERROR(__xludf.DUMMYFUNCTION("""COMPUTED_VALUE"""),94.32)</f>
        <v>94.32</v>
      </c>
      <c r="E193" s="141">
        <f ca="1">IFERROR(__xludf.DUMMYFUNCTION("""COMPUTED_VALUE"""),93.43)</f>
        <v>93.43</v>
      </c>
      <c r="F193" s="141">
        <f ca="1">IFERROR(__xludf.DUMMYFUNCTION("""COMPUTED_VALUE"""),93.46)</f>
        <v>93.46</v>
      </c>
      <c r="G193" s="143">
        <f ca="1">IFERROR(__xludf.DUMMYFUNCTION("""COMPUTED_VALUE"""),16244202)</f>
        <v>16244202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IFERROR(__xludf.DUMMYFUNCTION("""COMPUTED_VALUE"""),93.18)</f>
        <v>93.18</v>
      </c>
      <c r="D194" s="141">
        <f ca="1">IFERROR(__xludf.DUMMYFUNCTION("""COMPUTED_VALUE"""),93.33)</f>
        <v>93.33</v>
      </c>
      <c r="E194" s="141">
        <f ca="1">IFERROR(__xludf.DUMMYFUNCTION("""COMPUTED_VALUE"""),92.87)</f>
        <v>92.87</v>
      </c>
      <c r="F194" s="141">
        <f ca="1">IFERROR(__xludf.DUMMYFUNCTION("""COMPUTED_VALUE"""),92.95)</f>
        <v>92.95</v>
      </c>
      <c r="G194" s="143">
        <f ca="1">IFERROR(__xludf.DUMMYFUNCTION("""COMPUTED_VALUE"""),15107135)</f>
        <v>15107135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IFERROR(__xludf.DUMMYFUNCTION("""COMPUTED_VALUE"""),93.27)</f>
        <v>93.27</v>
      </c>
      <c r="D195" s="141">
        <f ca="1">IFERROR(__xludf.DUMMYFUNCTION("""COMPUTED_VALUE"""),93.43)</f>
        <v>93.43</v>
      </c>
      <c r="E195" s="141">
        <f ca="1">IFERROR(__xludf.DUMMYFUNCTION("""COMPUTED_VALUE"""),92.88)</f>
        <v>92.88</v>
      </c>
      <c r="F195" s="141">
        <f ca="1">IFERROR(__xludf.DUMMYFUNCTION("""COMPUTED_VALUE"""),93.11)</f>
        <v>93.11</v>
      </c>
      <c r="G195" s="143">
        <f ca="1">IFERROR(__xludf.DUMMYFUNCTION("""COMPUTED_VALUE"""),12637941)</f>
        <v>12637941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IFERROR(__xludf.DUMMYFUNCTION("""COMPUTED_VALUE"""),93.6)</f>
        <v>93.6</v>
      </c>
      <c r="D196" s="141">
        <f ca="1">IFERROR(__xludf.DUMMYFUNCTION("""COMPUTED_VALUE"""),94.22)</f>
        <v>94.22</v>
      </c>
      <c r="E196" s="141">
        <f ca="1">IFERROR(__xludf.DUMMYFUNCTION("""COMPUTED_VALUE"""),93.3)</f>
        <v>93.3</v>
      </c>
      <c r="F196" s="141">
        <f ca="1">IFERROR(__xludf.DUMMYFUNCTION("""COMPUTED_VALUE"""),93.93)</f>
        <v>93.93</v>
      </c>
      <c r="G196" s="143">
        <f ca="1">IFERROR(__xludf.DUMMYFUNCTION("""COMPUTED_VALUE"""),17521130)</f>
        <v>17521130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IFERROR(__xludf.DUMMYFUNCTION("""COMPUTED_VALUE"""),93.83)</f>
        <v>93.83</v>
      </c>
      <c r="D197" s="141">
        <f ca="1">IFERROR(__xludf.DUMMYFUNCTION("""COMPUTED_VALUE"""),94.12)</f>
        <v>94.12</v>
      </c>
      <c r="E197" s="141">
        <f ca="1">IFERROR(__xludf.DUMMYFUNCTION("""COMPUTED_VALUE"""),93.73)</f>
        <v>93.73</v>
      </c>
      <c r="F197" s="141">
        <f ca="1">IFERROR(__xludf.DUMMYFUNCTION("""COMPUTED_VALUE"""),93.86)</f>
        <v>93.86</v>
      </c>
      <c r="G197" s="143">
        <f ca="1">IFERROR(__xludf.DUMMYFUNCTION("""COMPUTED_VALUE"""),13253777)</f>
        <v>13253777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IFERROR(__xludf.DUMMYFUNCTION("""COMPUTED_VALUE"""),93.55)</f>
        <v>93.55</v>
      </c>
      <c r="D198" s="141">
        <f ca="1">IFERROR(__xludf.DUMMYFUNCTION("""COMPUTED_VALUE"""),94.12)</f>
        <v>94.12</v>
      </c>
      <c r="E198" s="141">
        <f ca="1">IFERROR(__xludf.DUMMYFUNCTION("""COMPUTED_VALUE"""),93.43)</f>
        <v>93.43</v>
      </c>
      <c r="F198" s="141">
        <f ca="1">IFERROR(__xludf.DUMMYFUNCTION("""COMPUTED_VALUE"""),93.97)</f>
        <v>93.97</v>
      </c>
      <c r="G198" s="143">
        <f ca="1">IFERROR(__xludf.DUMMYFUNCTION("""COMPUTED_VALUE"""),9752606)</f>
        <v>9752606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IFERROR(__xludf.DUMMYFUNCTION("""COMPUTED_VALUE"""),93.82)</f>
        <v>93.82</v>
      </c>
      <c r="D199" s="141">
        <f ca="1">IFERROR(__xludf.DUMMYFUNCTION("""COMPUTED_VALUE"""),94.06)</f>
        <v>94.06</v>
      </c>
      <c r="E199" s="141">
        <f ca="1">IFERROR(__xludf.DUMMYFUNCTION("""COMPUTED_VALUE"""),93.76)</f>
        <v>93.76</v>
      </c>
      <c r="F199" s="141">
        <f ca="1">IFERROR(__xludf.DUMMYFUNCTION("""COMPUTED_VALUE"""),93.94)</f>
        <v>93.94</v>
      </c>
      <c r="G199" s="143">
        <f ca="1">IFERROR(__xludf.DUMMYFUNCTION("""COMPUTED_VALUE"""),4038822)</f>
        <v>4038822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IFERROR(__xludf.DUMMYFUNCTION("""COMPUTED_VALUE"""),93.94)</f>
        <v>93.94</v>
      </c>
      <c r="D200" s="141">
        <f ca="1">IFERROR(__xludf.DUMMYFUNCTION("""COMPUTED_VALUE"""),94.05)</f>
        <v>94.05</v>
      </c>
      <c r="E200" s="141">
        <f ca="1">IFERROR(__xludf.DUMMYFUNCTION("""COMPUTED_VALUE"""),93.41)</f>
        <v>93.41</v>
      </c>
      <c r="F200" s="141">
        <f ca="1">IFERROR(__xludf.DUMMYFUNCTION("""COMPUTED_VALUE"""),93.99)</f>
        <v>93.99</v>
      </c>
      <c r="G200" s="143">
        <f ca="1">IFERROR(__xludf.DUMMYFUNCTION("""COMPUTED_VALUE"""),6875871)</f>
        <v>6875871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IFERROR(__xludf.DUMMYFUNCTION("""COMPUTED_VALUE"""),95.46)</f>
        <v>95.46</v>
      </c>
      <c r="D201" s="141">
        <f ca="1">IFERROR(__xludf.DUMMYFUNCTION("""COMPUTED_VALUE"""),95.61)</f>
        <v>95.61</v>
      </c>
      <c r="E201" s="141">
        <f ca="1">IFERROR(__xludf.DUMMYFUNCTION("""COMPUTED_VALUE"""),94.94)</f>
        <v>94.94</v>
      </c>
      <c r="F201" s="141">
        <f ca="1">IFERROR(__xludf.DUMMYFUNCTION("""COMPUTED_VALUE"""),95.11)</f>
        <v>95.11</v>
      </c>
      <c r="G201" s="143">
        <f ca="1">IFERROR(__xludf.DUMMYFUNCTION("""COMPUTED_VALUE"""),10216236)</f>
        <v>10216236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IFERROR(__xludf.DUMMYFUNCTION("""COMPUTED_VALUE"""),95.08)</f>
        <v>95.08</v>
      </c>
      <c r="D202" s="141">
        <f ca="1">IFERROR(__xludf.DUMMYFUNCTION("""COMPUTED_VALUE"""),95.74)</f>
        <v>95.74</v>
      </c>
      <c r="E202" s="141">
        <f ca="1">IFERROR(__xludf.DUMMYFUNCTION("""COMPUTED_VALUE"""),94.91)</f>
        <v>94.91</v>
      </c>
      <c r="F202" s="141">
        <f ca="1">IFERROR(__xludf.DUMMYFUNCTION("""COMPUTED_VALUE"""),95.51)</f>
        <v>95.51</v>
      </c>
      <c r="G202" s="143">
        <f ca="1">IFERROR(__xludf.DUMMYFUNCTION("""COMPUTED_VALUE"""),8487576)</f>
        <v>8487576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IFERROR(__xludf.DUMMYFUNCTION("""COMPUTED_VALUE"""),95.73)</f>
        <v>95.73</v>
      </c>
      <c r="D203" s="141">
        <f ca="1">IFERROR(__xludf.DUMMYFUNCTION("""COMPUTED_VALUE"""),95.75)</f>
        <v>95.75</v>
      </c>
      <c r="E203" s="141">
        <f ca="1">IFERROR(__xludf.DUMMYFUNCTION("""COMPUTED_VALUE"""),95.34)</f>
        <v>95.34</v>
      </c>
      <c r="F203" s="141">
        <f ca="1">IFERROR(__xludf.DUMMYFUNCTION("""COMPUTED_VALUE"""),95.5)</f>
        <v>95.5</v>
      </c>
      <c r="G203" s="143">
        <f ca="1">IFERROR(__xludf.DUMMYFUNCTION("""COMPUTED_VALUE"""),7361326)</f>
        <v>7361326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IFERROR(__xludf.DUMMYFUNCTION("""COMPUTED_VALUE"""),95.51)</f>
        <v>95.51</v>
      </c>
      <c r="D204" s="141">
        <f ca="1">IFERROR(__xludf.DUMMYFUNCTION("""COMPUTED_VALUE"""),96.03)</f>
        <v>96.03</v>
      </c>
      <c r="E204" s="141">
        <f ca="1">IFERROR(__xludf.DUMMYFUNCTION("""COMPUTED_VALUE"""),95.37)</f>
        <v>95.37</v>
      </c>
      <c r="F204" s="141">
        <f ca="1">IFERROR(__xludf.DUMMYFUNCTION("""COMPUTED_VALUE"""),96.03)</f>
        <v>96.03</v>
      </c>
      <c r="G204" s="143">
        <f ca="1">IFERROR(__xludf.DUMMYFUNCTION("""COMPUTED_VALUE"""),7197458)</f>
        <v>7197458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IFERROR(__xludf.DUMMYFUNCTION("""COMPUTED_VALUE"""),96.22)</f>
        <v>96.22</v>
      </c>
      <c r="D205" s="141">
        <f ca="1">IFERROR(__xludf.DUMMYFUNCTION("""COMPUTED_VALUE"""),96.56)</f>
        <v>96.56</v>
      </c>
      <c r="E205" s="141">
        <f ca="1">IFERROR(__xludf.DUMMYFUNCTION("""COMPUTED_VALUE"""),96.11)</f>
        <v>96.11</v>
      </c>
      <c r="F205" s="141">
        <f ca="1">IFERROR(__xludf.DUMMYFUNCTION("""COMPUTED_VALUE"""),96.46)</f>
        <v>96.46</v>
      </c>
      <c r="G205" s="143">
        <f ca="1">IFERROR(__xludf.DUMMYFUNCTION("""COMPUTED_VALUE"""),5340593)</f>
        <v>5340593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IFERROR(__xludf.DUMMYFUNCTION("""COMPUTED_VALUE"""),96.21)</f>
        <v>96.21</v>
      </c>
      <c r="D206" s="141">
        <f ca="1">IFERROR(__xludf.DUMMYFUNCTION("""COMPUTED_VALUE"""),96.42)</f>
        <v>96.42</v>
      </c>
      <c r="E206" s="141">
        <f ca="1">IFERROR(__xludf.DUMMYFUNCTION("""COMPUTED_VALUE"""),96.14)</f>
        <v>96.14</v>
      </c>
      <c r="F206" s="141">
        <f ca="1">IFERROR(__xludf.DUMMYFUNCTION("""COMPUTED_VALUE"""),96.25)</f>
        <v>96.25</v>
      </c>
      <c r="G206" s="143">
        <f ca="1">IFERROR(__xludf.DUMMYFUNCTION("""COMPUTED_VALUE"""),5839991)</f>
        <v>5839991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IFERROR(__xludf.DUMMYFUNCTION("""COMPUTED_VALUE"""),96.27)</f>
        <v>96.27</v>
      </c>
      <c r="D207" s="141">
        <f ca="1">IFERROR(__xludf.DUMMYFUNCTION("""COMPUTED_VALUE"""),96.27)</f>
        <v>96.27</v>
      </c>
      <c r="E207" s="141">
        <f ca="1">IFERROR(__xludf.DUMMYFUNCTION("""COMPUTED_VALUE"""),95.8)</f>
        <v>95.8</v>
      </c>
      <c r="F207" s="141">
        <f ca="1">IFERROR(__xludf.DUMMYFUNCTION("""COMPUTED_VALUE"""),95.95)</f>
        <v>95.95</v>
      </c>
      <c r="G207" s="143">
        <f ca="1">IFERROR(__xludf.DUMMYFUNCTION("""COMPUTED_VALUE"""),5145730)</f>
        <v>5145730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IFERROR(__xludf.DUMMYFUNCTION("""COMPUTED_VALUE"""),96.7)</f>
        <v>96.7</v>
      </c>
      <c r="D208" s="141">
        <f ca="1">IFERROR(__xludf.DUMMYFUNCTION("""COMPUTED_VALUE"""),96.93)</f>
        <v>96.93</v>
      </c>
      <c r="E208" s="141">
        <f ca="1">IFERROR(__xludf.DUMMYFUNCTION("""COMPUTED_VALUE"""),96.48)</f>
        <v>96.48</v>
      </c>
      <c r="F208" s="141">
        <f ca="1">IFERROR(__xludf.DUMMYFUNCTION("""COMPUTED_VALUE"""),96.67)</f>
        <v>96.67</v>
      </c>
      <c r="G208" s="143">
        <f ca="1">IFERROR(__xludf.DUMMYFUNCTION("""COMPUTED_VALUE"""),6010288)</f>
        <v>6010288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IFERROR(__xludf.DUMMYFUNCTION("""COMPUTED_VALUE"""),96.62)</f>
        <v>96.62</v>
      </c>
      <c r="D209" s="141">
        <f ca="1">IFERROR(__xludf.DUMMYFUNCTION("""COMPUTED_VALUE"""),96.72)</f>
        <v>96.72</v>
      </c>
      <c r="E209" s="141">
        <f ca="1">IFERROR(__xludf.DUMMYFUNCTION("""COMPUTED_VALUE"""),96.47)</f>
        <v>96.47</v>
      </c>
      <c r="F209" s="141">
        <f ca="1">IFERROR(__xludf.DUMMYFUNCTION("""COMPUTED_VALUE"""),96.59)</f>
        <v>96.59</v>
      </c>
      <c r="G209" s="143">
        <f ca="1">IFERROR(__xludf.DUMMYFUNCTION("""COMPUTED_VALUE"""),4514149)</f>
        <v>4514149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IFERROR(__xludf.DUMMYFUNCTION("""COMPUTED_VALUE"""),96.49)</f>
        <v>96.49</v>
      </c>
      <c r="D210" s="141">
        <f ca="1">IFERROR(__xludf.DUMMYFUNCTION("""COMPUTED_VALUE"""),96.56)</f>
        <v>96.56</v>
      </c>
      <c r="E210" s="141">
        <f ca="1">IFERROR(__xludf.DUMMYFUNCTION("""COMPUTED_VALUE"""),96.12)</f>
        <v>96.12</v>
      </c>
      <c r="F210" s="141">
        <f ca="1">IFERROR(__xludf.DUMMYFUNCTION("""COMPUTED_VALUE"""),96.13)</f>
        <v>96.13</v>
      </c>
      <c r="G210" s="143">
        <f ca="1">IFERROR(__xludf.DUMMYFUNCTION("""COMPUTED_VALUE"""),4455929)</f>
        <v>4455929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IFERROR(__xludf.DUMMYFUNCTION("""COMPUTED_VALUE"""),96.5)</f>
        <v>96.5</v>
      </c>
      <c r="D211" s="141">
        <f ca="1">IFERROR(__xludf.DUMMYFUNCTION("""COMPUTED_VALUE"""),96.54)</f>
        <v>96.54</v>
      </c>
      <c r="E211" s="141">
        <f ca="1">IFERROR(__xludf.DUMMYFUNCTION("""COMPUTED_VALUE"""),96.2)</f>
        <v>96.2</v>
      </c>
      <c r="F211" s="141">
        <f ca="1">IFERROR(__xludf.DUMMYFUNCTION("""COMPUTED_VALUE"""),96.38)</f>
        <v>96.38</v>
      </c>
      <c r="G211" s="143">
        <f ca="1">IFERROR(__xludf.DUMMYFUNCTION("""COMPUTED_VALUE"""),5613545)</f>
        <v>5613545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IFERROR(__xludf.DUMMYFUNCTION("""COMPUTED_VALUE"""),96.32)</f>
        <v>96.32</v>
      </c>
      <c r="D212" s="141">
        <f ca="1">IFERROR(__xludf.DUMMYFUNCTION("""COMPUTED_VALUE"""),96.45)</f>
        <v>96.45</v>
      </c>
      <c r="E212" s="141">
        <f ca="1">IFERROR(__xludf.DUMMYFUNCTION("""COMPUTED_VALUE"""),95.73)</f>
        <v>95.73</v>
      </c>
      <c r="F212" s="141">
        <f ca="1">IFERROR(__xludf.DUMMYFUNCTION("""COMPUTED_VALUE"""),95.93)</f>
        <v>95.93</v>
      </c>
      <c r="G212" s="143">
        <f ca="1">IFERROR(__xludf.DUMMYFUNCTION("""COMPUTED_VALUE"""),9456451)</f>
        <v>9456451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IFERROR(__xludf.DUMMYFUNCTION("""COMPUTED_VALUE"""),96.16)</f>
        <v>96.16</v>
      </c>
      <c r="D213" s="141">
        <f ca="1">IFERROR(__xludf.DUMMYFUNCTION("""COMPUTED_VALUE"""),96.23)</f>
        <v>96.23</v>
      </c>
      <c r="E213" s="141">
        <f ca="1">IFERROR(__xludf.DUMMYFUNCTION("""COMPUTED_VALUE"""),95.87)</f>
        <v>95.87</v>
      </c>
      <c r="F213" s="141">
        <f ca="1">IFERROR(__xludf.DUMMYFUNCTION("""COMPUTED_VALUE"""),96.2)</f>
        <v>96.2</v>
      </c>
      <c r="G213" s="143">
        <f ca="1">IFERROR(__xludf.DUMMYFUNCTION("""COMPUTED_VALUE"""),7559072)</f>
        <v>7559072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IFERROR(__xludf.DUMMYFUNCTION("""COMPUTED_VALUE"""),96.14)</f>
        <v>96.14</v>
      </c>
      <c r="D214" s="141">
        <f ca="1">IFERROR(__xludf.DUMMYFUNCTION("""COMPUTED_VALUE"""),96.2)</f>
        <v>96.2</v>
      </c>
      <c r="E214" s="141">
        <f ca="1">IFERROR(__xludf.DUMMYFUNCTION("""COMPUTED_VALUE"""),95.94)</f>
        <v>95.94</v>
      </c>
      <c r="F214" s="141">
        <f ca="1">IFERROR(__xludf.DUMMYFUNCTION("""COMPUTED_VALUE"""),96.03)</f>
        <v>96.03</v>
      </c>
      <c r="G214" s="143">
        <f ca="1">IFERROR(__xludf.DUMMYFUNCTION("""COMPUTED_VALUE"""),4898161)</f>
        <v>4898161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IFERROR(__xludf.DUMMYFUNCTION("""COMPUTED_VALUE"""),95.73)</f>
        <v>95.73</v>
      </c>
      <c r="D215" s="141">
        <f ca="1">IFERROR(__xludf.DUMMYFUNCTION("""COMPUTED_VALUE"""),95.95)</f>
        <v>95.95</v>
      </c>
      <c r="E215" s="141">
        <f ca="1">IFERROR(__xludf.DUMMYFUNCTION("""COMPUTED_VALUE"""),95.65)</f>
        <v>95.65</v>
      </c>
      <c r="F215" s="141">
        <f ca="1">IFERROR(__xludf.DUMMYFUNCTION("""COMPUTED_VALUE"""),95.95)</f>
        <v>95.95</v>
      </c>
      <c r="G215" s="143">
        <f ca="1">IFERROR(__xludf.DUMMYFUNCTION("""COMPUTED_VALUE"""),6547425)</f>
        <v>6547425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IFERROR(__xludf.DUMMYFUNCTION("""COMPUTED_VALUE"""),95.71)</f>
        <v>95.71</v>
      </c>
      <c r="D216" s="141">
        <f ca="1">IFERROR(__xludf.DUMMYFUNCTION("""COMPUTED_VALUE"""),95.83)</f>
        <v>95.83</v>
      </c>
      <c r="E216" s="141">
        <f ca="1">IFERROR(__xludf.DUMMYFUNCTION("""COMPUTED_VALUE"""),95.33)</f>
        <v>95.33</v>
      </c>
      <c r="F216" s="141">
        <f ca="1">IFERROR(__xludf.DUMMYFUNCTION("""COMPUTED_VALUE"""),95.5)</f>
        <v>95.5</v>
      </c>
      <c r="G216" s="143">
        <f ca="1">IFERROR(__xludf.DUMMYFUNCTION("""COMPUTED_VALUE"""),6457244)</f>
        <v>6457244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IFERROR(__xludf.DUMMYFUNCTION("""COMPUTED_VALUE"""),95.71)</f>
        <v>95.71</v>
      </c>
      <c r="D217" s="141">
        <f ca="1">IFERROR(__xludf.DUMMYFUNCTION("""COMPUTED_VALUE"""),95.93)</f>
        <v>95.93</v>
      </c>
      <c r="E217" s="141">
        <f ca="1">IFERROR(__xludf.DUMMYFUNCTION("""COMPUTED_VALUE"""),95.62)</f>
        <v>95.62</v>
      </c>
      <c r="F217" s="141">
        <f ca="1">IFERROR(__xludf.DUMMYFUNCTION("""COMPUTED_VALUE"""),95.8)</f>
        <v>95.8</v>
      </c>
      <c r="G217" s="143">
        <f ca="1">IFERROR(__xludf.DUMMYFUNCTION("""COMPUTED_VALUE"""),9821564)</f>
        <v>9821564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IFERROR(__xludf.DUMMYFUNCTION("""COMPUTED_VALUE"""),95.63)</f>
        <v>95.63</v>
      </c>
      <c r="D218" s="141">
        <f ca="1">IFERROR(__xludf.DUMMYFUNCTION("""COMPUTED_VALUE"""),95.92)</f>
        <v>95.92</v>
      </c>
      <c r="E218" s="141">
        <f ca="1">IFERROR(__xludf.DUMMYFUNCTION("""COMPUTED_VALUE"""),95.55)</f>
        <v>95.55</v>
      </c>
      <c r="F218" s="141">
        <f ca="1">IFERROR(__xludf.DUMMYFUNCTION("""COMPUTED_VALUE"""),95.57)</f>
        <v>95.57</v>
      </c>
      <c r="G218" s="143">
        <f ca="1">IFERROR(__xludf.DUMMYFUNCTION("""COMPUTED_VALUE"""),8328575)</f>
        <v>8328575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IFERROR(__xludf.DUMMYFUNCTION("""COMPUTED_VALUE"""),95.57)</f>
        <v>95.57</v>
      </c>
      <c r="D219" s="141">
        <f ca="1">IFERROR(__xludf.DUMMYFUNCTION("""COMPUTED_VALUE"""),95.57)</f>
        <v>95.57</v>
      </c>
      <c r="E219" s="141">
        <f ca="1">IFERROR(__xludf.DUMMYFUNCTION("""COMPUTED_VALUE"""),94.82)</f>
        <v>94.82</v>
      </c>
      <c r="F219" s="141">
        <f ca="1">IFERROR(__xludf.DUMMYFUNCTION("""COMPUTED_VALUE"""),95.08)</f>
        <v>95.08</v>
      </c>
      <c r="G219" s="143">
        <f ca="1">IFERROR(__xludf.DUMMYFUNCTION("""COMPUTED_VALUE"""),9252331)</f>
        <v>9252331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IFERROR(__xludf.DUMMYFUNCTION("""COMPUTED_VALUE"""),95.41)</f>
        <v>95.41</v>
      </c>
      <c r="D220" s="141">
        <f ca="1">IFERROR(__xludf.DUMMYFUNCTION("""COMPUTED_VALUE"""),95.56)</f>
        <v>95.56</v>
      </c>
      <c r="E220" s="141">
        <f ca="1">IFERROR(__xludf.DUMMYFUNCTION("""COMPUTED_VALUE"""),95.19)</f>
        <v>95.19</v>
      </c>
      <c r="F220" s="141">
        <f ca="1">IFERROR(__xludf.DUMMYFUNCTION("""COMPUTED_VALUE"""),95.52)</f>
        <v>95.52</v>
      </c>
      <c r="G220" s="143">
        <f ca="1">IFERROR(__xludf.DUMMYFUNCTION("""COMPUTED_VALUE"""),6227164)</f>
        <v>6227164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IFERROR(__xludf.DUMMYFUNCTION("""COMPUTED_VALUE"""),96.1)</f>
        <v>96.1</v>
      </c>
      <c r="D221" s="141">
        <f ca="1">IFERROR(__xludf.DUMMYFUNCTION("""COMPUTED_VALUE"""),96.29)</f>
        <v>96.29</v>
      </c>
      <c r="E221" s="141">
        <f ca="1">IFERROR(__xludf.DUMMYFUNCTION("""COMPUTED_VALUE"""),96.06)</f>
        <v>96.06</v>
      </c>
      <c r="F221" s="141">
        <f ca="1">IFERROR(__xludf.DUMMYFUNCTION("""COMPUTED_VALUE"""),96.27)</f>
        <v>96.27</v>
      </c>
      <c r="G221" s="143">
        <f ca="1">IFERROR(__xludf.DUMMYFUNCTION("""COMPUTED_VALUE"""),6394309)</f>
        <v>6394309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IFERROR(__xludf.DUMMYFUNCTION("""COMPUTED_VALUE"""),96.41)</f>
        <v>96.41</v>
      </c>
      <c r="D222" s="141">
        <f ca="1">IFERROR(__xludf.DUMMYFUNCTION("""COMPUTED_VALUE"""),96.42)</f>
        <v>96.42</v>
      </c>
      <c r="E222" s="141">
        <f ca="1">IFERROR(__xludf.DUMMYFUNCTION("""COMPUTED_VALUE"""),95.85)</f>
        <v>95.85</v>
      </c>
      <c r="F222" s="141">
        <f ca="1">IFERROR(__xludf.DUMMYFUNCTION("""COMPUTED_VALUE"""),95.9)</f>
        <v>95.9</v>
      </c>
      <c r="G222" s="143">
        <f ca="1">IFERROR(__xludf.DUMMYFUNCTION("""COMPUTED_VALUE"""),4231283)</f>
        <v>4231283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IFERROR(__xludf.DUMMYFUNCTION("""COMPUTED_VALUE"""),96.18)</f>
        <v>96.18</v>
      </c>
      <c r="D223" s="141">
        <f ca="1">IFERROR(__xludf.DUMMYFUNCTION("""COMPUTED_VALUE"""),96.3)</f>
        <v>96.3</v>
      </c>
      <c r="E223" s="141">
        <f ca="1">IFERROR(__xludf.DUMMYFUNCTION("""COMPUTED_VALUE"""),96.08)</f>
        <v>96.08</v>
      </c>
      <c r="F223" s="141">
        <f ca="1">IFERROR(__xludf.DUMMYFUNCTION("""COMPUTED_VALUE"""),96.15)</f>
        <v>96.15</v>
      </c>
      <c r="G223" s="143">
        <f ca="1">IFERROR(__xludf.DUMMYFUNCTION("""COMPUTED_VALUE"""),3381252)</f>
        <v>3381252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IFERROR(__xludf.DUMMYFUNCTION("""COMPUTED_VALUE"""),96.13)</f>
        <v>96.13</v>
      </c>
      <c r="D224" s="141">
        <f ca="1">IFERROR(__xludf.DUMMYFUNCTION("""COMPUTED_VALUE"""),96.16)</f>
        <v>96.16</v>
      </c>
      <c r="E224" s="141">
        <f ca="1">IFERROR(__xludf.DUMMYFUNCTION("""COMPUTED_VALUE"""),95.9)</f>
        <v>95.9</v>
      </c>
      <c r="F224" s="141">
        <f ca="1">IFERROR(__xludf.DUMMYFUNCTION("""COMPUTED_VALUE"""),95.97)</f>
        <v>95.97</v>
      </c>
      <c r="G224" s="143">
        <f ca="1">IFERROR(__xludf.DUMMYFUNCTION("""COMPUTED_VALUE"""),2376846)</f>
        <v>2376846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IFERROR(__xludf.DUMMYFUNCTION("""COMPUTED_VALUE"""),95.77)</f>
        <v>95.77</v>
      </c>
      <c r="D225" s="141">
        <f ca="1">IFERROR(__xludf.DUMMYFUNCTION("""COMPUTED_VALUE"""),95.79)</f>
        <v>95.79</v>
      </c>
      <c r="E225" s="141">
        <f ca="1">IFERROR(__xludf.DUMMYFUNCTION("""COMPUTED_VALUE"""),95.56)</f>
        <v>95.56</v>
      </c>
      <c r="F225" s="141">
        <f ca="1">IFERROR(__xludf.DUMMYFUNCTION("""COMPUTED_VALUE"""),95.72)</f>
        <v>95.72</v>
      </c>
      <c r="G225" s="143">
        <f ca="1">IFERROR(__xludf.DUMMYFUNCTION("""COMPUTED_VALUE"""),7073876)</f>
        <v>7073876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IFERROR(__xludf.DUMMYFUNCTION("""COMPUTED_VALUE"""),95.53)</f>
        <v>95.53</v>
      </c>
      <c r="D226" s="141">
        <f ca="1">IFERROR(__xludf.DUMMYFUNCTION("""COMPUTED_VALUE"""),95.66)</f>
        <v>95.66</v>
      </c>
      <c r="E226" s="141">
        <f ca="1">IFERROR(__xludf.DUMMYFUNCTION("""COMPUTED_VALUE"""),95.44)</f>
        <v>95.44</v>
      </c>
      <c r="F226" s="141">
        <f ca="1">IFERROR(__xludf.DUMMYFUNCTION("""COMPUTED_VALUE"""),95.54)</f>
        <v>95.54</v>
      </c>
      <c r="G226" s="143">
        <f ca="1">IFERROR(__xludf.DUMMYFUNCTION("""COMPUTED_VALUE"""),8683057)</f>
        <v>8683057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IFERROR(__xludf.DUMMYFUNCTION("""COMPUTED_VALUE"""),95.78)</f>
        <v>95.78</v>
      </c>
      <c r="D227" s="141">
        <f ca="1">IFERROR(__xludf.DUMMYFUNCTION("""COMPUTED_VALUE"""),95.94)</f>
        <v>95.94</v>
      </c>
      <c r="E227" s="141">
        <f ca="1">IFERROR(__xludf.DUMMYFUNCTION("""COMPUTED_VALUE"""),95.52)</f>
        <v>95.52</v>
      </c>
      <c r="F227" s="141">
        <f ca="1">IFERROR(__xludf.DUMMYFUNCTION("""COMPUTED_VALUE"""),95.54)</f>
        <v>95.54</v>
      </c>
      <c r="G227" s="143">
        <f ca="1">IFERROR(__xludf.DUMMYFUNCTION("""COMPUTED_VALUE"""),4858008)</f>
        <v>4858008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IFERROR(__xludf.DUMMYFUNCTION("""COMPUTED_VALUE"""),95.06)</f>
        <v>95.06</v>
      </c>
      <c r="D228" s="141">
        <f ca="1">IFERROR(__xludf.DUMMYFUNCTION("""COMPUTED_VALUE"""),95.06)</f>
        <v>95.06</v>
      </c>
      <c r="E228" s="141">
        <f ca="1">IFERROR(__xludf.DUMMYFUNCTION("""COMPUTED_VALUE"""),94.71)</f>
        <v>94.71</v>
      </c>
      <c r="F228" s="141">
        <f ca="1">IFERROR(__xludf.DUMMYFUNCTION("""COMPUTED_VALUE"""),94.71)</f>
        <v>94.71</v>
      </c>
      <c r="G228" s="143">
        <f ca="1">IFERROR(__xludf.DUMMYFUNCTION("""COMPUTED_VALUE"""),7101068)</f>
        <v>7101068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IFERROR(__xludf.DUMMYFUNCTION("""COMPUTED_VALUE"""),94.66)</f>
        <v>94.66</v>
      </c>
      <c r="D229" s="141">
        <f ca="1">IFERROR(__xludf.DUMMYFUNCTION("""COMPUTED_VALUE"""),94.93)</f>
        <v>94.93</v>
      </c>
      <c r="E229" s="141">
        <f ca="1">IFERROR(__xludf.DUMMYFUNCTION("""COMPUTED_VALUE"""),94.48)</f>
        <v>94.48</v>
      </c>
      <c r="F229" s="141">
        <f ca="1">IFERROR(__xludf.DUMMYFUNCTION("""COMPUTED_VALUE"""),94.62)</f>
        <v>94.62</v>
      </c>
      <c r="G229" s="143">
        <f ca="1">IFERROR(__xludf.DUMMYFUNCTION("""COMPUTED_VALUE"""),7403035)</f>
        <v>7403035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IFERROR(__xludf.DUMMYFUNCTION("""COMPUTED_VALUE"""),94.37)</f>
        <v>94.37</v>
      </c>
      <c r="D230" s="141">
        <f ca="1">IFERROR(__xludf.DUMMYFUNCTION("""COMPUTED_VALUE"""),94.43)</f>
        <v>94.43</v>
      </c>
      <c r="E230" s="141">
        <f ca="1">IFERROR(__xludf.DUMMYFUNCTION("""COMPUTED_VALUE"""),94.05)</f>
        <v>94.05</v>
      </c>
      <c r="F230" s="141">
        <f ca="1">IFERROR(__xludf.DUMMYFUNCTION("""COMPUTED_VALUE"""),94.25)</f>
        <v>94.25</v>
      </c>
      <c r="G230" s="143">
        <f ca="1">IFERROR(__xludf.DUMMYFUNCTION("""COMPUTED_VALUE"""),10819816)</f>
        <v>10819816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IFERROR(__xludf.DUMMYFUNCTION("""COMPUTED_VALUE"""),94.29)</f>
        <v>94.29</v>
      </c>
      <c r="D231" s="141">
        <f ca="1">IFERROR(__xludf.DUMMYFUNCTION("""COMPUTED_VALUE"""),95.07)</f>
        <v>95.07</v>
      </c>
      <c r="E231" s="141">
        <f ca="1">IFERROR(__xludf.DUMMYFUNCTION("""COMPUTED_VALUE"""),94.25)</f>
        <v>94.25</v>
      </c>
      <c r="F231" s="141">
        <f ca="1">IFERROR(__xludf.DUMMYFUNCTION("""COMPUTED_VALUE"""),94.92)</f>
        <v>94.92</v>
      </c>
      <c r="G231" s="143">
        <f ca="1">IFERROR(__xludf.DUMMYFUNCTION("""COMPUTED_VALUE"""),13079863)</f>
        <v>13079863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IFERROR(__xludf.DUMMYFUNCTION("""COMPUTED_VALUE"""),94.74)</f>
        <v>94.74</v>
      </c>
      <c r="D232" s="141">
        <f ca="1">IFERROR(__xludf.DUMMYFUNCTION("""COMPUTED_VALUE"""),95.1)</f>
        <v>95.1</v>
      </c>
      <c r="E232" s="141">
        <f ca="1">IFERROR(__xludf.DUMMYFUNCTION("""COMPUTED_VALUE"""),94.57)</f>
        <v>94.57</v>
      </c>
      <c r="F232" s="141">
        <f ca="1">IFERROR(__xludf.DUMMYFUNCTION("""COMPUTED_VALUE"""),94.99)</f>
        <v>94.99</v>
      </c>
      <c r="G232" s="143">
        <f ca="1">IFERROR(__xludf.DUMMYFUNCTION("""COMPUTED_VALUE"""),9653073)</f>
        <v>9653073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IFERROR(__xludf.DUMMYFUNCTION("""COMPUTED_VALUE"""),95.24)</f>
        <v>95.24</v>
      </c>
      <c r="D233" s="141">
        <f ca="1">IFERROR(__xludf.DUMMYFUNCTION("""COMPUTED_VALUE"""),95.24)</f>
        <v>95.24</v>
      </c>
      <c r="E233" s="141">
        <f ca="1">IFERROR(__xludf.DUMMYFUNCTION("""COMPUTED_VALUE"""),94.99)</f>
        <v>94.99</v>
      </c>
      <c r="F233" s="141">
        <f ca="1">IFERROR(__xludf.DUMMYFUNCTION("""COMPUTED_VALUE"""),95.17)</f>
        <v>95.17</v>
      </c>
      <c r="G233" s="143">
        <f ca="1">IFERROR(__xludf.DUMMYFUNCTION("""COMPUTED_VALUE"""),3282582)</f>
        <v>3282582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IFERROR(__xludf.DUMMYFUNCTION("""COMPUTED_VALUE"""),95.67)</f>
        <v>95.67</v>
      </c>
      <c r="D234" s="141">
        <f ca="1">IFERROR(__xludf.DUMMYFUNCTION("""COMPUTED_VALUE"""),95.71)</f>
        <v>95.71</v>
      </c>
      <c r="E234" s="141">
        <f ca="1">IFERROR(__xludf.DUMMYFUNCTION("""COMPUTED_VALUE"""),95.43)</f>
        <v>95.43</v>
      </c>
      <c r="F234" s="141">
        <f ca="1">IFERROR(__xludf.DUMMYFUNCTION("""COMPUTED_VALUE"""),95.64)</f>
        <v>95.64</v>
      </c>
      <c r="G234" s="143">
        <f ca="1">IFERROR(__xludf.DUMMYFUNCTION("""COMPUTED_VALUE"""),5666635)</f>
        <v>5666635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IFERROR(__xludf.DUMMYFUNCTION("""COMPUTED_VALUE"""),95.93)</f>
        <v>95.93</v>
      </c>
      <c r="D235" s="141">
        <f ca="1">IFERROR(__xludf.DUMMYFUNCTION("""COMPUTED_VALUE"""),95.99)</f>
        <v>95.99</v>
      </c>
      <c r="E235" s="141">
        <f ca="1">IFERROR(__xludf.DUMMYFUNCTION("""COMPUTED_VALUE"""),95.77)</f>
        <v>95.77</v>
      </c>
      <c r="F235" s="141">
        <f ca="1">IFERROR(__xludf.DUMMYFUNCTION("""COMPUTED_VALUE"""),95.98)</f>
        <v>95.98</v>
      </c>
      <c r="G235" s="143">
        <f ca="1">IFERROR(__xludf.DUMMYFUNCTION("""COMPUTED_VALUE"""),6074618)</f>
        <v>6074618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IFERROR(__xludf.DUMMYFUNCTION("""COMPUTED_VALUE"""),95.89)</f>
        <v>95.89</v>
      </c>
      <c r="D236" s="141">
        <f ca="1">IFERROR(__xludf.DUMMYFUNCTION("""COMPUTED_VALUE"""),96.27)</f>
        <v>96.27</v>
      </c>
      <c r="E236" s="141">
        <f ca="1">IFERROR(__xludf.DUMMYFUNCTION("""COMPUTED_VALUE"""),95.8)</f>
        <v>95.8</v>
      </c>
      <c r="F236" s="141">
        <f ca="1">IFERROR(__xludf.DUMMYFUNCTION("""COMPUTED_VALUE"""),96.23)</f>
        <v>96.23</v>
      </c>
      <c r="G236" s="143">
        <f ca="1">IFERROR(__xludf.DUMMYFUNCTION("""COMPUTED_VALUE"""),6077935)</f>
        <v>6077935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IFERROR(__xludf.DUMMYFUNCTION("""COMPUTED_VALUE"""),96.31)</f>
        <v>96.31</v>
      </c>
      <c r="D237" s="141">
        <f ca="1">IFERROR(__xludf.DUMMYFUNCTION("""COMPUTED_VALUE"""),96.51)</f>
        <v>96.51</v>
      </c>
      <c r="E237" s="141">
        <f ca="1">IFERROR(__xludf.DUMMYFUNCTION("""COMPUTED_VALUE"""),96.29)</f>
        <v>96.29</v>
      </c>
      <c r="F237" s="141">
        <f ca="1">IFERROR(__xludf.DUMMYFUNCTION("""COMPUTED_VALUE"""),96.43)</f>
        <v>96.43</v>
      </c>
      <c r="G237" s="143">
        <f ca="1">IFERROR(__xludf.DUMMYFUNCTION("""COMPUTED_VALUE"""),7382891)</f>
        <v>7382891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IFERROR(__xludf.DUMMYFUNCTION("""COMPUTED_VALUE"""),95.96)</f>
        <v>95.96</v>
      </c>
      <c r="D238" s="141">
        <f ca="1">IFERROR(__xludf.DUMMYFUNCTION("""COMPUTED_VALUE"""),96.01)</f>
        <v>96.01</v>
      </c>
      <c r="E238" s="141">
        <f ca="1">IFERROR(__xludf.DUMMYFUNCTION("""COMPUTED_VALUE"""),95.68)</f>
        <v>95.68</v>
      </c>
      <c r="F238" s="141">
        <f ca="1">IFERROR(__xludf.DUMMYFUNCTION("""COMPUTED_VALUE"""),96.01)</f>
        <v>96.01</v>
      </c>
      <c r="G238" s="143">
        <f ca="1">IFERROR(__xludf.DUMMYFUNCTION("""COMPUTED_VALUE"""),6351109)</f>
        <v>6351109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IFERROR(__xludf.DUMMYFUNCTION("""COMPUTED_VALUE"""),96.26)</f>
        <v>96.26</v>
      </c>
      <c r="D239" s="141">
        <f ca="1">IFERROR(__xludf.DUMMYFUNCTION("""COMPUTED_VALUE"""),96.27)</f>
        <v>96.27</v>
      </c>
      <c r="E239" s="141">
        <f ca="1">IFERROR(__xludf.DUMMYFUNCTION("""COMPUTED_VALUE"""),96.07)</f>
        <v>96.07</v>
      </c>
      <c r="F239" s="141">
        <f ca="1">IFERROR(__xludf.DUMMYFUNCTION("""COMPUTED_VALUE"""),96.26)</f>
        <v>96.26</v>
      </c>
      <c r="G239" s="143">
        <f ca="1">IFERROR(__xludf.DUMMYFUNCTION("""COMPUTED_VALUE"""),4572058)</f>
        <v>4572058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IFERROR(__xludf.DUMMYFUNCTION("""COMPUTED_VALUE"""),95.97)</f>
        <v>95.97</v>
      </c>
      <c r="D240" s="141">
        <f ca="1">IFERROR(__xludf.DUMMYFUNCTION("""COMPUTED_VALUE"""),96.07)</f>
        <v>96.07</v>
      </c>
      <c r="E240" s="141">
        <f ca="1">IFERROR(__xludf.DUMMYFUNCTION("""COMPUTED_VALUE"""),95.73)</f>
        <v>95.73</v>
      </c>
      <c r="F240" s="141">
        <f ca="1">IFERROR(__xludf.DUMMYFUNCTION("""COMPUTED_VALUE"""),95.9)</f>
        <v>95.9</v>
      </c>
      <c r="G240" s="143">
        <f ca="1">IFERROR(__xludf.DUMMYFUNCTION("""COMPUTED_VALUE"""),5619438)</f>
        <v>5619438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IFERROR(__xludf.DUMMYFUNCTION("""COMPUTED_VALUE"""),96.15)</f>
        <v>96.15</v>
      </c>
      <c r="D241" s="141">
        <f ca="1">IFERROR(__xludf.DUMMYFUNCTION("""COMPUTED_VALUE"""),96.19)</f>
        <v>96.19</v>
      </c>
      <c r="E241" s="141">
        <f ca="1">IFERROR(__xludf.DUMMYFUNCTION("""COMPUTED_VALUE"""),95.97)</f>
        <v>95.97</v>
      </c>
      <c r="F241" s="141">
        <f ca="1">IFERROR(__xludf.DUMMYFUNCTION("""COMPUTED_VALUE"""),96.1)</f>
        <v>96.1</v>
      </c>
      <c r="G241" s="143">
        <f ca="1">IFERROR(__xludf.DUMMYFUNCTION("""COMPUTED_VALUE"""),4132202)</f>
        <v>4132202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IFERROR(__xludf.DUMMYFUNCTION("""COMPUTED_VALUE"""),95.75)</f>
        <v>95.75</v>
      </c>
      <c r="D242" s="141">
        <f ca="1">IFERROR(__xludf.DUMMYFUNCTION("""COMPUTED_VALUE"""),95.85)</f>
        <v>95.85</v>
      </c>
      <c r="E242" s="141">
        <f ca="1">IFERROR(__xludf.DUMMYFUNCTION("""COMPUTED_VALUE"""),95.38)</f>
        <v>95.38</v>
      </c>
      <c r="F242" s="141">
        <f ca="1">IFERROR(__xludf.DUMMYFUNCTION("""COMPUTED_VALUE"""),95.4)</f>
        <v>95.4</v>
      </c>
      <c r="G242" s="143">
        <f ca="1">IFERROR(__xludf.DUMMYFUNCTION("""COMPUTED_VALUE"""),7364164)</f>
        <v>7364164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IFERROR(__xludf.DUMMYFUNCTION("""COMPUTED_VALUE"""),95.7)</f>
        <v>95.7</v>
      </c>
      <c r="D243" s="141">
        <f ca="1">IFERROR(__xludf.DUMMYFUNCTION("""COMPUTED_VALUE"""),95.7)</f>
        <v>95.7</v>
      </c>
      <c r="E243" s="141">
        <f ca="1">IFERROR(__xludf.DUMMYFUNCTION("""COMPUTED_VALUE"""),95.27)</f>
        <v>95.27</v>
      </c>
      <c r="F243" s="141">
        <f ca="1">IFERROR(__xludf.DUMMYFUNCTION("""COMPUTED_VALUE"""),95.28)</f>
        <v>95.28</v>
      </c>
      <c r="G243" s="143">
        <f ca="1">IFERROR(__xludf.DUMMYFUNCTION("""COMPUTED_VALUE"""),6165222)</f>
        <v>6165222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IFERROR(__xludf.DUMMYFUNCTION("""COMPUTED_VALUE"""),95.61)</f>
        <v>95.61</v>
      </c>
      <c r="D244" s="141">
        <f ca="1">IFERROR(__xludf.DUMMYFUNCTION("""COMPUTED_VALUE"""),95.79)</f>
        <v>95.79</v>
      </c>
      <c r="E244" s="141">
        <f ca="1">IFERROR(__xludf.DUMMYFUNCTION("""COMPUTED_VALUE"""),95.21)</f>
        <v>95.21</v>
      </c>
      <c r="F244" s="141">
        <f ca="1">IFERROR(__xludf.DUMMYFUNCTION("""COMPUTED_VALUE"""),95.67)</f>
        <v>95.67</v>
      </c>
      <c r="G244" s="143">
        <f ca="1">IFERROR(__xludf.DUMMYFUNCTION("""COMPUTED_VALUE"""),6926116)</f>
        <v>6926116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IFERROR(__xludf.DUMMYFUNCTION("""COMPUTED_VALUE"""),95.27)</f>
        <v>95.27</v>
      </c>
      <c r="D245" s="141">
        <f ca="1">IFERROR(__xludf.DUMMYFUNCTION("""COMPUTED_VALUE"""),95.75)</f>
        <v>95.75</v>
      </c>
      <c r="E245" s="141">
        <f ca="1">IFERROR(__xludf.DUMMYFUNCTION("""COMPUTED_VALUE"""),95.26)</f>
        <v>95.26</v>
      </c>
      <c r="F245" s="141">
        <f ca="1">IFERROR(__xludf.DUMMYFUNCTION("""COMPUTED_VALUE"""),95.35)</f>
        <v>95.35</v>
      </c>
      <c r="G245" s="143">
        <f ca="1">IFERROR(__xludf.DUMMYFUNCTION("""COMPUTED_VALUE"""),8400328)</f>
        <v>8400328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IFERROR(__xludf.DUMMYFUNCTION("""COMPUTED_VALUE"""),95.54)</f>
        <v>95.54</v>
      </c>
      <c r="D246" s="141">
        <f ca="1">IFERROR(__xludf.DUMMYFUNCTION("""COMPUTED_VALUE"""),96.3)</f>
        <v>96.3</v>
      </c>
      <c r="E246" s="141">
        <f ca="1">IFERROR(__xludf.DUMMYFUNCTION("""COMPUTED_VALUE"""),95.49)</f>
        <v>95.49</v>
      </c>
      <c r="F246" s="141">
        <f ca="1">IFERROR(__xludf.DUMMYFUNCTION("""COMPUTED_VALUE"""),96.27)</f>
        <v>96.27</v>
      </c>
      <c r="G246" s="143">
        <f ca="1">IFERROR(__xludf.DUMMYFUNCTION("""COMPUTED_VALUE"""),8187239)</f>
        <v>8187239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IFERROR(__xludf.DUMMYFUNCTION("""COMPUTED_VALUE"""),96.3)</f>
        <v>96.3</v>
      </c>
      <c r="D247" s="141">
        <f ca="1">IFERROR(__xludf.DUMMYFUNCTION("""COMPUTED_VALUE"""),96.39)</f>
        <v>96.39</v>
      </c>
      <c r="E247" s="141">
        <f ca="1">IFERROR(__xludf.DUMMYFUNCTION("""COMPUTED_VALUE"""),96.09)</f>
        <v>96.09</v>
      </c>
      <c r="F247" s="141">
        <f ca="1">IFERROR(__xludf.DUMMYFUNCTION("""COMPUTED_VALUE"""),96.36)</f>
        <v>96.36</v>
      </c>
      <c r="G247" s="143">
        <f ca="1">IFERROR(__xludf.DUMMYFUNCTION("""COMPUTED_VALUE"""),5364368)</f>
        <v>5364368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IFERROR(__xludf.DUMMYFUNCTION("""COMPUTED_VALUE"""),96.68)</f>
        <v>96.68</v>
      </c>
      <c r="D248" s="141">
        <f ca="1">IFERROR(__xludf.DUMMYFUNCTION("""COMPUTED_VALUE"""),96.82)</f>
        <v>96.82</v>
      </c>
      <c r="E248" s="141">
        <f ca="1">IFERROR(__xludf.DUMMYFUNCTION("""COMPUTED_VALUE"""),96.64)</f>
        <v>96.64</v>
      </c>
      <c r="F248" s="141">
        <f ca="1">IFERROR(__xludf.DUMMYFUNCTION("""COMPUTED_VALUE"""),96.71)</f>
        <v>96.71</v>
      </c>
      <c r="G248" s="143">
        <f ca="1">IFERROR(__xludf.DUMMYFUNCTION("""COMPUTED_VALUE"""),5828053)</f>
        <v>5828053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IFERROR(__xludf.DUMMYFUNCTION("""COMPUTED_VALUE"""),96.5)</f>
        <v>96.5</v>
      </c>
      <c r="D249" s="141">
        <f ca="1">IFERROR(__xludf.DUMMYFUNCTION("""COMPUTED_VALUE"""),96.87)</f>
        <v>96.87</v>
      </c>
      <c r="E249" s="141">
        <f ca="1">IFERROR(__xludf.DUMMYFUNCTION("""COMPUTED_VALUE"""),96.5)</f>
        <v>96.5</v>
      </c>
      <c r="F249" s="141">
        <f ca="1">IFERROR(__xludf.DUMMYFUNCTION("""COMPUTED_VALUE"""),96.67)</f>
        <v>96.67</v>
      </c>
      <c r="G249" s="143">
        <f ca="1">IFERROR(__xludf.DUMMYFUNCTION("""COMPUTED_VALUE"""),6190238)</f>
        <v>6190238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IFERROR(__xludf.DUMMYFUNCTION("""COMPUTED_VALUE"""),96.62)</f>
        <v>96.62</v>
      </c>
      <c r="D250" s="141">
        <f ca="1">IFERROR(__xludf.DUMMYFUNCTION("""COMPUTED_VALUE"""),96.8)</f>
        <v>96.8</v>
      </c>
      <c r="E250" s="141">
        <f ca="1">IFERROR(__xludf.DUMMYFUNCTION("""COMPUTED_VALUE"""),96.26)</f>
        <v>96.26</v>
      </c>
      <c r="F250" s="141">
        <f ca="1">IFERROR(__xludf.DUMMYFUNCTION("""COMPUTED_VALUE"""),96.28)</f>
        <v>96.28</v>
      </c>
      <c r="G250" s="143">
        <f ca="1">IFERROR(__xludf.DUMMYFUNCTION("""COMPUTED_VALUE"""),8742134)</f>
        <v>8742134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IFERROR(__xludf.DUMMYFUNCTION("""COMPUTED_VALUE"""),96.81)</f>
        <v>96.81</v>
      </c>
      <c r="D251" s="141">
        <f ca="1">IFERROR(__xludf.DUMMYFUNCTION("""COMPUTED_VALUE"""),96.84)</f>
        <v>96.84</v>
      </c>
      <c r="E251" s="141">
        <f ca="1">IFERROR(__xludf.DUMMYFUNCTION("""COMPUTED_VALUE"""),96.67)</f>
        <v>96.67</v>
      </c>
      <c r="F251" s="141">
        <f ca="1">IFERROR(__xludf.DUMMYFUNCTION("""COMPUTED_VALUE"""),96.73)</f>
        <v>96.73</v>
      </c>
      <c r="G251" s="143">
        <f ca="1">IFERROR(__xludf.DUMMYFUNCTION("""COMPUTED_VALUE"""),3129128)</f>
        <v>3129128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IFERROR(__xludf.DUMMYFUNCTION("""COMPUTED_VALUE"""),96.49)</f>
        <v>96.49</v>
      </c>
      <c r="D252" s="141">
        <f ca="1">IFERROR(__xludf.DUMMYFUNCTION("""COMPUTED_VALUE"""),96.77)</f>
        <v>96.77</v>
      </c>
      <c r="E252" s="141">
        <f ca="1">IFERROR(__xludf.DUMMYFUNCTION("""COMPUTED_VALUE"""),96.36)</f>
        <v>96.36</v>
      </c>
      <c r="F252" s="141">
        <f ca="1">IFERROR(__xludf.DUMMYFUNCTION("""COMPUTED_VALUE"""),96.4)</f>
        <v>96.4</v>
      </c>
      <c r="G252" s="143">
        <f ca="1">IFERROR(__xludf.DUMMYFUNCTION("""COMPUTED_VALUE"""),5290720)</f>
        <v>5290720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IFERROR(__xludf.DUMMYFUNCTION("""COMPUTED_VALUE"""),96.27)</f>
        <v>96.27</v>
      </c>
      <c r="D253" s="141">
        <f ca="1">IFERROR(__xludf.DUMMYFUNCTION("""COMPUTED_VALUE"""),96.44)</f>
        <v>96.44</v>
      </c>
      <c r="E253" s="141">
        <f ca="1">IFERROR(__xludf.DUMMYFUNCTION("""COMPUTED_VALUE"""),96.21)</f>
        <v>96.21</v>
      </c>
      <c r="F253" s="141">
        <f ca="1">IFERROR(__xludf.DUMMYFUNCTION("""COMPUTED_VALUE"""),96.26)</f>
        <v>96.26</v>
      </c>
      <c r="G253" s="143">
        <f ca="1">IFERROR(__xludf.DUMMYFUNCTION("""COMPUTED_VALUE"""),5800715)</f>
        <v>5800715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IFERROR(__xludf.DUMMYFUNCTION("""COMPUTED_VALUE"""),96.52)</f>
        <v>96.52</v>
      </c>
      <c r="D254" s="141">
        <f ca="1">IFERROR(__xludf.DUMMYFUNCTION("""COMPUTED_VALUE"""),96.67)</f>
        <v>96.67</v>
      </c>
      <c r="E254" s="141">
        <f ca="1">IFERROR(__xludf.DUMMYFUNCTION("""COMPUTED_VALUE"""),96.44)</f>
        <v>96.44</v>
      </c>
      <c r="F254" s="141">
        <f ca="1">IFERROR(__xludf.DUMMYFUNCTION("""COMPUTED_VALUE"""),96.57)</f>
        <v>96.57</v>
      </c>
      <c r="G254" s="143">
        <f ca="1">IFERROR(__xludf.DUMMYFUNCTION("""COMPUTED_VALUE"""),8401122)</f>
        <v>8401122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IFERROR(__xludf.DUMMYFUNCTION("""COMPUTED_VALUE"""),96.8)</f>
        <v>96.8</v>
      </c>
      <c r="D255" s="141">
        <f ca="1">IFERROR(__xludf.DUMMYFUNCTION("""COMPUTED_VALUE"""),96.83)</f>
        <v>96.83</v>
      </c>
      <c r="E255" s="141">
        <f ca="1">IFERROR(__xludf.DUMMYFUNCTION("""COMPUTED_VALUE"""),96.55)</f>
        <v>96.55</v>
      </c>
      <c r="F255" s="141">
        <f ca="1">IFERROR(__xludf.DUMMYFUNCTION("""COMPUTED_VALUE"""),96.56)</f>
        <v>96.56</v>
      </c>
      <c r="G255" s="143">
        <f ca="1">IFERROR(__xludf.DUMMYFUNCTION("""COMPUTED_VALUE"""),4464602)</f>
        <v>4464602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IFERROR(__xludf.DUMMYFUNCTION("""COMPUTED_VALUE"""),96.54)</f>
        <v>96.54</v>
      </c>
      <c r="D256" s="141">
        <f ca="1">IFERROR(__xludf.DUMMYFUNCTION("""COMPUTED_VALUE"""),96.66)</f>
        <v>96.66</v>
      </c>
      <c r="E256" s="141">
        <f ca="1">IFERROR(__xludf.DUMMYFUNCTION("""COMPUTED_VALUE"""),96.49)</f>
        <v>96.49</v>
      </c>
      <c r="F256" s="141">
        <f ca="1">IFERROR(__xludf.DUMMYFUNCTION("""COMPUTED_VALUE"""),96.54)</f>
        <v>96.54</v>
      </c>
      <c r="G256" s="143">
        <f ca="1">IFERROR(__xludf.DUMMYFUNCTION("""COMPUTED_VALUE"""),3732600)</f>
        <v>3732600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IFERROR(__xludf.DUMMYFUNCTION("""COMPUTED_VALUE"""),96.79)</f>
        <v>96.79</v>
      </c>
      <c r="D257" s="141">
        <f ca="1">IFERROR(__xludf.DUMMYFUNCTION("""COMPUTED_VALUE"""),96.85)</f>
        <v>96.85</v>
      </c>
      <c r="E257" s="141">
        <f ca="1">IFERROR(__xludf.DUMMYFUNCTION("""COMPUTED_VALUE"""),96.61)</f>
        <v>96.61</v>
      </c>
      <c r="F257" s="141">
        <f ca="1">IFERROR(__xludf.DUMMYFUNCTION("""COMPUTED_VALUE"""),96.82)</f>
        <v>96.82</v>
      </c>
      <c r="G257" s="143">
        <f ca="1">IFERROR(__xludf.DUMMYFUNCTION("""COMPUTED_VALUE"""),6279215)</f>
        <v>6279215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IFERROR(__xludf.DUMMYFUNCTION("""COMPUTED_VALUE"""),96.74)</f>
        <v>96.74</v>
      </c>
      <c r="D258" s="141">
        <f ca="1">IFERROR(__xludf.DUMMYFUNCTION("""COMPUTED_VALUE"""),96.81)</f>
        <v>96.81</v>
      </c>
      <c r="E258" s="141">
        <f ca="1">IFERROR(__xludf.DUMMYFUNCTION("""COMPUTED_VALUE"""),96.44)</f>
        <v>96.44</v>
      </c>
      <c r="F258" s="141">
        <f ca="1">IFERROR(__xludf.DUMMYFUNCTION("""COMPUTED_VALUE"""),96.44)</f>
        <v>96.44</v>
      </c>
      <c r="G258" s="143">
        <f ca="1">IFERROR(__xludf.DUMMYFUNCTION("""COMPUTED_VALUE"""),7812175)</f>
        <v>7812175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IFERROR(__xludf.DUMMYFUNCTION("""COMPUTED_VALUE"""),95.95)</f>
        <v>95.95</v>
      </c>
      <c r="D259" s="141">
        <f ca="1">IFERROR(__xludf.DUMMYFUNCTION("""COMPUTED_VALUE"""),96.13)</f>
        <v>96.13</v>
      </c>
      <c r="E259" s="141">
        <f ca="1">IFERROR(__xludf.DUMMYFUNCTION("""COMPUTED_VALUE"""),95.82)</f>
        <v>95.82</v>
      </c>
      <c r="F259" s="141">
        <f ca="1">IFERROR(__xludf.DUMMYFUNCTION("""COMPUTED_VALUE"""),96.02)</f>
        <v>96.02</v>
      </c>
      <c r="G259" s="143">
        <f ca="1">IFERROR(__xludf.DUMMYFUNCTION("""COMPUTED_VALUE"""),6533236)</f>
        <v>6533236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IFERROR(__xludf.DUMMYFUNCTION("""COMPUTED_VALUE"""),96.11)</f>
        <v>96.11</v>
      </c>
      <c r="D260" s="141">
        <f ca="1">IFERROR(__xludf.DUMMYFUNCTION("""COMPUTED_VALUE"""),96.24)</f>
        <v>96.24</v>
      </c>
      <c r="E260" s="141">
        <f ca="1">IFERROR(__xludf.DUMMYFUNCTION("""COMPUTED_VALUE"""),96.02)</f>
        <v>96.02</v>
      </c>
      <c r="F260" s="141">
        <f ca="1">IFERROR(__xludf.DUMMYFUNCTION("""COMPUTED_VALUE"""),96.2)</f>
        <v>96.2</v>
      </c>
      <c r="G260" s="143">
        <f ca="1">IFERROR(__xludf.DUMMYFUNCTION("""COMPUTED_VALUE"""),7173024)</f>
        <v>7173024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IFERROR(__xludf.DUMMYFUNCTION("""COMPUTED_VALUE"""),96.29)</f>
        <v>96.29</v>
      </c>
      <c r="D261" s="141">
        <f ca="1">IFERROR(__xludf.DUMMYFUNCTION("""COMPUTED_VALUE"""),96.41)</f>
        <v>96.41</v>
      </c>
      <c r="E261" s="141">
        <f ca="1">IFERROR(__xludf.DUMMYFUNCTION("""COMPUTED_VALUE"""),96.14)</f>
        <v>96.14</v>
      </c>
      <c r="F261" s="141">
        <f ca="1">IFERROR(__xludf.DUMMYFUNCTION("""COMPUTED_VALUE"""),96.35)</f>
        <v>96.35</v>
      </c>
      <c r="G261" s="143">
        <f ca="1">IFERROR(__xludf.DUMMYFUNCTION("""COMPUTED_VALUE"""),3853934)</f>
        <v>3853934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IFERROR(__xludf.DUMMYFUNCTION("""COMPUTED_VALUE"""),96.1)</f>
        <v>96.1</v>
      </c>
      <c r="D262" s="141">
        <f ca="1">IFERROR(__xludf.DUMMYFUNCTION("""COMPUTED_VALUE"""),96.21)</f>
        <v>96.21</v>
      </c>
      <c r="E262" s="141">
        <f ca="1">IFERROR(__xludf.DUMMYFUNCTION("""COMPUTED_VALUE"""),95.83)</f>
        <v>95.83</v>
      </c>
      <c r="F262" s="141">
        <f ca="1">IFERROR(__xludf.DUMMYFUNCTION("""COMPUTED_VALUE"""),95.94)</f>
        <v>95.94</v>
      </c>
      <c r="G262" s="143">
        <f ca="1">IFERROR(__xludf.DUMMYFUNCTION("""COMPUTED_VALUE"""),4552543)</f>
        <v>4552543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IFERROR(__xludf.DUMMYFUNCTION("""COMPUTED_VALUE"""),95.77)</f>
        <v>95.77</v>
      </c>
      <c r="D263" s="141">
        <f ca="1">IFERROR(__xludf.DUMMYFUNCTION("""COMPUTED_VALUE"""),95.79)</f>
        <v>95.79</v>
      </c>
      <c r="E263" s="141">
        <f ca="1">IFERROR(__xludf.DUMMYFUNCTION("""COMPUTED_VALUE"""),95.46)</f>
        <v>95.46</v>
      </c>
      <c r="F263" s="141">
        <f ca="1">IFERROR(__xludf.DUMMYFUNCTION("""COMPUTED_VALUE"""),95.79)</f>
        <v>95.79</v>
      </c>
      <c r="G263" s="143">
        <f ca="1">IFERROR(__xludf.DUMMYFUNCTION("""COMPUTED_VALUE"""),11891871)</f>
        <v>11891871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IFERROR(__xludf.DUMMYFUNCTION("""COMPUTED_VALUE"""),95.73)</f>
        <v>95.73</v>
      </c>
      <c r="D264" s="141">
        <f ca="1">IFERROR(__xludf.DUMMYFUNCTION("""COMPUTED_VALUE"""),96.03)</f>
        <v>96.03</v>
      </c>
      <c r="E264" s="141">
        <f ca="1">IFERROR(__xludf.DUMMYFUNCTION("""COMPUTED_VALUE"""),95.7)</f>
        <v>95.7</v>
      </c>
      <c r="F264" s="141">
        <f ca="1">IFERROR(__xludf.DUMMYFUNCTION("""COMPUTED_VALUE"""),95.96)</f>
        <v>95.96</v>
      </c>
      <c r="G264" s="143">
        <f ca="1">IFERROR(__xludf.DUMMYFUNCTION("""COMPUTED_VALUE"""),4765194)</f>
        <v>4765194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IFERROR(__xludf.DUMMYFUNCTION("""COMPUTED_VALUE"""),95.93)</f>
        <v>95.93</v>
      </c>
      <c r="D265" s="141">
        <f ca="1">IFERROR(__xludf.DUMMYFUNCTION("""COMPUTED_VALUE"""),96)</f>
        <v>96</v>
      </c>
      <c r="E265" s="141">
        <f ca="1">IFERROR(__xludf.DUMMYFUNCTION("""COMPUTED_VALUE"""),95.77)</f>
        <v>95.77</v>
      </c>
      <c r="F265" s="141">
        <f ca="1">IFERROR(__xludf.DUMMYFUNCTION("""COMPUTED_VALUE"""),95.99)</f>
        <v>95.99</v>
      </c>
      <c r="G265" s="143">
        <f ca="1">IFERROR(__xludf.DUMMYFUNCTION("""COMPUTED_VALUE"""),5939698)</f>
        <v>5939698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IFERROR(__xludf.DUMMYFUNCTION("""COMPUTED_VALUE"""),95.69)</f>
        <v>95.69</v>
      </c>
      <c r="D266" s="141">
        <f ca="1">IFERROR(__xludf.DUMMYFUNCTION("""COMPUTED_VALUE"""),95.91)</f>
        <v>95.91</v>
      </c>
      <c r="E266" s="141">
        <f ca="1">IFERROR(__xludf.DUMMYFUNCTION("""COMPUTED_VALUE"""),95.33)</f>
        <v>95.33</v>
      </c>
      <c r="F266" s="141">
        <f ca="1">IFERROR(__xludf.DUMMYFUNCTION("""COMPUTED_VALUE"""),95.38)</f>
        <v>95.38</v>
      </c>
      <c r="G266" s="143">
        <f ca="1">IFERROR(__xludf.DUMMYFUNCTION("""COMPUTED_VALUE"""),7052517)</f>
        <v>7052517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IFERROR(__xludf.DUMMYFUNCTION("""COMPUTED_VALUE"""),95.73)</f>
        <v>95.73</v>
      </c>
      <c r="D267" s="141">
        <f ca="1">IFERROR(__xludf.DUMMYFUNCTION("""COMPUTED_VALUE"""),95.79)</f>
        <v>95.79</v>
      </c>
      <c r="E267" s="141">
        <f ca="1">IFERROR(__xludf.DUMMYFUNCTION("""COMPUTED_VALUE"""),95.42)</f>
        <v>95.42</v>
      </c>
      <c r="F267" s="141">
        <f ca="1">IFERROR(__xludf.DUMMYFUNCTION("""COMPUTED_VALUE"""),95.57)</f>
        <v>95.57</v>
      </c>
      <c r="G267" s="143">
        <f ca="1">IFERROR(__xludf.DUMMYFUNCTION("""COMPUTED_VALUE"""),5672545)</f>
        <v>5672545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IFERROR(__xludf.DUMMYFUNCTION("""COMPUTED_VALUE"""),95.71)</f>
        <v>95.71</v>
      </c>
      <c r="D268" s="141">
        <f ca="1">IFERROR(__xludf.DUMMYFUNCTION("""COMPUTED_VALUE"""),95.83)</f>
        <v>95.83</v>
      </c>
      <c r="E268" s="141">
        <f ca="1">IFERROR(__xludf.DUMMYFUNCTION("""COMPUTED_VALUE"""),95.63)</f>
        <v>95.63</v>
      </c>
      <c r="F268" s="141">
        <f ca="1">IFERROR(__xludf.DUMMYFUNCTION("""COMPUTED_VALUE"""),95.73)</f>
        <v>95.73</v>
      </c>
      <c r="G268" s="143">
        <f ca="1">IFERROR(__xludf.DUMMYFUNCTION("""COMPUTED_VALUE"""),4021352)</f>
        <v>4021352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IFERROR(__xludf.DUMMYFUNCTION("""COMPUTED_VALUE"""),95.5)</f>
        <v>95.5</v>
      </c>
      <c r="D269" s="141">
        <f ca="1">IFERROR(__xludf.DUMMYFUNCTION("""COMPUTED_VALUE"""),95.69)</f>
        <v>95.69</v>
      </c>
      <c r="E269" s="141">
        <f ca="1">IFERROR(__xludf.DUMMYFUNCTION("""COMPUTED_VALUE"""),95.47)</f>
        <v>95.47</v>
      </c>
      <c r="F269" s="141">
        <f ca="1">IFERROR(__xludf.DUMMYFUNCTION("""COMPUTED_VALUE"""),95.59)</f>
        <v>95.59</v>
      </c>
      <c r="G269" s="143">
        <f ca="1">IFERROR(__xludf.DUMMYFUNCTION("""COMPUTED_VALUE"""),4193926)</f>
        <v>4193926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IFERROR(__xludf.DUMMYFUNCTION("""COMPUTED_VALUE"""),95.67)</f>
        <v>95.67</v>
      </c>
      <c r="D270" s="141">
        <f ca="1">IFERROR(__xludf.DUMMYFUNCTION("""COMPUTED_VALUE"""),95.75)</f>
        <v>95.75</v>
      </c>
      <c r="E270" s="141">
        <f ca="1">IFERROR(__xludf.DUMMYFUNCTION("""COMPUTED_VALUE"""),95.5)</f>
        <v>95.5</v>
      </c>
      <c r="F270" s="141">
        <f ca="1">IFERROR(__xludf.DUMMYFUNCTION("""COMPUTED_VALUE"""),95.53)</f>
        <v>95.53</v>
      </c>
      <c r="G270" s="143">
        <f ca="1">IFERROR(__xludf.DUMMYFUNCTION("""COMPUTED_VALUE"""),5382076)</f>
        <v>5382076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IFERROR(__xludf.DUMMYFUNCTION("""COMPUTED_VALUE"""),95.6)</f>
        <v>95.6</v>
      </c>
      <c r="D271" s="141">
        <f ca="1">IFERROR(__xludf.DUMMYFUNCTION("""COMPUTED_VALUE"""),95.65)</f>
        <v>95.65</v>
      </c>
      <c r="E271" s="141">
        <f ca="1">IFERROR(__xludf.DUMMYFUNCTION("""COMPUTED_VALUE"""),95.33)</f>
        <v>95.33</v>
      </c>
      <c r="F271" s="141">
        <f ca="1">IFERROR(__xludf.DUMMYFUNCTION("""COMPUTED_VALUE"""),95.37)</f>
        <v>95.37</v>
      </c>
      <c r="G271" s="143">
        <f ca="1">IFERROR(__xludf.DUMMYFUNCTION("""COMPUTED_VALUE"""),2928484)</f>
        <v>2928484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IFERROR(__xludf.DUMMYFUNCTION("""COMPUTED_VALUE"""),95.61)</f>
        <v>95.61</v>
      </c>
      <c r="D272" s="141">
        <f ca="1">IFERROR(__xludf.DUMMYFUNCTION("""COMPUTED_VALUE"""),95.61)</f>
        <v>95.61</v>
      </c>
      <c r="E272" s="141">
        <f ca="1">IFERROR(__xludf.DUMMYFUNCTION("""COMPUTED_VALUE"""),95.24)</f>
        <v>95.24</v>
      </c>
      <c r="F272" s="141">
        <f ca="1">IFERROR(__xludf.DUMMYFUNCTION("""COMPUTED_VALUE"""),95.38)</f>
        <v>95.38</v>
      </c>
      <c r="G272" s="143">
        <f ca="1">IFERROR(__xludf.DUMMYFUNCTION("""COMPUTED_VALUE"""),4001722)</f>
        <v>4001722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IFERROR(__xludf.DUMMYFUNCTION("""COMPUTED_VALUE"""),95.22)</f>
        <v>95.22</v>
      </c>
      <c r="D273" s="141">
        <f ca="1">IFERROR(__xludf.DUMMYFUNCTION("""COMPUTED_VALUE"""),95.35)</f>
        <v>95.35</v>
      </c>
      <c r="E273" s="141">
        <f ca="1">IFERROR(__xludf.DUMMYFUNCTION("""COMPUTED_VALUE"""),95.03)</f>
        <v>95.03</v>
      </c>
      <c r="F273" s="141">
        <f ca="1">IFERROR(__xludf.DUMMYFUNCTION("""COMPUTED_VALUE"""),95.09)</f>
        <v>95.09</v>
      </c>
      <c r="G273" s="143">
        <f ca="1">IFERROR(__xludf.DUMMYFUNCTION("""COMPUTED_VALUE"""),3737476)</f>
        <v>3737476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IFERROR(__xludf.DUMMYFUNCTION("""COMPUTED_VALUE"""),94.66)</f>
        <v>94.66</v>
      </c>
      <c r="D274" s="141">
        <f ca="1">IFERROR(__xludf.DUMMYFUNCTION("""COMPUTED_VALUE"""),94.7)</f>
        <v>94.7</v>
      </c>
      <c r="E274" s="141">
        <f ca="1">IFERROR(__xludf.DUMMYFUNCTION("""COMPUTED_VALUE"""),94.49)</f>
        <v>94.49</v>
      </c>
      <c r="F274" s="141">
        <f ca="1">IFERROR(__xludf.DUMMYFUNCTION("""COMPUTED_VALUE"""),94.53)</f>
        <v>94.53</v>
      </c>
      <c r="G274" s="143">
        <f ca="1">IFERROR(__xludf.DUMMYFUNCTION("""COMPUTED_VALUE"""),7675561)</f>
        <v>7675561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IFERROR(__xludf.DUMMYFUNCTION("""COMPUTED_VALUE"""),94.65)</f>
        <v>94.65</v>
      </c>
      <c r="D275" s="141">
        <f ca="1">IFERROR(__xludf.DUMMYFUNCTION("""COMPUTED_VALUE"""),94.78)</f>
        <v>94.78</v>
      </c>
      <c r="E275" s="141">
        <f ca="1">IFERROR(__xludf.DUMMYFUNCTION("""COMPUTED_VALUE"""),94.48)</f>
        <v>94.48</v>
      </c>
      <c r="F275" s="141">
        <f ca="1">IFERROR(__xludf.DUMMYFUNCTION("""COMPUTED_VALUE"""),94.64)</f>
        <v>94.64</v>
      </c>
      <c r="G275" s="143">
        <f ca="1">IFERROR(__xludf.DUMMYFUNCTION("""COMPUTED_VALUE"""),7179065)</f>
        <v>7179065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IFERROR(__xludf.DUMMYFUNCTION("""COMPUTED_VALUE"""),95.15)</f>
        <v>95.15</v>
      </c>
      <c r="D276" s="141">
        <f ca="1">IFERROR(__xludf.DUMMYFUNCTION("""COMPUTED_VALUE"""),95.15)</f>
        <v>95.15</v>
      </c>
      <c r="E276" s="141">
        <f ca="1">IFERROR(__xludf.DUMMYFUNCTION("""COMPUTED_VALUE"""),94.86)</f>
        <v>94.86</v>
      </c>
      <c r="F276" s="141">
        <f ca="1">IFERROR(__xludf.DUMMYFUNCTION("""COMPUTED_VALUE"""),94.96)</f>
        <v>94.96</v>
      </c>
      <c r="G276" s="143">
        <f ca="1">IFERROR(__xludf.DUMMYFUNCTION("""COMPUTED_VALUE"""),3460384)</f>
        <v>3460384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IFERROR(__xludf.DUMMYFUNCTION("""COMPUTED_VALUE"""),94.89)</f>
        <v>94.89</v>
      </c>
      <c r="D277" s="141">
        <f ca="1">IFERROR(__xludf.DUMMYFUNCTION("""COMPUTED_VALUE"""),95.23)</f>
        <v>95.23</v>
      </c>
      <c r="E277" s="141">
        <f ca="1">IFERROR(__xludf.DUMMYFUNCTION("""COMPUTED_VALUE"""),94.87)</f>
        <v>94.87</v>
      </c>
      <c r="F277" s="141">
        <f ca="1">IFERROR(__xludf.DUMMYFUNCTION("""COMPUTED_VALUE"""),95.19)</f>
        <v>95.19</v>
      </c>
      <c r="G277" s="143">
        <f ca="1">IFERROR(__xludf.DUMMYFUNCTION("""COMPUTED_VALUE"""),6840278)</f>
        <v>6840278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IFERROR(__xludf.DUMMYFUNCTION("""COMPUTED_VALUE"""),94.97)</f>
        <v>94.97</v>
      </c>
      <c r="D278" s="141">
        <f ca="1">IFERROR(__xludf.DUMMYFUNCTION("""COMPUTED_VALUE"""),95.06)</f>
        <v>95.06</v>
      </c>
      <c r="E278" s="141">
        <f ca="1">IFERROR(__xludf.DUMMYFUNCTION("""COMPUTED_VALUE"""),94.51)</f>
        <v>94.51</v>
      </c>
      <c r="F278" s="141">
        <f ca="1">IFERROR(__xludf.DUMMYFUNCTION("""COMPUTED_VALUE"""),94.56)</f>
        <v>94.56</v>
      </c>
      <c r="G278" s="143">
        <f ca="1">IFERROR(__xludf.DUMMYFUNCTION("""COMPUTED_VALUE"""),7479451)</f>
        <v>7479451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77" priority="5" operator="lessThan">
      <formula>0</formula>
    </cfRule>
    <cfRule type="cellIs" dxfId="76" priority="6" operator="greaterThan">
      <formula>0</formula>
    </cfRule>
  </conditionalFormatting>
  <conditionalFormatting sqref="F28:F1000">
    <cfRule type="expression" dxfId="75" priority="1">
      <formula>AND(F28=MAX(F$28:F$1000),F28&gt;0)</formula>
    </cfRule>
    <cfRule type="expression" dxfId="74" priority="2">
      <formula>AND(F28=MIN(F$28:F$1000),F28&gt;0)</formula>
    </cfRule>
  </conditionalFormatting>
  <conditionalFormatting sqref="F29:F1000">
    <cfRule type="expression" dxfId="73" priority="3">
      <formula>F29&gt;F27</formula>
    </cfRule>
    <cfRule type="expression" dxfId="72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D00-000000000000}">
      <formula1>"1 Month,3 Months,6 Months,12 Months,36 Months"</formula1>
    </dataValidation>
  </dataValidations>
  <hyperlinks>
    <hyperlink ref="G2" r:id="rId1" xr:uid="{00000000-0004-0000-0D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149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IFERROR(__xludf.DUMMYFUNCTION("GOOGLEFINANCE(B18,""name"")"),"State Street SPDR Bloomberg Intl TB ETF")</f>
        <v>State Street SPDR Bloomberg Intl TB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IFERROR(__xludf.DUMMYFUNCTION("GOOGLEFINANCE(B18,""price"")"),21.5)</f>
        <v>21.5</v>
      </c>
      <c r="C10" s="322"/>
      <c r="D10" s="100">
        <f ca="1">IFERROR(__xludf.DUMMYFUNCTION("IFERROR(GOOGLEFINANCE(B18,""change""),""-"")"),0.03)</f>
        <v>0.03</v>
      </c>
      <c r="E10" s="103">
        <f ca="1">IFERROR(__xludf.DUMMYFUNCTION("IFERROR(GOOGLEFINANCE(B18,""changepct"")/100,""-"")"),0.0014)</f>
        <v>1.4E-3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 t="str">
        <f ca="1">IFERROR(__xludf.DUMMYFUNCTION("IFERROR(GOOGLEFINANCE(B18,""marketcap""),""-"")"),"-")</f>
        <v>-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bwx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IFERROR(__xludf.DUMMYFUNCTION("""COMPUTED_VALUE"""),22.7)</f>
        <v>22.7</v>
      </c>
      <c r="D28" s="141">
        <f ca="1">IFERROR(__xludf.DUMMYFUNCTION("""COMPUTED_VALUE"""),22.76)</f>
        <v>22.76</v>
      </c>
      <c r="E28" s="141">
        <f ca="1">IFERROR(__xludf.DUMMYFUNCTION("""COMPUTED_VALUE"""),22.61)</f>
        <v>22.61</v>
      </c>
      <c r="F28" s="141">
        <f ca="1">IFERROR(__xludf.DUMMYFUNCTION("""COMPUTED_VALUE"""),22.62)</f>
        <v>22.62</v>
      </c>
      <c r="G28" s="143">
        <f ca="1">IFERROR(__xludf.DUMMYFUNCTION("""COMPUTED_VALUE"""),669012)</f>
        <v>669012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IFERROR(__xludf.DUMMYFUNCTION("""COMPUTED_VALUE"""),22.61)</f>
        <v>22.61</v>
      </c>
      <c r="D29" s="141">
        <f ca="1">IFERROR(__xludf.DUMMYFUNCTION("""COMPUTED_VALUE"""),22.65)</f>
        <v>22.65</v>
      </c>
      <c r="E29" s="141">
        <f ca="1">IFERROR(__xludf.DUMMYFUNCTION("""COMPUTED_VALUE"""),22.58)</f>
        <v>22.58</v>
      </c>
      <c r="F29" s="141">
        <f ca="1">IFERROR(__xludf.DUMMYFUNCTION("""COMPUTED_VALUE"""),22.58)</f>
        <v>22.58</v>
      </c>
      <c r="G29" s="143">
        <f ca="1">IFERROR(__xludf.DUMMYFUNCTION("""COMPUTED_VALUE"""),836038)</f>
        <v>836038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IFERROR(__xludf.DUMMYFUNCTION("""COMPUTED_VALUE"""),22.88)</f>
        <v>22.88</v>
      </c>
      <c r="D30" s="141">
        <f ca="1">IFERROR(__xludf.DUMMYFUNCTION("""COMPUTED_VALUE"""),22.94)</f>
        <v>22.94</v>
      </c>
      <c r="E30" s="141">
        <f ca="1">IFERROR(__xludf.DUMMYFUNCTION("""COMPUTED_VALUE"""),22.8)</f>
        <v>22.8</v>
      </c>
      <c r="F30" s="141">
        <f ca="1">IFERROR(__xludf.DUMMYFUNCTION("""COMPUTED_VALUE"""),22.9)</f>
        <v>22.9</v>
      </c>
      <c r="G30" s="143">
        <f ca="1">IFERROR(__xludf.DUMMYFUNCTION("""COMPUTED_VALUE"""),1142580)</f>
        <v>1142580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IFERROR(__xludf.DUMMYFUNCTION("""COMPUTED_VALUE"""),22.93)</f>
        <v>22.93</v>
      </c>
      <c r="D31" s="141">
        <f ca="1">IFERROR(__xludf.DUMMYFUNCTION("""COMPUTED_VALUE"""),22.98)</f>
        <v>22.98</v>
      </c>
      <c r="E31" s="141">
        <f ca="1">IFERROR(__xludf.DUMMYFUNCTION("""COMPUTED_VALUE"""),22.91)</f>
        <v>22.91</v>
      </c>
      <c r="F31" s="141">
        <f ca="1">IFERROR(__xludf.DUMMYFUNCTION("""COMPUTED_VALUE"""),22.96)</f>
        <v>22.96</v>
      </c>
      <c r="G31" s="143">
        <f ca="1">IFERROR(__xludf.DUMMYFUNCTION("""COMPUTED_VALUE"""),2166159)</f>
        <v>2166159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IFERROR(__xludf.DUMMYFUNCTION("""COMPUTED_VALUE"""),22.9)</f>
        <v>22.9</v>
      </c>
      <c r="D32" s="141">
        <f ca="1">IFERROR(__xludf.DUMMYFUNCTION("""COMPUTED_VALUE"""),22.96)</f>
        <v>22.96</v>
      </c>
      <c r="E32" s="141">
        <f ca="1">IFERROR(__xludf.DUMMYFUNCTION("""COMPUTED_VALUE"""),22.81)</f>
        <v>22.81</v>
      </c>
      <c r="F32" s="141">
        <f ca="1">IFERROR(__xludf.DUMMYFUNCTION("""COMPUTED_VALUE"""),22.93)</f>
        <v>22.93</v>
      </c>
      <c r="G32" s="143">
        <f ca="1">IFERROR(__xludf.DUMMYFUNCTION("""COMPUTED_VALUE"""),347488)</f>
        <v>347488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IFERROR(__xludf.DUMMYFUNCTION("""COMPUTED_VALUE"""),22.99)</f>
        <v>22.99</v>
      </c>
      <c r="D33" s="141">
        <f ca="1">IFERROR(__xludf.DUMMYFUNCTION("""COMPUTED_VALUE"""),23.05)</f>
        <v>23.05</v>
      </c>
      <c r="E33" s="141">
        <f ca="1">IFERROR(__xludf.DUMMYFUNCTION("""COMPUTED_VALUE"""),22.93)</f>
        <v>22.93</v>
      </c>
      <c r="F33" s="141">
        <f ca="1">IFERROR(__xludf.DUMMYFUNCTION("""COMPUTED_VALUE"""),23.03)</f>
        <v>23.03</v>
      </c>
      <c r="G33" s="143">
        <f ca="1">IFERROR(__xludf.DUMMYFUNCTION("""COMPUTED_VALUE"""),161887)</f>
        <v>161887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IFERROR(__xludf.DUMMYFUNCTION("""COMPUTED_VALUE"""),23.04)</f>
        <v>23.04</v>
      </c>
      <c r="D34" s="141">
        <f ca="1">IFERROR(__xludf.DUMMYFUNCTION("""COMPUTED_VALUE"""),23.06)</f>
        <v>23.06</v>
      </c>
      <c r="E34" s="141">
        <f ca="1">IFERROR(__xludf.DUMMYFUNCTION("""COMPUTED_VALUE"""),22.98)</f>
        <v>22.98</v>
      </c>
      <c r="F34" s="141">
        <f ca="1">IFERROR(__xludf.DUMMYFUNCTION("""COMPUTED_VALUE"""),23.05)</f>
        <v>23.05</v>
      </c>
      <c r="G34" s="143">
        <f ca="1">IFERROR(__xludf.DUMMYFUNCTION("""COMPUTED_VALUE"""),463704)</f>
        <v>463704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IFERROR(__xludf.DUMMYFUNCTION("""COMPUTED_VALUE"""),22.99)</f>
        <v>22.99</v>
      </c>
      <c r="D35" s="141">
        <f ca="1">IFERROR(__xludf.DUMMYFUNCTION("""COMPUTED_VALUE"""),23.01)</f>
        <v>23.01</v>
      </c>
      <c r="E35" s="141">
        <f ca="1">IFERROR(__xludf.DUMMYFUNCTION("""COMPUTED_VALUE"""),22.96)</f>
        <v>22.96</v>
      </c>
      <c r="F35" s="141">
        <f ca="1">IFERROR(__xludf.DUMMYFUNCTION("""COMPUTED_VALUE"""),22.98)</f>
        <v>22.98</v>
      </c>
      <c r="G35" s="143">
        <f ca="1">IFERROR(__xludf.DUMMYFUNCTION("""COMPUTED_VALUE"""),197977)</f>
        <v>197977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IFERROR(__xludf.DUMMYFUNCTION("""COMPUTED_VALUE"""),22.95)</f>
        <v>22.95</v>
      </c>
      <c r="D36" s="141">
        <f ca="1">IFERROR(__xludf.DUMMYFUNCTION("""COMPUTED_VALUE"""),22.96)</f>
        <v>22.96</v>
      </c>
      <c r="E36" s="141">
        <f ca="1">IFERROR(__xludf.DUMMYFUNCTION("""COMPUTED_VALUE"""),22.9)</f>
        <v>22.9</v>
      </c>
      <c r="F36" s="141">
        <f ca="1">IFERROR(__xludf.DUMMYFUNCTION("""COMPUTED_VALUE"""),22.91)</f>
        <v>22.91</v>
      </c>
      <c r="G36" s="143">
        <f ca="1">IFERROR(__xludf.DUMMYFUNCTION("""COMPUTED_VALUE"""),1128805)</f>
        <v>1128805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IFERROR(__xludf.DUMMYFUNCTION("""COMPUTED_VALUE"""),22.89)</f>
        <v>22.89</v>
      </c>
      <c r="D37" s="141">
        <f ca="1">IFERROR(__xludf.DUMMYFUNCTION("""COMPUTED_VALUE"""),22.99)</f>
        <v>22.99</v>
      </c>
      <c r="E37" s="141">
        <f ca="1">IFERROR(__xludf.DUMMYFUNCTION("""COMPUTED_VALUE"""),22.85)</f>
        <v>22.85</v>
      </c>
      <c r="F37" s="141">
        <f ca="1">IFERROR(__xludf.DUMMYFUNCTION("""COMPUTED_VALUE"""),22.97)</f>
        <v>22.97</v>
      </c>
      <c r="G37" s="143">
        <f ca="1">IFERROR(__xludf.DUMMYFUNCTION("""COMPUTED_VALUE"""),247255)</f>
        <v>247255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IFERROR(__xludf.DUMMYFUNCTION("""COMPUTED_VALUE"""),23)</f>
        <v>23</v>
      </c>
      <c r="D38" s="141">
        <f ca="1">IFERROR(__xludf.DUMMYFUNCTION("""COMPUTED_VALUE"""),23.13)</f>
        <v>23.13</v>
      </c>
      <c r="E38" s="141">
        <f ca="1">IFERROR(__xludf.DUMMYFUNCTION("""COMPUTED_VALUE"""),23)</f>
        <v>23</v>
      </c>
      <c r="F38" s="141">
        <f ca="1">IFERROR(__xludf.DUMMYFUNCTION("""COMPUTED_VALUE"""),23.09)</f>
        <v>23.09</v>
      </c>
      <c r="G38" s="143">
        <f ca="1">IFERROR(__xludf.DUMMYFUNCTION("""COMPUTED_VALUE"""),541347)</f>
        <v>541347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IFERROR(__xludf.DUMMYFUNCTION("""COMPUTED_VALUE"""),22.99)</f>
        <v>22.99</v>
      </c>
      <c r="D39" s="141">
        <f ca="1">IFERROR(__xludf.DUMMYFUNCTION("""COMPUTED_VALUE"""),23.01)</f>
        <v>23.01</v>
      </c>
      <c r="E39" s="141">
        <f ca="1">IFERROR(__xludf.DUMMYFUNCTION("""COMPUTED_VALUE"""),22.89)</f>
        <v>22.89</v>
      </c>
      <c r="F39" s="141">
        <f ca="1">IFERROR(__xludf.DUMMYFUNCTION("""COMPUTED_VALUE"""),22.94)</f>
        <v>22.94</v>
      </c>
      <c r="G39" s="143">
        <f ca="1">IFERROR(__xludf.DUMMYFUNCTION("""COMPUTED_VALUE"""),597946)</f>
        <v>597946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IFERROR(__xludf.DUMMYFUNCTION("""COMPUTED_VALUE"""),22.98)</f>
        <v>22.98</v>
      </c>
      <c r="D40" s="141">
        <f ca="1">IFERROR(__xludf.DUMMYFUNCTION("""COMPUTED_VALUE"""),23)</f>
        <v>23</v>
      </c>
      <c r="E40" s="141">
        <f ca="1">IFERROR(__xludf.DUMMYFUNCTION("""COMPUTED_VALUE"""),22.92)</f>
        <v>22.92</v>
      </c>
      <c r="F40" s="141">
        <f ca="1">IFERROR(__xludf.DUMMYFUNCTION("""COMPUTED_VALUE"""),22.94)</f>
        <v>22.94</v>
      </c>
      <c r="G40" s="143">
        <f ca="1">IFERROR(__xludf.DUMMYFUNCTION("""COMPUTED_VALUE"""),356323)</f>
        <v>356323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IFERROR(__xludf.DUMMYFUNCTION("""COMPUTED_VALUE"""),22.92)</f>
        <v>22.92</v>
      </c>
      <c r="D41" s="141">
        <f ca="1">IFERROR(__xludf.DUMMYFUNCTION("""COMPUTED_VALUE"""),22.93)</f>
        <v>22.93</v>
      </c>
      <c r="E41" s="141">
        <f ca="1">IFERROR(__xludf.DUMMYFUNCTION("""COMPUTED_VALUE"""),22.86)</f>
        <v>22.86</v>
      </c>
      <c r="F41" s="141">
        <f ca="1">IFERROR(__xludf.DUMMYFUNCTION("""COMPUTED_VALUE"""),22.89)</f>
        <v>22.89</v>
      </c>
      <c r="G41" s="143">
        <f ca="1">IFERROR(__xludf.DUMMYFUNCTION("""COMPUTED_VALUE"""),202445)</f>
        <v>202445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IFERROR(__xludf.DUMMYFUNCTION("""COMPUTED_VALUE"""),22.89)</f>
        <v>22.89</v>
      </c>
      <c r="D42" s="141">
        <f ca="1">IFERROR(__xludf.DUMMYFUNCTION("""COMPUTED_VALUE"""),22.92)</f>
        <v>22.92</v>
      </c>
      <c r="E42" s="141">
        <f ca="1">IFERROR(__xludf.DUMMYFUNCTION("""COMPUTED_VALUE"""),22.87)</f>
        <v>22.87</v>
      </c>
      <c r="F42" s="141">
        <f ca="1">IFERROR(__xludf.DUMMYFUNCTION("""COMPUTED_VALUE"""),22.87)</f>
        <v>22.87</v>
      </c>
      <c r="G42" s="143">
        <f ca="1">IFERROR(__xludf.DUMMYFUNCTION("""COMPUTED_VALUE"""),160053)</f>
        <v>160053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IFERROR(__xludf.DUMMYFUNCTION("""COMPUTED_VALUE"""),22.86)</f>
        <v>22.86</v>
      </c>
      <c r="D43" s="141">
        <f ca="1">IFERROR(__xludf.DUMMYFUNCTION("""COMPUTED_VALUE"""),22.95)</f>
        <v>22.95</v>
      </c>
      <c r="E43" s="141">
        <f ca="1">IFERROR(__xludf.DUMMYFUNCTION("""COMPUTED_VALUE"""),22.85)</f>
        <v>22.85</v>
      </c>
      <c r="F43" s="141">
        <f ca="1">IFERROR(__xludf.DUMMYFUNCTION("""COMPUTED_VALUE"""),22.9)</f>
        <v>22.9</v>
      </c>
      <c r="G43" s="143">
        <f ca="1">IFERROR(__xludf.DUMMYFUNCTION("""COMPUTED_VALUE"""),153545)</f>
        <v>153545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IFERROR(__xludf.DUMMYFUNCTION("""COMPUTED_VALUE"""),22.88)</f>
        <v>22.88</v>
      </c>
      <c r="D44" s="141">
        <f ca="1">IFERROR(__xludf.DUMMYFUNCTION("""COMPUTED_VALUE"""),22.89)</f>
        <v>22.89</v>
      </c>
      <c r="E44" s="141">
        <f ca="1">IFERROR(__xludf.DUMMYFUNCTION("""COMPUTED_VALUE"""),22.72)</f>
        <v>22.72</v>
      </c>
      <c r="F44" s="141">
        <f ca="1">IFERROR(__xludf.DUMMYFUNCTION("""COMPUTED_VALUE"""),22.76)</f>
        <v>22.76</v>
      </c>
      <c r="G44" s="143">
        <f ca="1">IFERROR(__xludf.DUMMYFUNCTION("""COMPUTED_VALUE"""),529641)</f>
        <v>529641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IFERROR(__xludf.DUMMYFUNCTION("""COMPUTED_VALUE"""),22.79)</f>
        <v>22.79</v>
      </c>
      <c r="D45" s="141">
        <f ca="1">IFERROR(__xludf.DUMMYFUNCTION("""COMPUTED_VALUE"""),23.06)</f>
        <v>23.06</v>
      </c>
      <c r="E45" s="141">
        <f ca="1">IFERROR(__xludf.DUMMYFUNCTION("""COMPUTED_VALUE"""),22.76)</f>
        <v>22.76</v>
      </c>
      <c r="F45" s="141">
        <f ca="1">IFERROR(__xludf.DUMMYFUNCTION("""COMPUTED_VALUE"""),23)</f>
        <v>23</v>
      </c>
      <c r="G45" s="143">
        <f ca="1">IFERROR(__xludf.DUMMYFUNCTION("""COMPUTED_VALUE"""),190523)</f>
        <v>190523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IFERROR(__xludf.DUMMYFUNCTION("""COMPUTED_VALUE"""),23)</f>
        <v>23</v>
      </c>
      <c r="D46" s="141">
        <f ca="1">IFERROR(__xludf.DUMMYFUNCTION("""COMPUTED_VALUE"""),23.02)</f>
        <v>23.02</v>
      </c>
      <c r="E46" s="141">
        <f ca="1">IFERROR(__xludf.DUMMYFUNCTION("""COMPUTED_VALUE"""),22.82)</f>
        <v>22.82</v>
      </c>
      <c r="F46" s="141">
        <f ca="1">IFERROR(__xludf.DUMMYFUNCTION("""COMPUTED_VALUE"""),22.82)</f>
        <v>22.82</v>
      </c>
      <c r="G46" s="143">
        <f ca="1">IFERROR(__xludf.DUMMYFUNCTION("""COMPUTED_VALUE"""),608857)</f>
        <v>608857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IFERROR(__xludf.DUMMYFUNCTION("""COMPUTED_VALUE"""),22.88)</f>
        <v>22.88</v>
      </c>
      <c r="D47" s="141">
        <f ca="1">IFERROR(__xludf.DUMMYFUNCTION("""COMPUTED_VALUE"""),22.95)</f>
        <v>22.95</v>
      </c>
      <c r="E47" s="141">
        <f ca="1">IFERROR(__xludf.DUMMYFUNCTION("""COMPUTED_VALUE"""),22.87)</f>
        <v>22.87</v>
      </c>
      <c r="F47" s="141">
        <f ca="1">IFERROR(__xludf.DUMMYFUNCTION("""COMPUTED_VALUE"""),22.91)</f>
        <v>22.91</v>
      </c>
      <c r="G47" s="143">
        <f ca="1">IFERROR(__xludf.DUMMYFUNCTION("""COMPUTED_VALUE"""),275953)</f>
        <v>275953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IFERROR(__xludf.DUMMYFUNCTION("""COMPUTED_VALUE"""),22.85)</f>
        <v>22.85</v>
      </c>
      <c r="D48" s="141">
        <f ca="1">IFERROR(__xludf.DUMMYFUNCTION("""COMPUTED_VALUE"""),22.99)</f>
        <v>22.99</v>
      </c>
      <c r="E48" s="141">
        <f ca="1">IFERROR(__xludf.DUMMYFUNCTION("""COMPUTED_VALUE"""),22.76)</f>
        <v>22.76</v>
      </c>
      <c r="F48" s="141">
        <f ca="1">IFERROR(__xludf.DUMMYFUNCTION("""COMPUTED_VALUE"""),22.92)</f>
        <v>22.92</v>
      </c>
      <c r="G48" s="143">
        <f ca="1">IFERROR(__xludf.DUMMYFUNCTION("""COMPUTED_VALUE"""),272620)</f>
        <v>272620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IFERROR(__xludf.DUMMYFUNCTION("""COMPUTED_VALUE"""),22.92)</f>
        <v>22.92</v>
      </c>
      <c r="D49" s="141">
        <f ca="1">IFERROR(__xludf.DUMMYFUNCTION("""COMPUTED_VALUE"""),23.03)</f>
        <v>23.03</v>
      </c>
      <c r="E49" s="141">
        <f ca="1">IFERROR(__xludf.DUMMYFUNCTION("""COMPUTED_VALUE"""),22.88)</f>
        <v>22.88</v>
      </c>
      <c r="F49" s="141">
        <f ca="1">IFERROR(__xludf.DUMMYFUNCTION("""COMPUTED_VALUE"""),23)</f>
        <v>23</v>
      </c>
      <c r="G49" s="143">
        <f ca="1">IFERROR(__xludf.DUMMYFUNCTION("""COMPUTED_VALUE"""),340648)</f>
        <v>340648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IFERROR(__xludf.DUMMYFUNCTION("""COMPUTED_VALUE"""),22.95)</f>
        <v>22.95</v>
      </c>
      <c r="D50" s="141">
        <f ca="1">IFERROR(__xludf.DUMMYFUNCTION("""COMPUTED_VALUE"""),23.03)</f>
        <v>23.03</v>
      </c>
      <c r="E50" s="141">
        <f ca="1">IFERROR(__xludf.DUMMYFUNCTION("""COMPUTED_VALUE"""),22.94)</f>
        <v>22.94</v>
      </c>
      <c r="F50" s="141">
        <f ca="1">IFERROR(__xludf.DUMMYFUNCTION("""COMPUTED_VALUE"""),23)</f>
        <v>23</v>
      </c>
      <c r="G50" s="143">
        <f ca="1">IFERROR(__xludf.DUMMYFUNCTION("""COMPUTED_VALUE"""),274102)</f>
        <v>274102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IFERROR(__xludf.DUMMYFUNCTION("""COMPUTED_VALUE"""),22.85)</f>
        <v>22.85</v>
      </c>
      <c r="D51" s="141">
        <f ca="1">IFERROR(__xludf.DUMMYFUNCTION("""COMPUTED_VALUE"""),22.86)</f>
        <v>22.86</v>
      </c>
      <c r="E51" s="141">
        <f ca="1">IFERROR(__xludf.DUMMYFUNCTION("""COMPUTED_VALUE"""),22.73)</f>
        <v>22.73</v>
      </c>
      <c r="F51" s="141">
        <f ca="1">IFERROR(__xludf.DUMMYFUNCTION("""COMPUTED_VALUE"""),22.76)</f>
        <v>22.76</v>
      </c>
      <c r="G51" s="143">
        <f ca="1">IFERROR(__xludf.DUMMYFUNCTION("""COMPUTED_VALUE"""),348037)</f>
        <v>348037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IFERROR(__xludf.DUMMYFUNCTION("""COMPUTED_VALUE"""),22.78)</f>
        <v>22.78</v>
      </c>
      <c r="D52" s="141">
        <f ca="1">IFERROR(__xludf.DUMMYFUNCTION("""COMPUTED_VALUE"""),22.88)</f>
        <v>22.88</v>
      </c>
      <c r="E52" s="141">
        <f ca="1">IFERROR(__xludf.DUMMYFUNCTION("""COMPUTED_VALUE"""),22.73)</f>
        <v>22.73</v>
      </c>
      <c r="F52" s="141">
        <f ca="1">IFERROR(__xludf.DUMMYFUNCTION("""COMPUTED_VALUE"""),22.82)</f>
        <v>22.82</v>
      </c>
      <c r="G52" s="143">
        <f ca="1">IFERROR(__xludf.DUMMYFUNCTION("""COMPUTED_VALUE"""),808707)</f>
        <v>808707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IFERROR(__xludf.DUMMYFUNCTION("""COMPUTED_VALUE"""),22.83)</f>
        <v>22.83</v>
      </c>
      <c r="D53" s="141">
        <f ca="1">IFERROR(__xludf.DUMMYFUNCTION("""COMPUTED_VALUE"""),22.86)</f>
        <v>22.86</v>
      </c>
      <c r="E53" s="141">
        <f ca="1">IFERROR(__xludf.DUMMYFUNCTION("""COMPUTED_VALUE"""),22.79)</f>
        <v>22.79</v>
      </c>
      <c r="F53" s="141">
        <f ca="1">IFERROR(__xludf.DUMMYFUNCTION("""COMPUTED_VALUE"""),22.86)</f>
        <v>22.86</v>
      </c>
      <c r="G53" s="143">
        <f ca="1">IFERROR(__xludf.DUMMYFUNCTION("""COMPUTED_VALUE"""),273442)</f>
        <v>273442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IFERROR(__xludf.DUMMYFUNCTION("""COMPUTED_VALUE"""),23.08)</f>
        <v>23.08</v>
      </c>
      <c r="D54" s="141">
        <f ca="1">IFERROR(__xludf.DUMMYFUNCTION("""COMPUTED_VALUE"""),23.12)</f>
        <v>23.12</v>
      </c>
      <c r="E54" s="141">
        <f ca="1">IFERROR(__xludf.DUMMYFUNCTION("""COMPUTED_VALUE"""),23.03)</f>
        <v>23.03</v>
      </c>
      <c r="F54" s="141">
        <f ca="1">IFERROR(__xludf.DUMMYFUNCTION("""COMPUTED_VALUE"""),23.06)</f>
        <v>23.06</v>
      </c>
      <c r="G54" s="143">
        <f ca="1">IFERROR(__xludf.DUMMYFUNCTION("""COMPUTED_VALUE"""),531204)</f>
        <v>531204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IFERROR(__xludf.DUMMYFUNCTION("""COMPUTED_VALUE"""),23.09)</f>
        <v>23.09</v>
      </c>
      <c r="D55" s="141">
        <f ca="1">IFERROR(__xludf.DUMMYFUNCTION("""COMPUTED_VALUE"""),23.13)</f>
        <v>23.13</v>
      </c>
      <c r="E55" s="141">
        <f ca="1">IFERROR(__xludf.DUMMYFUNCTION("""COMPUTED_VALUE"""),23.06)</f>
        <v>23.06</v>
      </c>
      <c r="F55" s="141">
        <f ca="1">IFERROR(__xludf.DUMMYFUNCTION("""COMPUTED_VALUE"""),23.11)</f>
        <v>23.11</v>
      </c>
      <c r="G55" s="143">
        <f ca="1">IFERROR(__xludf.DUMMYFUNCTION("""COMPUTED_VALUE"""),394717)</f>
        <v>394717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IFERROR(__xludf.DUMMYFUNCTION("""COMPUTED_VALUE"""),23.12)</f>
        <v>23.12</v>
      </c>
      <c r="D56" s="141">
        <f ca="1">IFERROR(__xludf.DUMMYFUNCTION("""COMPUTED_VALUE"""),23.17)</f>
        <v>23.17</v>
      </c>
      <c r="E56" s="141">
        <f ca="1">IFERROR(__xludf.DUMMYFUNCTION("""COMPUTED_VALUE"""),23.04)</f>
        <v>23.04</v>
      </c>
      <c r="F56" s="141">
        <f ca="1">IFERROR(__xludf.DUMMYFUNCTION("""COMPUTED_VALUE"""),23.06)</f>
        <v>23.06</v>
      </c>
      <c r="G56" s="143">
        <f ca="1">IFERROR(__xludf.DUMMYFUNCTION("""COMPUTED_VALUE"""),361980)</f>
        <v>361980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IFERROR(__xludf.DUMMYFUNCTION("""COMPUTED_VALUE"""),23.07)</f>
        <v>23.07</v>
      </c>
      <c r="D57" s="141">
        <f ca="1">IFERROR(__xludf.DUMMYFUNCTION("""COMPUTED_VALUE"""),23.12)</f>
        <v>23.12</v>
      </c>
      <c r="E57" s="141">
        <f ca="1">IFERROR(__xludf.DUMMYFUNCTION("""COMPUTED_VALUE"""),23.01)</f>
        <v>23.01</v>
      </c>
      <c r="F57" s="141">
        <f ca="1">IFERROR(__xludf.DUMMYFUNCTION("""COMPUTED_VALUE"""),23.06)</f>
        <v>23.06</v>
      </c>
      <c r="G57" s="143">
        <f ca="1">IFERROR(__xludf.DUMMYFUNCTION("""COMPUTED_VALUE"""),215653)</f>
        <v>215653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IFERROR(__xludf.DUMMYFUNCTION("""COMPUTED_VALUE"""),23.11)</f>
        <v>23.11</v>
      </c>
      <c r="D58" s="141">
        <f ca="1">IFERROR(__xludf.DUMMYFUNCTION("""COMPUTED_VALUE"""),23.17)</f>
        <v>23.17</v>
      </c>
      <c r="E58" s="141">
        <f ca="1">IFERROR(__xludf.DUMMYFUNCTION("""COMPUTED_VALUE"""),23.08)</f>
        <v>23.08</v>
      </c>
      <c r="F58" s="141">
        <f ca="1">IFERROR(__xludf.DUMMYFUNCTION("""COMPUTED_VALUE"""),23.14)</f>
        <v>23.14</v>
      </c>
      <c r="G58" s="143">
        <f ca="1">IFERROR(__xludf.DUMMYFUNCTION("""COMPUTED_VALUE"""),257966)</f>
        <v>257966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IFERROR(__xludf.DUMMYFUNCTION("""COMPUTED_VALUE"""),23.05)</f>
        <v>23.05</v>
      </c>
      <c r="D59" s="141">
        <f ca="1">IFERROR(__xludf.DUMMYFUNCTION("""COMPUTED_VALUE"""),23.1)</f>
        <v>23.1</v>
      </c>
      <c r="E59" s="141">
        <f ca="1">IFERROR(__xludf.DUMMYFUNCTION("""COMPUTED_VALUE"""),23.01)</f>
        <v>23.01</v>
      </c>
      <c r="F59" s="141">
        <f ca="1">IFERROR(__xludf.DUMMYFUNCTION("""COMPUTED_VALUE"""),23.06)</f>
        <v>23.06</v>
      </c>
      <c r="G59" s="143">
        <f ca="1">IFERROR(__xludf.DUMMYFUNCTION("""COMPUTED_VALUE"""),221718)</f>
        <v>221718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IFERROR(__xludf.DUMMYFUNCTION("""COMPUTED_VALUE"""),23.11)</f>
        <v>23.11</v>
      </c>
      <c r="D60" s="141">
        <f ca="1">IFERROR(__xludf.DUMMYFUNCTION("""COMPUTED_VALUE"""),23.18)</f>
        <v>23.18</v>
      </c>
      <c r="E60" s="141">
        <f ca="1">IFERROR(__xludf.DUMMYFUNCTION("""COMPUTED_VALUE"""),23.11)</f>
        <v>23.11</v>
      </c>
      <c r="F60" s="141">
        <f ca="1">IFERROR(__xludf.DUMMYFUNCTION("""COMPUTED_VALUE"""),23.16)</f>
        <v>23.16</v>
      </c>
      <c r="G60" s="143">
        <f ca="1">IFERROR(__xludf.DUMMYFUNCTION("""COMPUTED_VALUE"""),279195)</f>
        <v>279195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IFERROR(__xludf.DUMMYFUNCTION("""COMPUTED_VALUE"""),23.21)</f>
        <v>23.21</v>
      </c>
      <c r="D61" s="141">
        <f ca="1">IFERROR(__xludf.DUMMYFUNCTION("""COMPUTED_VALUE"""),23.29)</f>
        <v>23.29</v>
      </c>
      <c r="E61" s="141">
        <f ca="1">IFERROR(__xludf.DUMMYFUNCTION("""COMPUTED_VALUE"""),23.11)</f>
        <v>23.11</v>
      </c>
      <c r="F61" s="141">
        <f ca="1">IFERROR(__xludf.DUMMYFUNCTION("""COMPUTED_VALUE"""),23.27)</f>
        <v>23.27</v>
      </c>
      <c r="G61" s="143">
        <f ca="1">IFERROR(__xludf.DUMMYFUNCTION("""COMPUTED_VALUE"""),259953)</f>
        <v>259953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IFERROR(__xludf.DUMMYFUNCTION("""COMPUTED_VALUE"""),23.32)</f>
        <v>23.32</v>
      </c>
      <c r="D62" s="141">
        <f ca="1">IFERROR(__xludf.DUMMYFUNCTION("""COMPUTED_VALUE"""),23.42)</f>
        <v>23.42</v>
      </c>
      <c r="E62" s="141">
        <f ca="1">IFERROR(__xludf.DUMMYFUNCTION("""COMPUTED_VALUE"""),23.22)</f>
        <v>23.22</v>
      </c>
      <c r="F62" s="141">
        <f ca="1">IFERROR(__xludf.DUMMYFUNCTION("""COMPUTED_VALUE"""),23.22)</f>
        <v>23.22</v>
      </c>
      <c r="G62" s="143">
        <f ca="1">IFERROR(__xludf.DUMMYFUNCTION("""COMPUTED_VALUE"""),496481)</f>
        <v>496481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IFERROR(__xludf.DUMMYFUNCTION("""COMPUTED_VALUE"""),23.09)</f>
        <v>23.09</v>
      </c>
      <c r="D63" s="141">
        <f ca="1">IFERROR(__xludf.DUMMYFUNCTION("""COMPUTED_VALUE"""),23.12)</f>
        <v>23.12</v>
      </c>
      <c r="E63" s="141">
        <f ca="1">IFERROR(__xludf.DUMMYFUNCTION("""COMPUTED_VALUE"""),23.05)</f>
        <v>23.05</v>
      </c>
      <c r="F63" s="141">
        <f ca="1">IFERROR(__xludf.DUMMYFUNCTION("""COMPUTED_VALUE"""),23.08)</f>
        <v>23.08</v>
      </c>
      <c r="G63" s="143">
        <f ca="1">IFERROR(__xludf.DUMMYFUNCTION("""COMPUTED_VALUE"""),261047)</f>
        <v>261047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IFERROR(__xludf.DUMMYFUNCTION("""COMPUTED_VALUE"""),23.04)</f>
        <v>23.04</v>
      </c>
      <c r="D64" s="141">
        <f ca="1">IFERROR(__xludf.DUMMYFUNCTION("""COMPUTED_VALUE"""),23.08)</f>
        <v>23.08</v>
      </c>
      <c r="E64" s="141">
        <f ca="1">IFERROR(__xludf.DUMMYFUNCTION("""COMPUTED_VALUE"""),23.03)</f>
        <v>23.03</v>
      </c>
      <c r="F64" s="141">
        <f ca="1">IFERROR(__xludf.DUMMYFUNCTION("""COMPUTED_VALUE"""),23.04)</f>
        <v>23.04</v>
      </c>
      <c r="G64" s="143">
        <f ca="1">IFERROR(__xludf.DUMMYFUNCTION("""COMPUTED_VALUE"""),127819)</f>
        <v>127819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IFERROR(__xludf.DUMMYFUNCTION("""COMPUTED_VALUE"""),23.07)</f>
        <v>23.07</v>
      </c>
      <c r="D65" s="141">
        <f ca="1">IFERROR(__xludf.DUMMYFUNCTION("""COMPUTED_VALUE"""),23.12)</f>
        <v>23.12</v>
      </c>
      <c r="E65" s="141">
        <f ca="1">IFERROR(__xludf.DUMMYFUNCTION("""COMPUTED_VALUE"""),23.04)</f>
        <v>23.04</v>
      </c>
      <c r="F65" s="141">
        <f ca="1">IFERROR(__xludf.DUMMYFUNCTION("""COMPUTED_VALUE"""),23.09)</f>
        <v>23.09</v>
      </c>
      <c r="G65" s="143">
        <f ca="1">IFERROR(__xludf.DUMMYFUNCTION("""COMPUTED_VALUE"""),224665)</f>
        <v>224665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IFERROR(__xludf.DUMMYFUNCTION("""COMPUTED_VALUE"""),23.12)</f>
        <v>23.12</v>
      </c>
      <c r="D66" s="141">
        <f ca="1">IFERROR(__xludf.DUMMYFUNCTION("""COMPUTED_VALUE"""),23.13)</f>
        <v>23.13</v>
      </c>
      <c r="E66" s="141">
        <f ca="1">IFERROR(__xludf.DUMMYFUNCTION("""COMPUTED_VALUE"""),23.06)</f>
        <v>23.06</v>
      </c>
      <c r="F66" s="141">
        <f ca="1">IFERROR(__xludf.DUMMYFUNCTION("""COMPUTED_VALUE"""),23.11)</f>
        <v>23.11</v>
      </c>
      <c r="G66" s="143">
        <f ca="1">IFERROR(__xludf.DUMMYFUNCTION("""COMPUTED_VALUE"""),409037)</f>
        <v>409037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IFERROR(__xludf.DUMMYFUNCTION("""COMPUTED_VALUE"""),22.98)</f>
        <v>22.98</v>
      </c>
      <c r="D67" s="141">
        <f ca="1">IFERROR(__xludf.DUMMYFUNCTION("""COMPUTED_VALUE"""),22.99)</f>
        <v>22.99</v>
      </c>
      <c r="E67" s="141">
        <f ca="1">IFERROR(__xludf.DUMMYFUNCTION("""COMPUTED_VALUE"""),22.91)</f>
        <v>22.91</v>
      </c>
      <c r="F67" s="141">
        <f ca="1">IFERROR(__xludf.DUMMYFUNCTION("""COMPUTED_VALUE"""),22.93)</f>
        <v>22.93</v>
      </c>
      <c r="G67" s="143">
        <f ca="1">IFERROR(__xludf.DUMMYFUNCTION("""COMPUTED_VALUE"""),172442)</f>
        <v>172442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IFERROR(__xludf.DUMMYFUNCTION("""COMPUTED_VALUE"""),22.89)</f>
        <v>22.89</v>
      </c>
      <c r="D68" s="141">
        <f ca="1">IFERROR(__xludf.DUMMYFUNCTION("""COMPUTED_VALUE"""),22.9)</f>
        <v>22.9</v>
      </c>
      <c r="E68" s="141">
        <f ca="1">IFERROR(__xludf.DUMMYFUNCTION("""COMPUTED_VALUE"""),22.76)</f>
        <v>22.76</v>
      </c>
      <c r="F68" s="141">
        <f ca="1">IFERROR(__xludf.DUMMYFUNCTION("""COMPUTED_VALUE"""),22.79)</f>
        <v>22.79</v>
      </c>
      <c r="G68" s="143">
        <f ca="1">IFERROR(__xludf.DUMMYFUNCTION("""COMPUTED_VALUE"""),236456)</f>
        <v>236456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IFERROR(__xludf.DUMMYFUNCTION("""COMPUTED_VALUE"""),22.78)</f>
        <v>22.78</v>
      </c>
      <c r="D69" s="141">
        <f ca="1">IFERROR(__xludf.DUMMYFUNCTION("""COMPUTED_VALUE"""),22.88)</f>
        <v>22.88</v>
      </c>
      <c r="E69" s="141">
        <f ca="1">IFERROR(__xludf.DUMMYFUNCTION("""COMPUTED_VALUE"""),22.77)</f>
        <v>22.77</v>
      </c>
      <c r="F69" s="141">
        <f ca="1">IFERROR(__xludf.DUMMYFUNCTION("""COMPUTED_VALUE"""),22.85)</f>
        <v>22.85</v>
      </c>
      <c r="G69" s="143">
        <f ca="1">IFERROR(__xludf.DUMMYFUNCTION("""COMPUTED_VALUE"""),261870)</f>
        <v>261870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IFERROR(__xludf.DUMMYFUNCTION("""COMPUTED_VALUE"""),22.92)</f>
        <v>22.92</v>
      </c>
      <c r="D70" s="141">
        <f ca="1">IFERROR(__xludf.DUMMYFUNCTION("""COMPUTED_VALUE"""),22.98)</f>
        <v>22.98</v>
      </c>
      <c r="E70" s="141">
        <f ca="1">IFERROR(__xludf.DUMMYFUNCTION("""COMPUTED_VALUE"""),22.9)</f>
        <v>22.9</v>
      </c>
      <c r="F70" s="141">
        <f ca="1">IFERROR(__xludf.DUMMYFUNCTION("""COMPUTED_VALUE"""),22.97)</f>
        <v>22.97</v>
      </c>
      <c r="G70" s="143">
        <f ca="1">IFERROR(__xludf.DUMMYFUNCTION("""COMPUTED_VALUE"""),153504)</f>
        <v>153504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IFERROR(__xludf.DUMMYFUNCTION("""COMPUTED_VALUE"""),23)</f>
        <v>23</v>
      </c>
      <c r="D71" s="141">
        <f ca="1">IFERROR(__xludf.DUMMYFUNCTION("""COMPUTED_VALUE"""),23.05)</f>
        <v>23.05</v>
      </c>
      <c r="E71" s="141">
        <f ca="1">IFERROR(__xludf.DUMMYFUNCTION("""COMPUTED_VALUE"""),22.97)</f>
        <v>22.97</v>
      </c>
      <c r="F71" s="141">
        <f ca="1">IFERROR(__xludf.DUMMYFUNCTION("""COMPUTED_VALUE"""),23)</f>
        <v>23</v>
      </c>
      <c r="G71" s="143">
        <f ca="1">IFERROR(__xludf.DUMMYFUNCTION("""COMPUTED_VALUE"""),879324)</f>
        <v>879324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IFERROR(__xludf.DUMMYFUNCTION("""COMPUTED_VALUE"""),23)</f>
        <v>23</v>
      </c>
      <c r="D72" s="141">
        <f ca="1">IFERROR(__xludf.DUMMYFUNCTION("""COMPUTED_VALUE"""),23.08)</f>
        <v>23.08</v>
      </c>
      <c r="E72" s="141">
        <f ca="1">IFERROR(__xludf.DUMMYFUNCTION("""COMPUTED_VALUE"""),22.96)</f>
        <v>22.96</v>
      </c>
      <c r="F72" s="141">
        <f ca="1">IFERROR(__xludf.DUMMYFUNCTION("""COMPUTED_VALUE"""),22.99)</f>
        <v>22.99</v>
      </c>
      <c r="G72" s="143">
        <f ca="1">IFERROR(__xludf.DUMMYFUNCTION("""COMPUTED_VALUE"""),452759)</f>
        <v>452759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IFERROR(__xludf.DUMMYFUNCTION("""COMPUTED_VALUE"""),22.95)</f>
        <v>22.95</v>
      </c>
      <c r="D73" s="141">
        <f ca="1">IFERROR(__xludf.DUMMYFUNCTION("""COMPUTED_VALUE"""),23.01)</f>
        <v>23.01</v>
      </c>
      <c r="E73" s="141">
        <f ca="1">IFERROR(__xludf.DUMMYFUNCTION("""COMPUTED_VALUE"""),22.9)</f>
        <v>22.9</v>
      </c>
      <c r="F73" s="141">
        <f ca="1">IFERROR(__xludf.DUMMYFUNCTION("""COMPUTED_VALUE"""),22.97)</f>
        <v>22.97</v>
      </c>
      <c r="G73" s="143">
        <f ca="1">IFERROR(__xludf.DUMMYFUNCTION("""COMPUTED_VALUE"""),302884)</f>
        <v>302884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IFERROR(__xludf.DUMMYFUNCTION("""COMPUTED_VALUE"""),22.95)</f>
        <v>22.95</v>
      </c>
      <c r="D74" s="141">
        <f ca="1">IFERROR(__xludf.DUMMYFUNCTION("""COMPUTED_VALUE"""),23)</f>
        <v>23</v>
      </c>
      <c r="E74" s="141">
        <f ca="1">IFERROR(__xludf.DUMMYFUNCTION("""COMPUTED_VALUE"""),22.94)</f>
        <v>22.94</v>
      </c>
      <c r="F74" s="141">
        <f ca="1">IFERROR(__xludf.DUMMYFUNCTION("""COMPUTED_VALUE"""),22.96)</f>
        <v>22.96</v>
      </c>
      <c r="G74" s="143">
        <f ca="1">IFERROR(__xludf.DUMMYFUNCTION("""COMPUTED_VALUE"""),1225661)</f>
        <v>1225661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IFERROR(__xludf.DUMMYFUNCTION("""COMPUTED_VALUE"""),22.82)</f>
        <v>22.82</v>
      </c>
      <c r="D75" s="141">
        <f ca="1">IFERROR(__xludf.DUMMYFUNCTION("""COMPUTED_VALUE"""),22.91)</f>
        <v>22.91</v>
      </c>
      <c r="E75" s="141">
        <f ca="1">IFERROR(__xludf.DUMMYFUNCTION("""COMPUTED_VALUE"""),22.79)</f>
        <v>22.79</v>
      </c>
      <c r="F75" s="141">
        <f ca="1">IFERROR(__xludf.DUMMYFUNCTION("""COMPUTED_VALUE"""),22.8)</f>
        <v>22.8</v>
      </c>
      <c r="G75" s="143">
        <f ca="1">IFERROR(__xludf.DUMMYFUNCTION("""COMPUTED_VALUE"""),482129)</f>
        <v>482129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IFERROR(__xludf.DUMMYFUNCTION("""COMPUTED_VALUE"""),22.78)</f>
        <v>22.78</v>
      </c>
      <c r="D76" s="141">
        <f ca="1">IFERROR(__xludf.DUMMYFUNCTION("""COMPUTED_VALUE"""),22.79)</f>
        <v>22.79</v>
      </c>
      <c r="E76" s="141">
        <f ca="1">IFERROR(__xludf.DUMMYFUNCTION("""COMPUTED_VALUE"""),22.7)</f>
        <v>22.7</v>
      </c>
      <c r="F76" s="141">
        <f ca="1">IFERROR(__xludf.DUMMYFUNCTION("""COMPUTED_VALUE"""),22.7)</f>
        <v>22.7</v>
      </c>
      <c r="G76" s="143">
        <f ca="1">IFERROR(__xludf.DUMMYFUNCTION("""COMPUTED_VALUE"""),209784)</f>
        <v>209784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IFERROR(__xludf.DUMMYFUNCTION("""COMPUTED_VALUE"""),22.71)</f>
        <v>22.71</v>
      </c>
      <c r="D77" s="141">
        <f ca="1">IFERROR(__xludf.DUMMYFUNCTION("""COMPUTED_VALUE"""),22.74)</f>
        <v>22.74</v>
      </c>
      <c r="E77" s="141">
        <f ca="1">IFERROR(__xludf.DUMMYFUNCTION("""COMPUTED_VALUE"""),22.64)</f>
        <v>22.64</v>
      </c>
      <c r="F77" s="141">
        <f ca="1">IFERROR(__xludf.DUMMYFUNCTION("""COMPUTED_VALUE"""),22.69)</f>
        <v>22.69</v>
      </c>
      <c r="G77" s="143">
        <f ca="1">IFERROR(__xludf.DUMMYFUNCTION("""COMPUTED_VALUE"""),228539)</f>
        <v>228539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IFERROR(__xludf.DUMMYFUNCTION("""COMPUTED_VALUE"""),22.68)</f>
        <v>22.68</v>
      </c>
      <c r="D78" s="141">
        <f ca="1">IFERROR(__xludf.DUMMYFUNCTION("""COMPUTED_VALUE"""),22.68)</f>
        <v>22.68</v>
      </c>
      <c r="E78" s="141">
        <f ca="1">IFERROR(__xludf.DUMMYFUNCTION("""COMPUTED_VALUE"""),22.55)</f>
        <v>22.55</v>
      </c>
      <c r="F78" s="141">
        <f ca="1">IFERROR(__xludf.DUMMYFUNCTION("""COMPUTED_VALUE"""),22.58)</f>
        <v>22.58</v>
      </c>
      <c r="G78" s="143">
        <f ca="1">IFERROR(__xludf.DUMMYFUNCTION("""COMPUTED_VALUE"""),190986)</f>
        <v>190986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IFERROR(__xludf.DUMMYFUNCTION("""COMPUTED_VALUE"""),22.68)</f>
        <v>22.68</v>
      </c>
      <c r="D79" s="141">
        <f ca="1">IFERROR(__xludf.DUMMYFUNCTION("""COMPUTED_VALUE"""),22.76)</f>
        <v>22.76</v>
      </c>
      <c r="E79" s="141">
        <f ca="1">IFERROR(__xludf.DUMMYFUNCTION("""COMPUTED_VALUE"""),22.6)</f>
        <v>22.6</v>
      </c>
      <c r="F79" s="141">
        <f ca="1">IFERROR(__xludf.DUMMYFUNCTION("""COMPUTED_VALUE"""),22.73)</f>
        <v>22.73</v>
      </c>
      <c r="G79" s="143">
        <f ca="1">IFERROR(__xludf.DUMMYFUNCTION("""COMPUTED_VALUE"""),207991)</f>
        <v>207991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IFERROR(__xludf.DUMMYFUNCTION("""COMPUTED_VALUE"""),22.75)</f>
        <v>22.75</v>
      </c>
      <c r="D80" s="141">
        <f ca="1">IFERROR(__xludf.DUMMYFUNCTION("""COMPUTED_VALUE"""),22.84)</f>
        <v>22.84</v>
      </c>
      <c r="E80" s="141">
        <f ca="1">IFERROR(__xludf.DUMMYFUNCTION("""COMPUTED_VALUE"""),22.67)</f>
        <v>22.67</v>
      </c>
      <c r="F80" s="141">
        <f ca="1">IFERROR(__xludf.DUMMYFUNCTION("""COMPUTED_VALUE"""),22.71)</f>
        <v>22.71</v>
      </c>
      <c r="G80" s="143">
        <f ca="1">IFERROR(__xludf.DUMMYFUNCTION("""COMPUTED_VALUE"""),1089197)</f>
        <v>1089197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IFERROR(__xludf.DUMMYFUNCTION("""COMPUTED_VALUE"""),22.71)</f>
        <v>22.71</v>
      </c>
      <c r="D81" s="141">
        <f ca="1">IFERROR(__xludf.DUMMYFUNCTION("""COMPUTED_VALUE"""),22.8)</f>
        <v>22.8</v>
      </c>
      <c r="E81" s="141">
        <f ca="1">IFERROR(__xludf.DUMMYFUNCTION("""COMPUTED_VALUE"""),22.66)</f>
        <v>22.66</v>
      </c>
      <c r="F81" s="141">
        <f ca="1">IFERROR(__xludf.DUMMYFUNCTION("""COMPUTED_VALUE"""),22.78)</f>
        <v>22.78</v>
      </c>
      <c r="G81" s="143">
        <f ca="1">IFERROR(__xludf.DUMMYFUNCTION("""COMPUTED_VALUE"""),519952)</f>
        <v>519952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IFERROR(__xludf.DUMMYFUNCTION("""COMPUTED_VALUE"""),22.82)</f>
        <v>22.82</v>
      </c>
      <c r="D82" s="141">
        <f ca="1">IFERROR(__xludf.DUMMYFUNCTION("""COMPUTED_VALUE"""),22.91)</f>
        <v>22.91</v>
      </c>
      <c r="E82" s="141">
        <f ca="1">IFERROR(__xludf.DUMMYFUNCTION("""COMPUTED_VALUE"""),22.79)</f>
        <v>22.79</v>
      </c>
      <c r="F82" s="141">
        <f ca="1">IFERROR(__xludf.DUMMYFUNCTION("""COMPUTED_VALUE"""),22.86)</f>
        <v>22.86</v>
      </c>
      <c r="G82" s="143">
        <f ca="1">IFERROR(__xludf.DUMMYFUNCTION("""COMPUTED_VALUE"""),458002)</f>
        <v>458002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IFERROR(__xludf.DUMMYFUNCTION("""COMPUTED_VALUE"""),22.9)</f>
        <v>22.9</v>
      </c>
      <c r="D83" s="141">
        <f ca="1">IFERROR(__xludf.DUMMYFUNCTION("""COMPUTED_VALUE"""),23.05)</f>
        <v>23.05</v>
      </c>
      <c r="E83" s="141">
        <f ca="1">IFERROR(__xludf.DUMMYFUNCTION("""COMPUTED_VALUE"""),22.87)</f>
        <v>22.87</v>
      </c>
      <c r="F83" s="141">
        <f ca="1">IFERROR(__xludf.DUMMYFUNCTION("""COMPUTED_VALUE"""),23.03)</f>
        <v>23.03</v>
      </c>
      <c r="G83" s="143">
        <f ca="1">IFERROR(__xludf.DUMMYFUNCTION("""COMPUTED_VALUE"""),364554)</f>
        <v>364554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IFERROR(__xludf.DUMMYFUNCTION("""COMPUTED_VALUE"""),22.96)</f>
        <v>22.96</v>
      </c>
      <c r="D84" s="141">
        <f ca="1">IFERROR(__xludf.DUMMYFUNCTION("""COMPUTED_VALUE"""),23.01)</f>
        <v>23.01</v>
      </c>
      <c r="E84" s="141">
        <f ca="1">IFERROR(__xludf.DUMMYFUNCTION("""COMPUTED_VALUE"""),22.9)</f>
        <v>22.9</v>
      </c>
      <c r="F84" s="141">
        <f ca="1">IFERROR(__xludf.DUMMYFUNCTION("""COMPUTED_VALUE"""),22.97)</f>
        <v>22.97</v>
      </c>
      <c r="G84" s="143">
        <f ca="1">IFERROR(__xludf.DUMMYFUNCTION("""COMPUTED_VALUE"""),418513)</f>
        <v>418513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IFERROR(__xludf.DUMMYFUNCTION("""COMPUTED_VALUE"""),22.97)</f>
        <v>22.97</v>
      </c>
      <c r="D85" s="141">
        <f ca="1">IFERROR(__xludf.DUMMYFUNCTION("""COMPUTED_VALUE"""),23.01)</f>
        <v>23.01</v>
      </c>
      <c r="E85" s="141">
        <f ca="1">IFERROR(__xludf.DUMMYFUNCTION("""COMPUTED_VALUE"""),22.92)</f>
        <v>22.92</v>
      </c>
      <c r="F85" s="141">
        <f ca="1">IFERROR(__xludf.DUMMYFUNCTION("""COMPUTED_VALUE"""),23)</f>
        <v>23</v>
      </c>
      <c r="G85" s="143">
        <f ca="1">IFERROR(__xludf.DUMMYFUNCTION("""COMPUTED_VALUE"""),626179)</f>
        <v>626179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IFERROR(__xludf.DUMMYFUNCTION("""COMPUTED_VALUE"""),22.93)</f>
        <v>22.93</v>
      </c>
      <c r="D86" s="141">
        <f ca="1">IFERROR(__xludf.DUMMYFUNCTION("""COMPUTED_VALUE"""),22.93)</f>
        <v>22.93</v>
      </c>
      <c r="E86" s="141">
        <f ca="1">IFERROR(__xludf.DUMMYFUNCTION("""COMPUTED_VALUE"""),22.86)</f>
        <v>22.86</v>
      </c>
      <c r="F86" s="141">
        <f ca="1">IFERROR(__xludf.DUMMYFUNCTION("""COMPUTED_VALUE"""),22.9)</f>
        <v>22.9</v>
      </c>
      <c r="G86" s="143">
        <f ca="1">IFERROR(__xludf.DUMMYFUNCTION("""COMPUTED_VALUE"""),387597)</f>
        <v>387597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IFERROR(__xludf.DUMMYFUNCTION("""COMPUTED_VALUE"""),22.91)</f>
        <v>22.91</v>
      </c>
      <c r="D87" s="141">
        <f ca="1">IFERROR(__xludf.DUMMYFUNCTION("""COMPUTED_VALUE"""),22.94)</f>
        <v>22.94</v>
      </c>
      <c r="E87" s="141">
        <f ca="1">IFERROR(__xludf.DUMMYFUNCTION("""COMPUTED_VALUE"""),22.88)</f>
        <v>22.88</v>
      </c>
      <c r="F87" s="141">
        <f ca="1">IFERROR(__xludf.DUMMYFUNCTION("""COMPUTED_VALUE"""),22.91)</f>
        <v>22.91</v>
      </c>
      <c r="G87" s="143">
        <f ca="1">IFERROR(__xludf.DUMMYFUNCTION("""COMPUTED_VALUE"""),203066)</f>
        <v>203066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IFERROR(__xludf.DUMMYFUNCTION("""COMPUTED_VALUE"""),22.86)</f>
        <v>22.86</v>
      </c>
      <c r="D88" s="141">
        <f ca="1">IFERROR(__xludf.DUMMYFUNCTION("""COMPUTED_VALUE"""),22.9)</f>
        <v>22.9</v>
      </c>
      <c r="E88" s="141">
        <f ca="1">IFERROR(__xludf.DUMMYFUNCTION("""COMPUTED_VALUE"""),22.8)</f>
        <v>22.8</v>
      </c>
      <c r="F88" s="141">
        <f ca="1">IFERROR(__xludf.DUMMYFUNCTION("""COMPUTED_VALUE"""),22.85)</f>
        <v>22.85</v>
      </c>
      <c r="G88" s="143">
        <f ca="1">IFERROR(__xludf.DUMMYFUNCTION("""COMPUTED_VALUE"""),188640)</f>
        <v>188640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IFERROR(__xludf.DUMMYFUNCTION("""COMPUTED_VALUE"""),22.86)</f>
        <v>22.86</v>
      </c>
      <c r="D89" s="141">
        <f ca="1">IFERROR(__xludf.DUMMYFUNCTION("""COMPUTED_VALUE"""),22.88)</f>
        <v>22.88</v>
      </c>
      <c r="E89" s="141">
        <f ca="1">IFERROR(__xludf.DUMMYFUNCTION("""COMPUTED_VALUE"""),22.81)</f>
        <v>22.81</v>
      </c>
      <c r="F89" s="141">
        <f ca="1">IFERROR(__xludf.DUMMYFUNCTION("""COMPUTED_VALUE"""),22.83)</f>
        <v>22.83</v>
      </c>
      <c r="G89" s="143">
        <f ca="1">IFERROR(__xludf.DUMMYFUNCTION("""COMPUTED_VALUE"""),256585)</f>
        <v>256585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IFERROR(__xludf.DUMMYFUNCTION("""COMPUTED_VALUE"""),22.82)</f>
        <v>22.82</v>
      </c>
      <c r="D90" s="141">
        <f ca="1">IFERROR(__xludf.DUMMYFUNCTION("""COMPUTED_VALUE"""),22.93)</f>
        <v>22.93</v>
      </c>
      <c r="E90" s="141">
        <f ca="1">IFERROR(__xludf.DUMMYFUNCTION("""COMPUTED_VALUE"""),22.73)</f>
        <v>22.73</v>
      </c>
      <c r="F90" s="141">
        <f ca="1">IFERROR(__xludf.DUMMYFUNCTION("""COMPUTED_VALUE"""),22.9)</f>
        <v>22.9</v>
      </c>
      <c r="G90" s="143">
        <f ca="1">IFERROR(__xludf.DUMMYFUNCTION("""COMPUTED_VALUE"""),235330)</f>
        <v>235330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IFERROR(__xludf.DUMMYFUNCTION("""COMPUTED_VALUE"""),22.89)</f>
        <v>22.89</v>
      </c>
      <c r="D91" s="141">
        <f ca="1">IFERROR(__xludf.DUMMYFUNCTION("""COMPUTED_VALUE"""),22.97)</f>
        <v>22.97</v>
      </c>
      <c r="E91" s="141">
        <f ca="1">IFERROR(__xludf.DUMMYFUNCTION("""COMPUTED_VALUE"""),22.87)</f>
        <v>22.87</v>
      </c>
      <c r="F91" s="141">
        <f ca="1">IFERROR(__xludf.DUMMYFUNCTION("""COMPUTED_VALUE"""),22.94)</f>
        <v>22.94</v>
      </c>
      <c r="G91" s="143">
        <f ca="1">IFERROR(__xludf.DUMMYFUNCTION("""COMPUTED_VALUE"""),152082)</f>
        <v>152082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IFERROR(__xludf.DUMMYFUNCTION("""COMPUTED_VALUE"""),22.94)</f>
        <v>22.94</v>
      </c>
      <c r="D92" s="141">
        <f ca="1">IFERROR(__xludf.DUMMYFUNCTION("""COMPUTED_VALUE"""),22.99)</f>
        <v>22.99</v>
      </c>
      <c r="E92" s="141">
        <f ca="1">IFERROR(__xludf.DUMMYFUNCTION("""COMPUTED_VALUE"""),22.7)</f>
        <v>22.7</v>
      </c>
      <c r="F92" s="141">
        <f ca="1">IFERROR(__xludf.DUMMYFUNCTION("""COMPUTED_VALUE"""),22.7)</f>
        <v>22.7</v>
      </c>
      <c r="G92" s="143">
        <f ca="1">IFERROR(__xludf.DUMMYFUNCTION("""COMPUTED_VALUE"""),282314)</f>
        <v>282314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IFERROR(__xludf.DUMMYFUNCTION("""COMPUTED_VALUE"""),22.7)</f>
        <v>22.7</v>
      </c>
      <c r="D93" s="141">
        <f ca="1">IFERROR(__xludf.DUMMYFUNCTION("""COMPUTED_VALUE"""),22.77)</f>
        <v>22.77</v>
      </c>
      <c r="E93" s="141">
        <f ca="1">IFERROR(__xludf.DUMMYFUNCTION("""COMPUTED_VALUE"""),22.66)</f>
        <v>22.66</v>
      </c>
      <c r="F93" s="141">
        <f ca="1">IFERROR(__xludf.DUMMYFUNCTION("""COMPUTED_VALUE"""),22.73)</f>
        <v>22.73</v>
      </c>
      <c r="G93" s="143">
        <f ca="1">IFERROR(__xludf.DUMMYFUNCTION("""COMPUTED_VALUE"""),361441)</f>
        <v>361441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IFERROR(__xludf.DUMMYFUNCTION("""COMPUTED_VALUE"""),22.73)</f>
        <v>22.73</v>
      </c>
      <c r="D94" s="141">
        <f ca="1">IFERROR(__xludf.DUMMYFUNCTION("""COMPUTED_VALUE"""),22.76)</f>
        <v>22.76</v>
      </c>
      <c r="E94" s="141">
        <f ca="1">IFERROR(__xludf.DUMMYFUNCTION("""COMPUTED_VALUE"""),22.69)</f>
        <v>22.69</v>
      </c>
      <c r="F94" s="141">
        <f ca="1">IFERROR(__xludf.DUMMYFUNCTION("""COMPUTED_VALUE"""),22.73)</f>
        <v>22.73</v>
      </c>
      <c r="G94" s="143">
        <f ca="1">IFERROR(__xludf.DUMMYFUNCTION("""COMPUTED_VALUE"""),594276)</f>
        <v>594276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IFERROR(__xludf.DUMMYFUNCTION("""COMPUTED_VALUE"""),22.6)</f>
        <v>22.6</v>
      </c>
      <c r="D95" s="141">
        <f ca="1">IFERROR(__xludf.DUMMYFUNCTION("""COMPUTED_VALUE"""),22.65)</f>
        <v>22.65</v>
      </c>
      <c r="E95" s="141">
        <f ca="1">IFERROR(__xludf.DUMMYFUNCTION("""COMPUTED_VALUE"""),22.58)</f>
        <v>22.58</v>
      </c>
      <c r="F95" s="141">
        <f ca="1">IFERROR(__xludf.DUMMYFUNCTION("""COMPUTED_VALUE"""),22.58)</f>
        <v>22.58</v>
      </c>
      <c r="G95" s="143">
        <f ca="1">IFERROR(__xludf.DUMMYFUNCTION("""COMPUTED_VALUE"""),376926)</f>
        <v>376926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IFERROR(__xludf.DUMMYFUNCTION("""COMPUTED_VALUE"""),22.57)</f>
        <v>22.57</v>
      </c>
      <c r="D96" s="141">
        <f ca="1">IFERROR(__xludf.DUMMYFUNCTION("""COMPUTED_VALUE"""),22.61)</f>
        <v>22.61</v>
      </c>
      <c r="E96" s="141">
        <f ca="1">IFERROR(__xludf.DUMMYFUNCTION("""COMPUTED_VALUE"""),22.55)</f>
        <v>22.55</v>
      </c>
      <c r="F96" s="141">
        <f ca="1">IFERROR(__xludf.DUMMYFUNCTION("""COMPUTED_VALUE"""),22.56)</f>
        <v>22.56</v>
      </c>
      <c r="G96" s="143">
        <f ca="1">IFERROR(__xludf.DUMMYFUNCTION("""COMPUTED_VALUE"""),211075)</f>
        <v>211075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IFERROR(__xludf.DUMMYFUNCTION("""COMPUTED_VALUE"""),22.53)</f>
        <v>22.53</v>
      </c>
      <c r="D97" s="141">
        <f ca="1">IFERROR(__xludf.DUMMYFUNCTION("""COMPUTED_VALUE"""),22.61)</f>
        <v>22.61</v>
      </c>
      <c r="E97" s="141">
        <f ca="1">IFERROR(__xludf.DUMMYFUNCTION("""COMPUTED_VALUE"""),22.46)</f>
        <v>22.46</v>
      </c>
      <c r="F97" s="141">
        <f ca="1">IFERROR(__xludf.DUMMYFUNCTION("""COMPUTED_VALUE"""),22.52)</f>
        <v>22.52</v>
      </c>
      <c r="G97" s="143">
        <f ca="1">IFERROR(__xludf.DUMMYFUNCTION("""COMPUTED_VALUE"""),164387)</f>
        <v>164387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IFERROR(__xludf.DUMMYFUNCTION("""COMPUTED_VALUE"""),22.64)</f>
        <v>22.64</v>
      </c>
      <c r="D98" s="141">
        <f ca="1">IFERROR(__xludf.DUMMYFUNCTION("""COMPUTED_VALUE"""),22.69)</f>
        <v>22.69</v>
      </c>
      <c r="E98" s="141">
        <f ca="1">IFERROR(__xludf.DUMMYFUNCTION("""COMPUTED_VALUE"""),22.62)</f>
        <v>22.62</v>
      </c>
      <c r="F98" s="141">
        <f ca="1">IFERROR(__xludf.DUMMYFUNCTION("""COMPUTED_VALUE"""),22.64)</f>
        <v>22.64</v>
      </c>
      <c r="G98" s="143">
        <f ca="1">IFERROR(__xludf.DUMMYFUNCTION("""COMPUTED_VALUE"""),1023533)</f>
        <v>1023533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IFERROR(__xludf.DUMMYFUNCTION("""COMPUTED_VALUE"""),22.62)</f>
        <v>22.62</v>
      </c>
      <c r="D99" s="141">
        <f ca="1">IFERROR(__xludf.DUMMYFUNCTION("""COMPUTED_VALUE"""),22.69)</f>
        <v>22.69</v>
      </c>
      <c r="E99" s="141">
        <f ca="1">IFERROR(__xludf.DUMMYFUNCTION("""COMPUTED_VALUE"""),22.56)</f>
        <v>22.56</v>
      </c>
      <c r="F99" s="141">
        <f ca="1">IFERROR(__xludf.DUMMYFUNCTION("""COMPUTED_VALUE"""),22.64)</f>
        <v>22.64</v>
      </c>
      <c r="G99" s="143">
        <f ca="1">IFERROR(__xludf.DUMMYFUNCTION("""COMPUTED_VALUE"""),230521)</f>
        <v>230521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IFERROR(__xludf.DUMMYFUNCTION("""COMPUTED_VALUE"""),22.63)</f>
        <v>22.63</v>
      </c>
      <c r="D100" s="141">
        <f ca="1">IFERROR(__xludf.DUMMYFUNCTION("""COMPUTED_VALUE"""),22.66)</f>
        <v>22.66</v>
      </c>
      <c r="E100" s="141">
        <f ca="1">IFERROR(__xludf.DUMMYFUNCTION("""COMPUTED_VALUE"""),22.61)</f>
        <v>22.61</v>
      </c>
      <c r="F100" s="141">
        <f ca="1">IFERROR(__xludf.DUMMYFUNCTION("""COMPUTED_VALUE"""),22.64)</f>
        <v>22.64</v>
      </c>
      <c r="G100" s="143">
        <f ca="1">IFERROR(__xludf.DUMMYFUNCTION("""COMPUTED_VALUE"""),199092)</f>
        <v>199092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IFERROR(__xludf.DUMMYFUNCTION("""COMPUTED_VALUE"""),22.7)</f>
        <v>22.7</v>
      </c>
      <c r="D101" s="141">
        <f ca="1">IFERROR(__xludf.DUMMYFUNCTION("""COMPUTED_VALUE"""),22.73)</f>
        <v>22.73</v>
      </c>
      <c r="E101" s="141">
        <f ca="1">IFERROR(__xludf.DUMMYFUNCTION("""COMPUTED_VALUE"""),22.64)</f>
        <v>22.64</v>
      </c>
      <c r="F101" s="141">
        <f ca="1">IFERROR(__xludf.DUMMYFUNCTION("""COMPUTED_VALUE"""),22.68)</f>
        <v>22.68</v>
      </c>
      <c r="G101" s="143">
        <f ca="1">IFERROR(__xludf.DUMMYFUNCTION("""COMPUTED_VALUE"""),169103)</f>
        <v>169103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IFERROR(__xludf.DUMMYFUNCTION("""COMPUTED_VALUE"""),22.6)</f>
        <v>22.6</v>
      </c>
      <c r="D102" s="141">
        <f ca="1">IFERROR(__xludf.DUMMYFUNCTION("""COMPUTED_VALUE"""),22.75)</f>
        <v>22.75</v>
      </c>
      <c r="E102" s="141">
        <f ca="1">IFERROR(__xludf.DUMMYFUNCTION("""COMPUTED_VALUE"""),22.57)</f>
        <v>22.57</v>
      </c>
      <c r="F102" s="141">
        <f ca="1">IFERROR(__xludf.DUMMYFUNCTION("""COMPUTED_VALUE"""),22.65)</f>
        <v>22.65</v>
      </c>
      <c r="G102" s="143">
        <f ca="1">IFERROR(__xludf.DUMMYFUNCTION("""COMPUTED_VALUE"""),430081)</f>
        <v>430081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IFERROR(__xludf.DUMMYFUNCTION("""COMPUTED_VALUE"""),22.66)</f>
        <v>22.66</v>
      </c>
      <c r="D103" s="141">
        <f ca="1">IFERROR(__xludf.DUMMYFUNCTION("""COMPUTED_VALUE"""),22.83)</f>
        <v>22.83</v>
      </c>
      <c r="E103" s="141">
        <f ca="1">IFERROR(__xludf.DUMMYFUNCTION("""COMPUTED_VALUE"""),22.64)</f>
        <v>22.64</v>
      </c>
      <c r="F103" s="141">
        <f ca="1">IFERROR(__xludf.DUMMYFUNCTION("""COMPUTED_VALUE"""),22.71)</f>
        <v>22.71</v>
      </c>
      <c r="G103" s="143">
        <f ca="1">IFERROR(__xludf.DUMMYFUNCTION("""COMPUTED_VALUE"""),212383)</f>
        <v>212383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IFERROR(__xludf.DUMMYFUNCTION("""COMPUTED_VALUE"""),22.7)</f>
        <v>22.7</v>
      </c>
      <c r="D104" s="141">
        <f ca="1">IFERROR(__xludf.DUMMYFUNCTION("""COMPUTED_VALUE"""),22.72)</f>
        <v>22.72</v>
      </c>
      <c r="E104" s="141">
        <f ca="1">IFERROR(__xludf.DUMMYFUNCTION("""COMPUTED_VALUE"""),22.57)</f>
        <v>22.57</v>
      </c>
      <c r="F104" s="141">
        <f ca="1">IFERROR(__xludf.DUMMYFUNCTION("""COMPUTED_VALUE"""),22.6)</f>
        <v>22.6</v>
      </c>
      <c r="G104" s="143">
        <f ca="1">IFERROR(__xludf.DUMMYFUNCTION("""COMPUTED_VALUE"""),222147)</f>
        <v>222147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IFERROR(__xludf.DUMMYFUNCTION("""COMPUTED_VALUE"""),22.61)</f>
        <v>22.61</v>
      </c>
      <c r="D105" s="141">
        <f ca="1">IFERROR(__xludf.DUMMYFUNCTION("""COMPUTED_VALUE"""),22.61)</f>
        <v>22.61</v>
      </c>
      <c r="E105" s="141">
        <f ca="1">IFERROR(__xludf.DUMMYFUNCTION("""COMPUTED_VALUE"""),22.52)</f>
        <v>22.52</v>
      </c>
      <c r="F105" s="141">
        <f ca="1">IFERROR(__xludf.DUMMYFUNCTION("""COMPUTED_VALUE"""),22.58)</f>
        <v>22.58</v>
      </c>
      <c r="G105" s="143">
        <f ca="1">IFERROR(__xludf.DUMMYFUNCTION("""COMPUTED_VALUE"""),174261)</f>
        <v>174261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IFERROR(__xludf.DUMMYFUNCTION("""COMPUTED_VALUE"""),22.53)</f>
        <v>22.53</v>
      </c>
      <c r="D106" s="141">
        <f ca="1">IFERROR(__xludf.DUMMYFUNCTION("""COMPUTED_VALUE"""),22.65)</f>
        <v>22.65</v>
      </c>
      <c r="E106" s="141">
        <f ca="1">IFERROR(__xludf.DUMMYFUNCTION("""COMPUTED_VALUE"""),22.5)</f>
        <v>22.5</v>
      </c>
      <c r="F106" s="141">
        <f ca="1">IFERROR(__xludf.DUMMYFUNCTION("""COMPUTED_VALUE"""),22.5)</f>
        <v>22.5</v>
      </c>
      <c r="G106" s="143">
        <f ca="1">IFERROR(__xludf.DUMMYFUNCTION("""COMPUTED_VALUE"""),268454)</f>
        <v>268454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IFERROR(__xludf.DUMMYFUNCTION("""COMPUTED_VALUE"""),22.47)</f>
        <v>22.47</v>
      </c>
      <c r="D107" s="141">
        <f ca="1">IFERROR(__xludf.DUMMYFUNCTION("""COMPUTED_VALUE"""),22.54)</f>
        <v>22.54</v>
      </c>
      <c r="E107" s="141">
        <f ca="1">IFERROR(__xludf.DUMMYFUNCTION("""COMPUTED_VALUE"""),22.36)</f>
        <v>22.36</v>
      </c>
      <c r="F107" s="141">
        <f ca="1">IFERROR(__xludf.DUMMYFUNCTION("""COMPUTED_VALUE"""),22.37)</f>
        <v>22.37</v>
      </c>
      <c r="G107" s="143">
        <f ca="1">IFERROR(__xludf.DUMMYFUNCTION("""COMPUTED_VALUE"""),138250)</f>
        <v>138250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IFERROR(__xludf.DUMMYFUNCTION("""COMPUTED_VALUE"""),22.35)</f>
        <v>22.35</v>
      </c>
      <c r="D108" s="141">
        <f ca="1">IFERROR(__xludf.DUMMYFUNCTION("""COMPUTED_VALUE"""),22.4)</f>
        <v>22.4</v>
      </c>
      <c r="E108" s="141">
        <f ca="1">IFERROR(__xludf.DUMMYFUNCTION("""COMPUTED_VALUE"""),22.32)</f>
        <v>22.32</v>
      </c>
      <c r="F108" s="141">
        <f ca="1">IFERROR(__xludf.DUMMYFUNCTION("""COMPUTED_VALUE"""),22.32)</f>
        <v>22.32</v>
      </c>
      <c r="G108" s="143">
        <f ca="1">IFERROR(__xludf.DUMMYFUNCTION("""COMPUTED_VALUE"""),367811)</f>
        <v>367811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IFERROR(__xludf.DUMMYFUNCTION("""COMPUTED_VALUE"""),22.37)</f>
        <v>22.37</v>
      </c>
      <c r="D109" s="141">
        <f ca="1">IFERROR(__xludf.DUMMYFUNCTION("""COMPUTED_VALUE"""),22.46)</f>
        <v>22.46</v>
      </c>
      <c r="E109" s="141">
        <f ca="1">IFERROR(__xludf.DUMMYFUNCTION("""COMPUTED_VALUE"""),22.36)</f>
        <v>22.36</v>
      </c>
      <c r="F109" s="141">
        <f ca="1">IFERROR(__xludf.DUMMYFUNCTION("""COMPUTED_VALUE"""),22.37)</f>
        <v>22.37</v>
      </c>
      <c r="G109" s="143">
        <f ca="1">IFERROR(__xludf.DUMMYFUNCTION("""COMPUTED_VALUE"""),302710)</f>
        <v>302710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IFERROR(__xludf.DUMMYFUNCTION("""COMPUTED_VALUE"""),22.39)</f>
        <v>22.39</v>
      </c>
      <c r="D110" s="141">
        <f ca="1">IFERROR(__xludf.DUMMYFUNCTION("""COMPUTED_VALUE"""),22.45)</f>
        <v>22.45</v>
      </c>
      <c r="E110" s="141">
        <f ca="1">IFERROR(__xludf.DUMMYFUNCTION("""COMPUTED_VALUE"""),22.37)</f>
        <v>22.37</v>
      </c>
      <c r="F110" s="141">
        <f ca="1">IFERROR(__xludf.DUMMYFUNCTION("""COMPUTED_VALUE"""),22.4)</f>
        <v>22.4</v>
      </c>
      <c r="G110" s="143">
        <f ca="1">IFERROR(__xludf.DUMMYFUNCTION("""COMPUTED_VALUE"""),237418)</f>
        <v>237418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IFERROR(__xludf.DUMMYFUNCTION("""COMPUTED_VALUE"""),22.49)</f>
        <v>22.49</v>
      </c>
      <c r="D111" s="141">
        <f ca="1">IFERROR(__xludf.DUMMYFUNCTION("""COMPUTED_VALUE"""),22.56)</f>
        <v>22.56</v>
      </c>
      <c r="E111" s="141">
        <f ca="1">IFERROR(__xludf.DUMMYFUNCTION("""COMPUTED_VALUE"""),22.45)</f>
        <v>22.45</v>
      </c>
      <c r="F111" s="141">
        <f ca="1">IFERROR(__xludf.DUMMYFUNCTION("""COMPUTED_VALUE"""),22.52)</f>
        <v>22.52</v>
      </c>
      <c r="G111" s="143">
        <f ca="1">IFERROR(__xludf.DUMMYFUNCTION("""COMPUTED_VALUE"""),183701)</f>
        <v>183701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IFERROR(__xludf.DUMMYFUNCTION("""COMPUTED_VALUE"""),22.52)</f>
        <v>22.52</v>
      </c>
      <c r="D112" s="141">
        <f ca="1">IFERROR(__xludf.DUMMYFUNCTION("""COMPUTED_VALUE"""),22.58)</f>
        <v>22.58</v>
      </c>
      <c r="E112" s="141">
        <f ca="1">IFERROR(__xludf.DUMMYFUNCTION("""COMPUTED_VALUE"""),22.45)</f>
        <v>22.45</v>
      </c>
      <c r="F112" s="141">
        <f ca="1">IFERROR(__xludf.DUMMYFUNCTION("""COMPUTED_VALUE"""),22.53)</f>
        <v>22.53</v>
      </c>
      <c r="G112" s="143">
        <f ca="1">IFERROR(__xludf.DUMMYFUNCTION("""COMPUTED_VALUE"""),523191)</f>
        <v>523191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IFERROR(__xludf.DUMMYFUNCTION("""COMPUTED_VALUE"""),22.5)</f>
        <v>22.5</v>
      </c>
      <c r="D113" s="141">
        <f ca="1">IFERROR(__xludf.DUMMYFUNCTION("""COMPUTED_VALUE"""),22.57)</f>
        <v>22.57</v>
      </c>
      <c r="E113" s="141">
        <f ca="1">IFERROR(__xludf.DUMMYFUNCTION("""COMPUTED_VALUE"""),22.45)</f>
        <v>22.45</v>
      </c>
      <c r="F113" s="141">
        <f ca="1">IFERROR(__xludf.DUMMYFUNCTION("""COMPUTED_VALUE"""),22.56)</f>
        <v>22.56</v>
      </c>
      <c r="G113" s="143">
        <f ca="1">IFERROR(__xludf.DUMMYFUNCTION("""COMPUTED_VALUE"""),114664)</f>
        <v>114664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IFERROR(__xludf.DUMMYFUNCTION("""COMPUTED_VALUE"""),22.55)</f>
        <v>22.55</v>
      </c>
      <c r="D114" s="141">
        <f ca="1">IFERROR(__xludf.DUMMYFUNCTION("""COMPUTED_VALUE"""),22.55)</f>
        <v>22.55</v>
      </c>
      <c r="E114" s="141">
        <f ca="1">IFERROR(__xludf.DUMMYFUNCTION("""COMPUTED_VALUE"""),22.42)</f>
        <v>22.42</v>
      </c>
      <c r="F114" s="141">
        <f ca="1">IFERROR(__xludf.DUMMYFUNCTION("""COMPUTED_VALUE"""),22.44)</f>
        <v>22.44</v>
      </c>
      <c r="G114" s="143">
        <f ca="1">IFERROR(__xludf.DUMMYFUNCTION("""COMPUTED_VALUE"""),986225)</f>
        <v>986225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IFERROR(__xludf.DUMMYFUNCTION("""COMPUTED_VALUE"""),22.44)</f>
        <v>22.44</v>
      </c>
      <c r="D115" s="141">
        <f ca="1">IFERROR(__xludf.DUMMYFUNCTION("""COMPUTED_VALUE"""),22.54)</f>
        <v>22.54</v>
      </c>
      <c r="E115" s="141">
        <f ca="1">IFERROR(__xludf.DUMMYFUNCTION("""COMPUTED_VALUE"""),22.41)</f>
        <v>22.41</v>
      </c>
      <c r="F115" s="141">
        <f ca="1">IFERROR(__xludf.DUMMYFUNCTION("""COMPUTED_VALUE"""),22.46)</f>
        <v>22.46</v>
      </c>
      <c r="G115" s="143">
        <f ca="1">IFERROR(__xludf.DUMMYFUNCTION("""COMPUTED_VALUE"""),248115)</f>
        <v>248115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IFERROR(__xludf.DUMMYFUNCTION("""COMPUTED_VALUE"""),22.52)</f>
        <v>22.52</v>
      </c>
      <c r="D116" s="141">
        <f ca="1">IFERROR(__xludf.DUMMYFUNCTION("""COMPUTED_VALUE"""),22.58)</f>
        <v>22.58</v>
      </c>
      <c r="E116" s="141">
        <f ca="1">IFERROR(__xludf.DUMMYFUNCTION("""COMPUTED_VALUE"""),22.41)</f>
        <v>22.41</v>
      </c>
      <c r="F116" s="141">
        <f ca="1">IFERROR(__xludf.DUMMYFUNCTION("""COMPUTED_VALUE"""),22.55)</f>
        <v>22.55</v>
      </c>
      <c r="G116" s="143">
        <f ca="1">IFERROR(__xludf.DUMMYFUNCTION("""COMPUTED_VALUE"""),484105)</f>
        <v>484105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IFERROR(__xludf.DUMMYFUNCTION("""COMPUTED_VALUE"""),22.55)</f>
        <v>22.55</v>
      </c>
      <c r="D117" s="141">
        <f ca="1">IFERROR(__xludf.DUMMYFUNCTION("""COMPUTED_VALUE"""),22.58)</f>
        <v>22.58</v>
      </c>
      <c r="E117" s="141">
        <f ca="1">IFERROR(__xludf.DUMMYFUNCTION("""COMPUTED_VALUE"""),22.48)</f>
        <v>22.48</v>
      </c>
      <c r="F117" s="141">
        <f ca="1">IFERROR(__xludf.DUMMYFUNCTION("""COMPUTED_VALUE"""),22.48)</f>
        <v>22.48</v>
      </c>
      <c r="G117" s="143">
        <f ca="1">IFERROR(__xludf.DUMMYFUNCTION("""COMPUTED_VALUE"""),219677)</f>
        <v>219677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IFERROR(__xludf.DUMMYFUNCTION("""COMPUTED_VALUE"""),22.61)</f>
        <v>22.61</v>
      </c>
      <c r="D118" s="141">
        <f ca="1">IFERROR(__xludf.DUMMYFUNCTION("""COMPUTED_VALUE"""),22.61)</f>
        <v>22.61</v>
      </c>
      <c r="E118" s="141">
        <f ca="1">IFERROR(__xludf.DUMMYFUNCTION("""COMPUTED_VALUE"""),22.47)</f>
        <v>22.47</v>
      </c>
      <c r="F118" s="141">
        <f ca="1">IFERROR(__xludf.DUMMYFUNCTION("""COMPUTED_VALUE"""),22.51)</f>
        <v>22.51</v>
      </c>
      <c r="G118" s="143">
        <f ca="1">IFERROR(__xludf.DUMMYFUNCTION("""COMPUTED_VALUE"""),1465088)</f>
        <v>1465088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IFERROR(__xludf.DUMMYFUNCTION("""COMPUTED_VALUE"""),22.49)</f>
        <v>22.49</v>
      </c>
      <c r="D119" s="141">
        <f ca="1">IFERROR(__xludf.DUMMYFUNCTION("""COMPUTED_VALUE"""),22.55)</f>
        <v>22.55</v>
      </c>
      <c r="E119" s="141">
        <f ca="1">IFERROR(__xludf.DUMMYFUNCTION("""COMPUTED_VALUE"""),22.4)</f>
        <v>22.4</v>
      </c>
      <c r="F119" s="141">
        <f ca="1">IFERROR(__xludf.DUMMYFUNCTION("""COMPUTED_VALUE"""),22.44)</f>
        <v>22.44</v>
      </c>
      <c r="G119" s="143">
        <f ca="1">IFERROR(__xludf.DUMMYFUNCTION("""COMPUTED_VALUE"""),264898)</f>
        <v>264898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IFERROR(__xludf.DUMMYFUNCTION("""COMPUTED_VALUE"""),22.45)</f>
        <v>22.45</v>
      </c>
      <c r="D120" s="141">
        <f ca="1">IFERROR(__xludf.DUMMYFUNCTION("""COMPUTED_VALUE"""),22.46)</f>
        <v>22.46</v>
      </c>
      <c r="E120" s="141">
        <f ca="1">IFERROR(__xludf.DUMMYFUNCTION("""COMPUTED_VALUE"""),22.38)</f>
        <v>22.38</v>
      </c>
      <c r="F120" s="141">
        <f ca="1">IFERROR(__xludf.DUMMYFUNCTION("""COMPUTED_VALUE"""),22.41)</f>
        <v>22.41</v>
      </c>
      <c r="G120" s="143">
        <f ca="1">IFERROR(__xludf.DUMMYFUNCTION("""COMPUTED_VALUE"""),425700)</f>
        <v>425700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IFERROR(__xludf.DUMMYFUNCTION("""COMPUTED_VALUE"""),22.39)</f>
        <v>22.39</v>
      </c>
      <c r="D121" s="141">
        <f ca="1">IFERROR(__xludf.DUMMYFUNCTION("""COMPUTED_VALUE"""),22.55)</f>
        <v>22.55</v>
      </c>
      <c r="E121" s="141">
        <f ca="1">IFERROR(__xludf.DUMMYFUNCTION("""COMPUTED_VALUE"""),22.39)</f>
        <v>22.39</v>
      </c>
      <c r="F121" s="141">
        <f ca="1">IFERROR(__xludf.DUMMYFUNCTION("""COMPUTED_VALUE"""),22.51)</f>
        <v>22.51</v>
      </c>
      <c r="G121" s="143">
        <f ca="1">IFERROR(__xludf.DUMMYFUNCTION("""COMPUTED_VALUE"""),821392)</f>
        <v>821392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IFERROR(__xludf.DUMMYFUNCTION("""COMPUTED_VALUE"""),22.57)</f>
        <v>22.57</v>
      </c>
      <c r="D122" s="141">
        <f ca="1">IFERROR(__xludf.DUMMYFUNCTION("""COMPUTED_VALUE"""),22.61)</f>
        <v>22.61</v>
      </c>
      <c r="E122" s="141">
        <f ca="1">IFERROR(__xludf.DUMMYFUNCTION("""COMPUTED_VALUE"""),22.53)</f>
        <v>22.53</v>
      </c>
      <c r="F122" s="141">
        <f ca="1">IFERROR(__xludf.DUMMYFUNCTION("""COMPUTED_VALUE"""),22.53)</f>
        <v>22.53</v>
      </c>
      <c r="G122" s="143">
        <f ca="1">IFERROR(__xludf.DUMMYFUNCTION("""COMPUTED_VALUE"""),716662)</f>
        <v>716662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IFERROR(__xludf.DUMMYFUNCTION("""COMPUTED_VALUE"""),22.52)</f>
        <v>22.52</v>
      </c>
      <c r="D123" s="141">
        <f ca="1">IFERROR(__xludf.DUMMYFUNCTION("""COMPUTED_VALUE"""),22.54)</f>
        <v>22.54</v>
      </c>
      <c r="E123" s="141">
        <f ca="1">IFERROR(__xludf.DUMMYFUNCTION("""COMPUTED_VALUE"""),22.48)</f>
        <v>22.48</v>
      </c>
      <c r="F123" s="141">
        <f ca="1">IFERROR(__xludf.DUMMYFUNCTION("""COMPUTED_VALUE"""),22.51)</f>
        <v>22.51</v>
      </c>
      <c r="G123" s="143">
        <f ca="1">IFERROR(__xludf.DUMMYFUNCTION("""COMPUTED_VALUE"""),191558)</f>
        <v>191558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IFERROR(__xludf.DUMMYFUNCTION("""COMPUTED_VALUE"""),22.58)</f>
        <v>22.58</v>
      </c>
      <c r="D124" s="141">
        <f ca="1">IFERROR(__xludf.DUMMYFUNCTION("""COMPUTED_VALUE"""),22.62)</f>
        <v>22.62</v>
      </c>
      <c r="E124" s="141">
        <f ca="1">IFERROR(__xludf.DUMMYFUNCTION("""COMPUTED_VALUE"""),22.53)</f>
        <v>22.53</v>
      </c>
      <c r="F124" s="141">
        <f ca="1">IFERROR(__xludf.DUMMYFUNCTION("""COMPUTED_VALUE"""),22.59)</f>
        <v>22.59</v>
      </c>
      <c r="G124" s="143">
        <f ca="1">IFERROR(__xludf.DUMMYFUNCTION("""COMPUTED_VALUE"""),455968)</f>
        <v>455968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IFERROR(__xludf.DUMMYFUNCTION("""COMPUTED_VALUE"""),22.61)</f>
        <v>22.61</v>
      </c>
      <c r="D125" s="141">
        <f ca="1">IFERROR(__xludf.DUMMYFUNCTION("""COMPUTED_VALUE"""),22.66)</f>
        <v>22.66</v>
      </c>
      <c r="E125" s="141">
        <f ca="1">IFERROR(__xludf.DUMMYFUNCTION("""COMPUTED_VALUE"""),22.55)</f>
        <v>22.55</v>
      </c>
      <c r="F125" s="141">
        <f ca="1">IFERROR(__xludf.DUMMYFUNCTION("""COMPUTED_VALUE"""),22.62)</f>
        <v>22.62</v>
      </c>
      <c r="G125" s="143">
        <f ca="1">IFERROR(__xludf.DUMMYFUNCTION("""COMPUTED_VALUE"""),378151)</f>
        <v>378151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IFERROR(__xludf.DUMMYFUNCTION("""COMPUTED_VALUE"""),22.53)</f>
        <v>22.53</v>
      </c>
      <c r="D126" s="141">
        <f ca="1">IFERROR(__xludf.DUMMYFUNCTION("""COMPUTED_VALUE"""),22.59)</f>
        <v>22.59</v>
      </c>
      <c r="E126" s="141">
        <f ca="1">IFERROR(__xludf.DUMMYFUNCTION("""COMPUTED_VALUE"""),22.51)</f>
        <v>22.51</v>
      </c>
      <c r="F126" s="141">
        <f ca="1">IFERROR(__xludf.DUMMYFUNCTION("""COMPUTED_VALUE"""),22.51)</f>
        <v>22.51</v>
      </c>
      <c r="G126" s="143">
        <f ca="1">IFERROR(__xludf.DUMMYFUNCTION("""COMPUTED_VALUE"""),3504318)</f>
        <v>3504318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IFERROR(__xludf.DUMMYFUNCTION("""COMPUTED_VALUE"""),22.5)</f>
        <v>22.5</v>
      </c>
      <c r="D127" s="141">
        <f ca="1">IFERROR(__xludf.DUMMYFUNCTION("""COMPUTED_VALUE"""),22.53)</f>
        <v>22.53</v>
      </c>
      <c r="E127" s="141">
        <f ca="1">IFERROR(__xludf.DUMMYFUNCTION("""COMPUTED_VALUE"""),22.47)</f>
        <v>22.47</v>
      </c>
      <c r="F127" s="141">
        <f ca="1">IFERROR(__xludf.DUMMYFUNCTION("""COMPUTED_VALUE"""),22.47)</f>
        <v>22.47</v>
      </c>
      <c r="G127" s="143">
        <f ca="1">IFERROR(__xludf.DUMMYFUNCTION("""COMPUTED_VALUE"""),267785)</f>
        <v>267785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IFERROR(__xludf.DUMMYFUNCTION("""COMPUTED_VALUE"""),22.42)</f>
        <v>22.42</v>
      </c>
      <c r="D128" s="141">
        <f ca="1">IFERROR(__xludf.DUMMYFUNCTION("""COMPUTED_VALUE"""),22.52)</f>
        <v>22.52</v>
      </c>
      <c r="E128" s="141">
        <f ca="1">IFERROR(__xludf.DUMMYFUNCTION("""COMPUTED_VALUE"""),22.35)</f>
        <v>22.35</v>
      </c>
      <c r="F128" s="141">
        <f ca="1">IFERROR(__xludf.DUMMYFUNCTION("""COMPUTED_VALUE"""),22.35)</f>
        <v>22.35</v>
      </c>
      <c r="G128" s="143">
        <f ca="1">IFERROR(__xludf.DUMMYFUNCTION("""COMPUTED_VALUE"""),331424)</f>
        <v>331424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IFERROR(__xludf.DUMMYFUNCTION("""COMPUTED_VALUE"""),22.42)</f>
        <v>22.42</v>
      </c>
      <c r="D129" s="141">
        <f ca="1">IFERROR(__xludf.DUMMYFUNCTION("""COMPUTED_VALUE"""),22.6)</f>
        <v>22.6</v>
      </c>
      <c r="E129" s="141">
        <f ca="1">IFERROR(__xludf.DUMMYFUNCTION("""COMPUTED_VALUE"""),22.4)</f>
        <v>22.4</v>
      </c>
      <c r="F129" s="141">
        <f ca="1">IFERROR(__xludf.DUMMYFUNCTION("""COMPUTED_VALUE"""),22.42)</f>
        <v>22.42</v>
      </c>
      <c r="G129" s="143">
        <f ca="1">IFERROR(__xludf.DUMMYFUNCTION("""COMPUTED_VALUE"""),569132)</f>
        <v>569132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IFERROR(__xludf.DUMMYFUNCTION("""COMPUTED_VALUE"""),22.46)</f>
        <v>22.46</v>
      </c>
      <c r="D130" s="141">
        <f ca="1">IFERROR(__xludf.DUMMYFUNCTION("""COMPUTED_VALUE"""),22.54)</f>
        <v>22.54</v>
      </c>
      <c r="E130" s="141">
        <f ca="1">IFERROR(__xludf.DUMMYFUNCTION("""COMPUTED_VALUE"""),22.46)</f>
        <v>22.46</v>
      </c>
      <c r="F130" s="141">
        <f ca="1">IFERROR(__xludf.DUMMYFUNCTION("""COMPUTED_VALUE"""),22.54)</f>
        <v>22.54</v>
      </c>
      <c r="G130" s="143">
        <f ca="1">IFERROR(__xludf.DUMMYFUNCTION("""COMPUTED_VALUE"""),378670)</f>
        <v>378670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IFERROR(__xludf.DUMMYFUNCTION("""COMPUTED_VALUE"""),22.6)</f>
        <v>22.6</v>
      </c>
      <c r="D131" s="141">
        <f ca="1">IFERROR(__xludf.DUMMYFUNCTION("""COMPUTED_VALUE"""),22.62)</f>
        <v>22.62</v>
      </c>
      <c r="E131" s="141">
        <f ca="1">IFERROR(__xludf.DUMMYFUNCTION("""COMPUTED_VALUE"""),22.57)</f>
        <v>22.57</v>
      </c>
      <c r="F131" s="141">
        <f ca="1">IFERROR(__xludf.DUMMYFUNCTION("""COMPUTED_VALUE"""),22.62)</f>
        <v>22.62</v>
      </c>
      <c r="G131" s="143">
        <f ca="1">IFERROR(__xludf.DUMMYFUNCTION("""COMPUTED_VALUE"""),195566)</f>
        <v>195566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IFERROR(__xludf.DUMMYFUNCTION("""COMPUTED_VALUE"""),22.65)</f>
        <v>22.65</v>
      </c>
      <c r="D132" s="141">
        <f ca="1">IFERROR(__xludf.DUMMYFUNCTION("""COMPUTED_VALUE"""),22.66)</f>
        <v>22.66</v>
      </c>
      <c r="E132" s="141">
        <f ca="1">IFERROR(__xludf.DUMMYFUNCTION("""COMPUTED_VALUE"""),22.46)</f>
        <v>22.46</v>
      </c>
      <c r="F132" s="141">
        <f ca="1">IFERROR(__xludf.DUMMYFUNCTION("""COMPUTED_VALUE"""),22.6)</f>
        <v>22.6</v>
      </c>
      <c r="G132" s="143">
        <f ca="1">IFERROR(__xludf.DUMMYFUNCTION("""COMPUTED_VALUE"""),320608)</f>
        <v>320608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IFERROR(__xludf.DUMMYFUNCTION("""COMPUTED_VALUE"""),22.58)</f>
        <v>22.58</v>
      </c>
      <c r="D133" s="141">
        <f ca="1">IFERROR(__xludf.DUMMYFUNCTION("""COMPUTED_VALUE"""),22.67)</f>
        <v>22.67</v>
      </c>
      <c r="E133" s="141">
        <f ca="1">IFERROR(__xludf.DUMMYFUNCTION("""COMPUTED_VALUE"""),22.56)</f>
        <v>22.56</v>
      </c>
      <c r="F133" s="141">
        <f ca="1">IFERROR(__xludf.DUMMYFUNCTION("""COMPUTED_VALUE"""),22.59)</f>
        <v>22.59</v>
      </c>
      <c r="G133" s="143">
        <f ca="1">IFERROR(__xludf.DUMMYFUNCTION("""COMPUTED_VALUE"""),760619)</f>
        <v>760619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IFERROR(__xludf.DUMMYFUNCTION("""COMPUTED_VALUE"""),22.55)</f>
        <v>22.55</v>
      </c>
      <c r="D134" s="141">
        <f ca="1">IFERROR(__xludf.DUMMYFUNCTION("""COMPUTED_VALUE"""),22.58)</f>
        <v>22.58</v>
      </c>
      <c r="E134" s="141">
        <f ca="1">IFERROR(__xludf.DUMMYFUNCTION("""COMPUTED_VALUE"""),22.47)</f>
        <v>22.47</v>
      </c>
      <c r="F134" s="141">
        <f ca="1">IFERROR(__xludf.DUMMYFUNCTION("""COMPUTED_VALUE"""),22.56)</f>
        <v>22.56</v>
      </c>
      <c r="G134" s="143">
        <f ca="1">IFERROR(__xludf.DUMMYFUNCTION("""COMPUTED_VALUE"""),332161)</f>
        <v>332161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IFERROR(__xludf.DUMMYFUNCTION("""COMPUTED_VALUE"""),22.5)</f>
        <v>22.5</v>
      </c>
      <c r="D135" s="141">
        <f ca="1">IFERROR(__xludf.DUMMYFUNCTION("""COMPUTED_VALUE"""),22.56)</f>
        <v>22.56</v>
      </c>
      <c r="E135" s="141">
        <f ca="1">IFERROR(__xludf.DUMMYFUNCTION("""COMPUTED_VALUE"""),22.46)</f>
        <v>22.46</v>
      </c>
      <c r="F135" s="141">
        <f ca="1">IFERROR(__xludf.DUMMYFUNCTION("""COMPUTED_VALUE"""),22.53)</f>
        <v>22.53</v>
      </c>
      <c r="G135" s="143">
        <f ca="1">IFERROR(__xludf.DUMMYFUNCTION("""COMPUTED_VALUE"""),917926)</f>
        <v>917926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IFERROR(__xludf.DUMMYFUNCTION("""COMPUTED_VALUE"""),22.52)</f>
        <v>22.52</v>
      </c>
      <c r="D136" s="141">
        <f ca="1">IFERROR(__xludf.DUMMYFUNCTION("""COMPUTED_VALUE"""),22.55)</f>
        <v>22.55</v>
      </c>
      <c r="E136" s="141">
        <f ca="1">IFERROR(__xludf.DUMMYFUNCTION("""COMPUTED_VALUE"""),22.47)</f>
        <v>22.47</v>
      </c>
      <c r="F136" s="141">
        <f ca="1">IFERROR(__xludf.DUMMYFUNCTION("""COMPUTED_VALUE"""),22.48)</f>
        <v>22.48</v>
      </c>
      <c r="G136" s="143">
        <f ca="1">IFERROR(__xludf.DUMMYFUNCTION("""COMPUTED_VALUE"""),299938)</f>
        <v>299938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IFERROR(__xludf.DUMMYFUNCTION("""COMPUTED_VALUE"""),22.48)</f>
        <v>22.48</v>
      </c>
      <c r="D137" s="141">
        <f ca="1">IFERROR(__xludf.DUMMYFUNCTION("""COMPUTED_VALUE"""),22.56)</f>
        <v>22.56</v>
      </c>
      <c r="E137" s="141">
        <f ca="1">IFERROR(__xludf.DUMMYFUNCTION("""COMPUTED_VALUE"""),22.45)</f>
        <v>22.45</v>
      </c>
      <c r="F137" s="141">
        <f ca="1">IFERROR(__xludf.DUMMYFUNCTION("""COMPUTED_VALUE"""),22.52)</f>
        <v>22.52</v>
      </c>
      <c r="G137" s="143">
        <f ca="1">IFERROR(__xludf.DUMMYFUNCTION("""COMPUTED_VALUE"""),2520161)</f>
        <v>2520161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IFERROR(__xludf.DUMMYFUNCTION("""COMPUTED_VALUE"""),22.53)</f>
        <v>22.53</v>
      </c>
      <c r="D138" s="141">
        <f ca="1">IFERROR(__xludf.DUMMYFUNCTION("""COMPUTED_VALUE"""),22.59)</f>
        <v>22.59</v>
      </c>
      <c r="E138" s="141">
        <f ca="1">IFERROR(__xludf.DUMMYFUNCTION("""COMPUTED_VALUE"""),22.47)</f>
        <v>22.47</v>
      </c>
      <c r="F138" s="141">
        <f ca="1">IFERROR(__xludf.DUMMYFUNCTION("""COMPUTED_VALUE"""),22.48)</f>
        <v>22.48</v>
      </c>
      <c r="G138" s="143">
        <f ca="1">IFERROR(__xludf.DUMMYFUNCTION("""COMPUTED_VALUE"""),500084)</f>
        <v>500084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IFERROR(__xludf.DUMMYFUNCTION("""COMPUTED_VALUE"""),22.53)</f>
        <v>22.53</v>
      </c>
      <c r="D139" s="141">
        <f ca="1">IFERROR(__xludf.DUMMYFUNCTION("""COMPUTED_VALUE"""),22.56)</f>
        <v>22.56</v>
      </c>
      <c r="E139" s="141">
        <f ca="1">IFERROR(__xludf.DUMMYFUNCTION("""COMPUTED_VALUE"""),22.48)</f>
        <v>22.48</v>
      </c>
      <c r="F139" s="141">
        <f ca="1">IFERROR(__xludf.DUMMYFUNCTION("""COMPUTED_VALUE"""),22.49)</f>
        <v>22.49</v>
      </c>
      <c r="G139" s="143">
        <f ca="1">IFERROR(__xludf.DUMMYFUNCTION("""COMPUTED_VALUE"""),347083)</f>
        <v>347083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IFERROR(__xludf.DUMMYFUNCTION("""COMPUTED_VALUE"""),22.44)</f>
        <v>22.44</v>
      </c>
      <c r="D140" s="141">
        <f ca="1">IFERROR(__xludf.DUMMYFUNCTION("""COMPUTED_VALUE"""),22.48)</f>
        <v>22.48</v>
      </c>
      <c r="E140" s="141">
        <f ca="1">IFERROR(__xludf.DUMMYFUNCTION("""COMPUTED_VALUE"""),22.4)</f>
        <v>22.4</v>
      </c>
      <c r="F140" s="141">
        <f ca="1">IFERROR(__xludf.DUMMYFUNCTION("""COMPUTED_VALUE"""),22.45)</f>
        <v>22.45</v>
      </c>
      <c r="G140" s="143">
        <f ca="1">IFERROR(__xludf.DUMMYFUNCTION("""COMPUTED_VALUE"""),237234)</f>
        <v>237234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IFERROR(__xludf.DUMMYFUNCTION("""COMPUTED_VALUE"""),22.4)</f>
        <v>22.4</v>
      </c>
      <c r="D141" s="141">
        <f ca="1">IFERROR(__xludf.DUMMYFUNCTION("""COMPUTED_VALUE"""),22.44)</f>
        <v>22.44</v>
      </c>
      <c r="E141" s="141">
        <f ca="1">IFERROR(__xludf.DUMMYFUNCTION("""COMPUTED_VALUE"""),22.35)</f>
        <v>22.35</v>
      </c>
      <c r="F141" s="141">
        <f ca="1">IFERROR(__xludf.DUMMYFUNCTION("""COMPUTED_VALUE"""),22.39)</f>
        <v>22.39</v>
      </c>
      <c r="G141" s="143">
        <f ca="1">IFERROR(__xludf.DUMMYFUNCTION("""COMPUTED_VALUE"""),330394)</f>
        <v>330394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IFERROR(__xludf.DUMMYFUNCTION("""COMPUTED_VALUE"""),22.43)</f>
        <v>22.43</v>
      </c>
      <c r="D142" s="141">
        <f ca="1">IFERROR(__xludf.DUMMYFUNCTION("""COMPUTED_VALUE"""),22.47)</f>
        <v>22.47</v>
      </c>
      <c r="E142" s="141">
        <f ca="1">IFERROR(__xludf.DUMMYFUNCTION("""COMPUTED_VALUE"""),22.43)</f>
        <v>22.43</v>
      </c>
      <c r="F142" s="141">
        <f ca="1">IFERROR(__xludf.DUMMYFUNCTION("""COMPUTED_VALUE"""),22.44)</f>
        <v>22.44</v>
      </c>
      <c r="G142" s="143">
        <f ca="1">IFERROR(__xludf.DUMMYFUNCTION("""COMPUTED_VALUE"""),197324)</f>
        <v>197324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IFERROR(__xludf.DUMMYFUNCTION("""COMPUTED_VALUE"""),22.42)</f>
        <v>22.42</v>
      </c>
      <c r="D143" s="141">
        <f ca="1">IFERROR(__xludf.DUMMYFUNCTION("""COMPUTED_VALUE"""),22.42)</f>
        <v>22.42</v>
      </c>
      <c r="E143" s="141">
        <f ca="1">IFERROR(__xludf.DUMMYFUNCTION("""COMPUTED_VALUE"""),22.31)</f>
        <v>22.31</v>
      </c>
      <c r="F143" s="141">
        <f ca="1">IFERROR(__xludf.DUMMYFUNCTION("""COMPUTED_VALUE"""),22.33)</f>
        <v>22.33</v>
      </c>
      <c r="G143" s="143">
        <f ca="1">IFERROR(__xludf.DUMMYFUNCTION("""COMPUTED_VALUE"""),209911)</f>
        <v>209911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IFERROR(__xludf.DUMMYFUNCTION("""COMPUTED_VALUE"""),22.39)</f>
        <v>22.39</v>
      </c>
      <c r="D144" s="141">
        <f ca="1">IFERROR(__xludf.DUMMYFUNCTION("""COMPUTED_VALUE"""),22.43)</f>
        <v>22.43</v>
      </c>
      <c r="E144" s="141">
        <f ca="1">IFERROR(__xludf.DUMMYFUNCTION("""COMPUTED_VALUE"""),22.34)</f>
        <v>22.34</v>
      </c>
      <c r="F144" s="141">
        <f ca="1">IFERROR(__xludf.DUMMYFUNCTION("""COMPUTED_VALUE"""),22.4)</f>
        <v>22.4</v>
      </c>
      <c r="G144" s="143">
        <f ca="1">IFERROR(__xludf.DUMMYFUNCTION("""COMPUTED_VALUE"""),373468)</f>
        <v>373468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IFERROR(__xludf.DUMMYFUNCTION("""COMPUTED_VALUE"""),22.35)</f>
        <v>22.35</v>
      </c>
      <c r="D145" s="141">
        <f ca="1">IFERROR(__xludf.DUMMYFUNCTION("""COMPUTED_VALUE"""),22.44)</f>
        <v>22.44</v>
      </c>
      <c r="E145" s="141">
        <f ca="1">IFERROR(__xludf.DUMMYFUNCTION("""COMPUTED_VALUE"""),22.31)</f>
        <v>22.31</v>
      </c>
      <c r="F145" s="141">
        <f ca="1">IFERROR(__xludf.DUMMYFUNCTION("""COMPUTED_VALUE"""),22.32)</f>
        <v>22.32</v>
      </c>
      <c r="G145" s="143">
        <f ca="1">IFERROR(__xludf.DUMMYFUNCTION("""COMPUTED_VALUE"""),261765)</f>
        <v>261765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IFERROR(__xludf.DUMMYFUNCTION("""COMPUTED_VALUE"""),22.37)</f>
        <v>22.37</v>
      </c>
      <c r="D146" s="141">
        <f ca="1">IFERROR(__xludf.DUMMYFUNCTION("""COMPUTED_VALUE"""),22.39)</f>
        <v>22.39</v>
      </c>
      <c r="E146" s="141">
        <f ca="1">IFERROR(__xludf.DUMMYFUNCTION("""COMPUTED_VALUE"""),22.3)</f>
        <v>22.3</v>
      </c>
      <c r="F146" s="141">
        <f ca="1">IFERROR(__xludf.DUMMYFUNCTION("""COMPUTED_VALUE"""),22.34)</f>
        <v>22.34</v>
      </c>
      <c r="G146" s="143">
        <f ca="1">IFERROR(__xludf.DUMMYFUNCTION("""COMPUTED_VALUE"""),422707)</f>
        <v>422707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IFERROR(__xludf.DUMMYFUNCTION("""COMPUTED_VALUE"""),22.33)</f>
        <v>22.33</v>
      </c>
      <c r="D147" s="141">
        <f ca="1">IFERROR(__xludf.DUMMYFUNCTION("""COMPUTED_VALUE"""),22.38)</f>
        <v>22.38</v>
      </c>
      <c r="E147" s="141">
        <f ca="1">IFERROR(__xludf.DUMMYFUNCTION("""COMPUTED_VALUE"""),22.32)</f>
        <v>22.32</v>
      </c>
      <c r="F147" s="141">
        <f ca="1">IFERROR(__xludf.DUMMYFUNCTION("""COMPUTED_VALUE"""),22.33)</f>
        <v>22.33</v>
      </c>
      <c r="G147" s="143">
        <f ca="1">IFERROR(__xludf.DUMMYFUNCTION("""COMPUTED_VALUE"""),388018)</f>
        <v>388018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IFERROR(__xludf.DUMMYFUNCTION("""COMPUTED_VALUE"""),22.4)</f>
        <v>22.4</v>
      </c>
      <c r="D148" s="141">
        <f ca="1">IFERROR(__xludf.DUMMYFUNCTION("""COMPUTED_VALUE"""),22.41)</f>
        <v>22.41</v>
      </c>
      <c r="E148" s="141">
        <f ca="1">IFERROR(__xludf.DUMMYFUNCTION("""COMPUTED_VALUE"""),22.32)</f>
        <v>22.32</v>
      </c>
      <c r="F148" s="141">
        <f ca="1">IFERROR(__xludf.DUMMYFUNCTION("""COMPUTED_VALUE"""),22.32)</f>
        <v>22.32</v>
      </c>
      <c r="G148" s="143">
        <f ca="1">IFERROR(__xludf.DUMMYFUNCTION("""COMPUTED_VALUE"""),365235)</f>
        <v>365235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IFERROR(__xludf.DUMMYFUNCTION("""COMPUTED_VALUE"""),22.34)</f>
        <v>22.34</v>
      </c>
      <c r="D149" s="141">
        <f ca="1">IFERROR(__xludf.DUMMYFUNCTION("""COMPUTED_VALUE"""),22.46)</f>
        <v>22.46</v>
      </c>
      <c r="E149" s="141">
        <f ca="1">IFERROR(__xludf.DUMMYFUNCTION("""COMPUTED_VALUE"""),22.34)</f>
        <v>22.34</v>
      </c>
      <c r="F149" s="141">
        <f ca="1">IFERROR(__xludf.DUMMYFUNCTION("""COMPUTED_VALUE"""),22.46)</f>
        <v>22.46</v>
      </c>
      <c r="G149" s="143">
        <f ca="1">IFERROR(__xludf.DUMMYFUNCTION("""COMPUTED_VALUE"""),385433)</f>
        <v>385433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IFERROR(__xludf.DUMMYFUNCTION("""COMPUTED_VALUE"""),22.44)</f>
        <v>22.44</v>
      </c>
      <c r="D150" s="141">
        <f ca="1">IFERROR(__xludf.DUMMYFUNCTION("""COMPUTED_VALUE"""),22.67)</f>
        <v>22.67</v>
      </c>
      <c r="E150" s="141">
        <f ca="1">IFERROR(__xludf.DUMMYFUNCTION("""COMPUTED_VALUE"""),22.43)</f>
        <v>22.43</v>
      </c>
      <c r="F150" s="141">
        <f ca="1">IFERROR(__xludf.DUMMYFUNCTION("""COMPUTED_VALUE"""),22.64)</f>
        <v>22.64</v>
      </c>
      <c r="G150" s="143">
        <f ca="1">IFERROR(__xludf.DUMMYFUNCTION("""COMPUTED_VALUE"""),405609)</f>
        <v>405609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IFERROR(__xludf.DUMMYFUNCTION("""COMPUTED_VALUE"""),22.8)</f>
        <v>22.8</v>
      </c>
      <c r="D151" s="141">
        <f ca="1">IFERROR(__xludf.DUMMYFUNCTION("""COMPUTED_VALUE"""),22.87)</f>
        <v>22.87</v>
      </c>
      <c r="E151" s="141">
        <f ca="1">IFERROR(__xludf.DUMMYFUNCTION("""COMPUTED_VALUE"""),22.73)</f>
        <v>22.73</v>
      </c>
      <c r="F151" s="141">
        <f ca="1">IFERROR(__xludf.DUMMYFUNCTION("""COMPUTED_VALUE"""),22.81)</f>
        <v>22.81</v>
      </c>
      <c r="G151" s="143">
        <f ca="1">IFERROR(__xludf.DUMMYFUNCTION("""COMPUTED_VALUE"""),684392)</f>
        <v>684392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IFERROR(__xludf.DUMMYFUNCTION("""COMPUTED_VALUE"""),22.87)</f>
        <v>22.87</v>
      </c>
      <c r="D152" s="141">
        <f ca="1">IFERROR(__xludf.DUMMYFUNCTION("""COMPUTED_VALUE"""),23.12)</f>
        <v>23.12</v>
      </c>
      <c r="E152" s="141">
        <f ca="1">IFERROR(__xludf.DUMMYFUNCTION("""COMPUTED_VALUE"""),22.81)</f>
        <v>22.81</v>
      </c>
      <c r="F152" s="141">
        <f ca="1">IFERROR(__xludf.DUMMYFUNCTION("""COMPUTED_VALUE"""),23.04)</f>
        <v>23.04</v>
      </c>
      <c r="G152" s="143">
        <f ca="1">IFERROR(__xludf.DUMMYFUNCTION("""COMPUTED_VALUE"""),13155212)</f>
        <v>13155212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IFERROR(__xludf.DUMMYFUNCTION("""COMPUTED_VALUE"""),23.02)</f>
        <v>23.02</v>
      </c>
      <c r="D153" s="141">
        <f ca="1">IFERROR(__xludf.DUMMYFUNCTION("""COMPUTED_VALUE"""),23.06)</f>
        <v>23.06</v>
      </c>
      <c r="E153" s="141">
        <f ca="1">IFERROR(__xludf.DUMMYFUNCTION("""COMPUTED_VALUE"""),22.89)</f>
        <v>22.89</v>
      </c>
      <c r="F153" s="141">
        <f ca="1">IFERROR(__xludf.DUMMYFUNCTION("""COMPUTED_VALUE"""),22.99)</f>
        <v>22.99</v>
      </c>
      <c r="G153" s="143">
        <f ca="1">IFERROR(__xludf.DUMMYFUNCTION("""COMPUTED_VALUE"""),340818)</f>
        <v>340818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IFERROR(__xludf.DUMMYFUNCTION("""COMPUTED_VALUE"""),23)</f>
        <v>23</v>
      </c>
      <c r="D154" s="141">
        <f ca="1">IFERROR(__xludf.DUMMYFUNCTION("""COMPUTED_VALUE"""),23.03)</f>
        <v>23.03</v>
      </c>
      <c r="E154" s="141">
        <f ca="1">IFERROR(__xludf.DUMMYFUNCTION("""COMPUTED_VALUE"""),22.91)</f>
        <v>22.91</v>
      </c>
      <c r="F154" s="141">
        <f ca="1">IFERROR(__xludf.DUMMYFUNCTION("""COMPUTED_VALUE"""),22.99)</f>
        <v>22.99</v>
      </c>
      <c r="G154" s="143">
        <f ca="1">IFERROR(__xludf.DUMMYFUNCTION("""COMPUTED_VALUE"""),922448)</f>
        <v>922448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IFERROR(__xludf.DUMMYFUNCTION("""COMPUTED_VALUE"""),22.88)</f>
        <v>22.88</v>
      </c>
      <c r="D155" s="141">
        <f ca="1">IFERROR(__xludf.DUMMYFUNCTION("""COMPUTED_VALUE"""),22.92)</f>
        <v>22.92</v>
      </c>
      <c r="E155" s="141">
        <f ca="1">IFERROR(__xludf.DUMMYFUNCTION("""COMPUTED_VALUE"""),22.79)</f>
        <v>22.79</v>
      </c>
      <c r="F155" s="141">
        <f ca="1">IFERROR(__xludf.DUMMYFUNCTION("""COMPUTED_VALUE"""),22.84)</f>
        <v>22.84</v>
      </c>
      <c r="G155" s="143">
        <f ca="1">IFERROR(__xludf.DUMMYFUNCTION("""COMPUTED_VALUE"""),3914391)</f>
        <v>3914391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IFERROR(__xludf.DUMMYFUNCTION("""COMPUTED_VALUE"""),22.69)</f>
        <v>22.69</v>
      </c>
      <c r="D156" s="141">
        <f ca="1">IFERROR(__xludf.DUMMYFUNCTION("""COMPUTED_VALUE"""),22.76)</f>
        <v>22.76</v>
      </c>
      <c r="E156" s="141">
        <f ca="1">IFERROR(__xludf.DUMMYFUNCTION("""COMPUTED_VALUE"""),22.65)</f>
        <v>22.65</v>
      </c>
      <c r="F156" s="141">
        <f ca="1">IFERROR(__xludf.DUMMYFUNCTION("""COMPUTED_VALUE"""),22.69)</f>
        <v>22.69</v>
      </c>
      <c r="G156" s="143">
        <f ca="1">IFERROR(__xludf.DUMMYFUNCTION("""COMPUTED_VALUE"""),453246)</f>
        <v>453246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IFERROR(__xludf.DUMMYFUNCTION("""COMPUTED_VALUE"""),22.66)</f>
        <v>22.66</v>
      </c>
      <c r="D157" s="141">
        <f ca="1">IFERROR(__xludf.DUMMYFUNCTION("""COMPUTED_VALUE"""),22.73)</f>
        <v>22.73</v>
      </c>
      <c r="E157" s="141">
        <f ca="1">IFERROR(__xludf.DUMMYFUNCTION("""COMPUTED_VALUE"""),22.6)</f>
        <v>22.6</v>
      </c>
      <c r="F157" s="141">
        <f ca="1">IFERROR(__xludf.DUMMYFUNCTION("""COMPUTED_VALUE"""),22.7)</f>
        <v>22.7</v>
      </c>
      <c r="G157" s="143">
        <f ca="1">IFERROR(__xludf.DUMMYFUNCTION("""COMPUTED_VALUE"""),1087896)</f>
        <v>1087896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IFERROR(__xludf.DUMMYFUNCTION("""COMPUTED_VALUE"""),22.71)</f>
        <v>22.71</v>
      </c>
      <c r="D158" s="141">
        <f ca="1">IFERROR(__xludf.DUMMYFUNCTION("""COMPUTED_VALUE"""),22.71)</f>
        <v>22.71</v>
      </c>
      <c r="E158" s="141">
        <f ca="1">IFERROR(__xludf.DUMMYFUNCTION("""COMPUTED_VALUE"""),22.61)</f>
        <v>22.61</v>
      </c>
      <c r="F158" s="141">
        <f ca="1">IFERROR(__xludf.DUMMYFUNCTION("""COMPUTED_VALUE"""),22.64)</f>
        <v>22.64</v>
      </c>
      <c r="G158" s="143">
        <f ca="1">IFERROR(__xludf.DUMMYFUNCTION("""COMPUTED_VALUE"""),499542)</f>
        <v>499542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IFERROR(__xludf.DUMMYFUNCTION("""COMPUTED_VALUE"""),22.64)</f>
        <v>22.64</v>
      </c>
      <c r="D159" s="141">
        <f ca="1">IFERROR(__xludf.DUMMYFUNCTION("""COMPUTED_VALUE"""),22.68)</f>
        <v>22.68</v>
      </c>
      <c r="E159" s="141">
        <f ca="1">IFERROR(__xludf.DUMMYFUNCTION("""COMPUTED_VALUE"""),22.6)</f>
        <v>22.6</v>
      </c>
      <c r="F159" s="141">
        <f ca="1">IFERROR(__xludf.DUMMYFUNCTION("""COMPUTED_VALUE"""),22.64)</f>
        <v>22.64</v>
      </c>
      <c r="G159" s="143">
        <f ca="1">IFERROR(__xludf.DUMMYFUNCTION("""COMPUTED_VALUE"""),502207)</f>
        <v>502207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IFERROR(__xludf.DUMMYFUNCTION("""COMPUTED_VALUE"""),22.67)</f>
        <v>22.67</v>
      </c>
      <c r="D160" s="141">
        <f ca="1">IFERROR(__xludf.DUMMYFUNCTION("""COMPUTED_VALUE"""),22.73)</f>
        <v>22.73</v>
      </c>
      <c r="E160" s="141">
        <f ca="1">IFERROR(__xludf.DUMMYFUNCTION("""COMPUTED_VALUE"""),22.66)</f>
        <v>22.66</v>
      </c>
      <c r="F160" s="141">
        <f ca="1">IFERROR(__xludf.DUMMYFUNCTION("""COMPUTED_VALUE"""),22.68)</f>
        <v>22.68</v>
      </c>
      <c r="G160" s="143">
        <f ca="1">IFERROR(__xludf.DUMMYFUNCTION("""COMPUTED_VALUE"""),261768)</f>
        <v>261768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IFERROR(__xludf.DUMMYFUNCTION("""COMPUTED_VALUE"""),22.79)</f>
        <v>22.79</v>
      </c>
      <c r="D161" s="141">
        <f ca="1">IFERROR(__xludf.DUMMYFUNCTION("""COMPUTED_VALUE"""),22.91)</f>
        <v>22.91</v>
      </c>
      <c r="E161" s="141">
        <f ca="1">IFERROR(__xludf.DUMMYFUNCTION("""COMPUTED_VALUE"""),22.73)</f>
        <v>22.73</v>
      </c>
      <c r="F161" s="141">
        <f ca="1">IFERROR(__xludf.DUMMYFUNCTION("""COMPUTED_VALUE"""),22.83)</f>
        <v>22.83</v>
      </c>
      <c r="G161" s="143">
        <f ca="1">IFERROR(__xludf.DUMMYFUNCTION("""COMPUTED_VALUE"""),378312)</f>
        <v>378312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IFERROR(__xludf.DUMMYFUNCTION("""COMPUTED_VALUE"""),22.96)</f>
        <v>22.96</v>
      </c>
      <c r="D162" s="141">
        <f ca="1">IFERROR(__xludf.DUMMYFUNCTION("""COMPUTED_VALUE"""),22.97)</f>
        <v>22.97</v>
      </c>
      <c r="E162" s="141">
        <f ca="1">IFERROR(__xludf.DUMMYFUNCTION("""COMPUTED_VALUE"""),22.87)</f>
        <v>22.87</v>
      </c>
      <c r="F162" s="141">
        <f ca="1">IFERROR(__xludf.DUMMYFUNCTION("""COMPUTED_VALUE"""),22.93)</f>
        <v>22.93</v>
      </c>
      <c r="G162" s="143">
        <f ca="1">IFERROR(__xludf.DUMMYFUNCTION("""COMPUTED_VALUE"""),547910)</f>
        <v>547910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IFERROR(__xludf.DUMMYFUNCTION("""COMPUTED_VALUE"""),22.86)</f>
        <v>22.86</v>
      </c>
      <c r="D163" s="141">
        <f ca="1">IFERROR(__xludf.DUMMYFUNCTION("""COMPUTED_VALUE"""),23.02)</f>
        <v>23.02</v>
      </c>
      <c r="E163" s="141">
        <f ca="1">IFERROR(__xludf.DUMMYFUNCTION("""COMPUTED_VALUE"""),22.86)</f>
        <v>22.86</v>
      </c>
      <c r="F163" s="141">
        <f ca="1">IFERROR(__xludf.DUMMYFUNCTION("""COMPUTED_VALUE"""),22.97)</f>
        <v>22.97</v>
      </c>
      <c r="G163" s="143">
        <f ca="1">IFERROR(__xludf.DUMMYFUNCTION("""COMPUTED_VALUE"""),196120)</f>
        <v>196120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IFERROR(__xludf.DUMMYFUNCTION("""COMPUTED_VALUE"""),23.02)</f>
        <v>23.02</v>
      </c>
      <c r="D164" s="141">
        <f ca="1">IFERROR(__xludf.DUMMYFUNCTION("""COMPUTED_VALUE"""),23.06)</f>
        <v>23.06</v>
      </c>
      <c r="E164" s="141">
        <f ca="1">IFERROR(__xludf.DUMMYFUNCTION("""COMPUTED_VALUE"""),22.98)</f>
        <v>22.98</v>
      </c>
      <c r="F164" s="141">
        <f ca="1">IFERROR(__xludf.DUMMYFUNCTION("""COMPUTED_VALUE"""),23.04)</f>
        <v>23.04</v>
      </c>
      <c r="G164" s="143">
        <f ca="1">IFERROR(__xludf.DUMMYFUNCTION("""COMPUTED_VALUE"""),246884)</f>
        <v>246884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IFERROR(__xludf.DUMMYFUNCTION("""COMPUTED_VALUE"""),23.05)</f>
        <v>23.05</v>
      </c>
      <c r="D165" s="141">
        <f ca="1">IFERROR(__xludf.DUMMYFUNCTION("""COMPUTED_VALUE"""),23.11)</f>
        <v>23.11</v>
      </c>
      <c r="E165" s="141">
        <f ca="1">IFERROR(__xludf.DUMMYFUNCTION("""COMPUTED_VALUE"""),23.05)</f>
        <v>23.05</v>
      </c>
      <c r="F165" s="141">
        <f ca="1">IFERROR(__xludf.DUMMYFUNCTION("""COMPUTED_VALUE"""),23.08)</f>
        <v>23.08</v>
      </c>
      <c r="G165" s="143">
        <f ca="1">IFERROR(__xludf.DUMMYFUNCTION("""COMPUTED_VALUE"""),918799)</f>
        <v>918799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IFERROR(__xludf.DUMMYFUNCTION("""COMPUTED_VALUE"""),23)</f>
        <v>23</v>
      </c>
      <c r="D166" s="141">
        <f ca="1">IFERROR(__xludf.DUMMYFUNCTION("""COMPUTED_VALUE"""),23.08)</f>
        <v>23.08</v>
      </c>
      <c r="E166" s="141">
        <f ca="1">IFERROR(__xludf.DUMMYFUNCTION("""COMPUTED_VALUE"""),22.98)</f>
        <v>22.98</v>
      </c>
      <c r="F166" s="141">
        <f ca="1">IFERROR(__xludf.DUMMYFUNCTION("""COMPUTED_VALUE"""),23.07)</f>
        <v>23.07</v>
      </c>
      <c r="G166" s="143">
        <f ca="1">IFERROR(__xludf.DUMMYFUNCTION("""COMPUTED_VALUE"""),265648)</f>
        <v>265648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IFERROR(__xludf.DUMMYFUNCTION("""COMPUTED_VALUE"""),22.97)</f>
        <v>22.97</v>
      </c>
      <c r="D167" s="141">
        <f ca="1">IFERROR(__xludf.DUMMYFUNCTION("""COMPUTED_VALUE"""),23.01)</f>
        <v>23.01</v>
      </c>
      <c r="E167" s="141">
        <f ca="1">IFERROR(__xludf.DUMMYFUNCTION("""COMPUTED_VALUE"""),22.92)</f>
        <v>22.92</v>
      </c>
      <c r="F167" s="141">
        <f ca="1">IFERROR(__xludf.DUMMYFUNCTION("""COMPUTED_VALUE"""),22.93)</f>
        <v>22.93</v>
      </c>
      <c r="G167" s="143">
        <f ca="1">IFERROR(__xludf.DUMMYFUNCTION("""COMPUTED_VALUE"""),351437)</f>
        <v>351437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IFERROR(__xludf.DUMMYFUNCTION("""COMPUTED_VALUE"""),22.86)</f>
        <v>22.86</v>
      </c>
      <c r="D168" s="141">
        <f ca="1">IFERROR(__xludf.DUMMYFUNCTION("""COMPUTED_VALUE"""),22.93)</f>
        <v>22.93</v>
      </c>
      <c r="E168" s="141">
        <f ca="1">IFERROR(__xludf.DUMMYFUNCTION("""COMPUTED_VALUE"""),22.84)</f>
        <v>22.84</v>
      </c>
      <c r="F168" s="141">
        <f ca="1">IFERROR(__xludf.DUMMYFUNCTION("""COMPUTED_VALUE"""),22.92)</f>
        <v>22.92</v>
      </c>
      <c r="G168" s="143">
        <f ca="1">IFERROR(__xludf.DUMMYFUNCTION("""COMPUTED_VALUE"""),357042)</f>
        <v>357042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IFERROR(__xludf.DUMMYFUNCTION("""COMPUTED_VALUE"""),22.89)</f>
        <v>22.89</v>
      </c>
      <c r="D169" s="141">
        <f ca="1">IFERROR(__xludf.DUMMYFUNCTION("""COMPUTED_VALUE"""),22.98)</f>
        <v>22.98</v>
      </c>
      <c r="E169" s="141">
        <f ca="1">IFERROR(__xludf.DUMMYFUNCTION("""COMPUTED_VALUE"""),22.85)</f>
        <v>22.85</v>
      </c>
      <c r="F169" s="141">
        <f ca="1">IFERROR(__xludf.DUMMYFUNCTION("""COMPUTED_VALUE"""),22.93)</f>
        <v>22.93</v>
      </c>
      <c r="G169" s="143">
        <f ca="1">IFERROR(__xludf.DUMMYFUNCTION("""COMPUTED_VALUE"""),294739)</f>
        <v>294739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IFERROR(__xludf.DUMMYFUNCTION("""COMPUTED_VALUE"""),22.98)</f>
        <v>22.98</v>
      </c>
      <c r="D170" s="141">
        <f ca="1">IFERROR(__xludf.DUMMYFUNCTION("""COMPUTED_VALUE"""),23.05)</f>
        <v>23.05</v>
      </c>
      <c r="E170" s="141">
        <f ca="1">IFERROR(__xludf.DUMMYFUNCTION("""COMPUTED_VALUE"""),22.94)</f>
        <v>22.94</v>
      </c>
      <c r="F170" s="141">
        <f ca="1">IFERROR(__xludf.DUMMYFUNCTION("""COMPUTED_VALUE"""),23.05)</f>
        <v>23.05</v>
      </c>
      <c r="G170" s="143">
        <f ca="1">IFERROR(__xludf.DUMMYFUNCTION("""COMPUTED_VALUE"""),314193)</f>
        <v>314193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IFERROR(__xludf.DUMMYFUNCTION("""COMPUTED_VALUE"""),22.99)</f>
        <v>22.99</v>
      </c>
      <c r="D171" s="141">
        <f ca="1">IFERROR(__xludf.DUMMYFUNCTION("""COMPUTED_VALUE"""),23.01)</f>
        <v>23.01</v>
      </c>
      <c r="E171" s="141">
        <f ca="1">IFERROR(__xludf.DUMMYFUNCTION("""COMPUTED_VALUE"""),22.94)</f>
        <v>22.94</v>
      </c>
      <c r="F171" s="141">
        <f ca="1">IFERROR(__xludf.DUMMYFUNCTION("""COMPUTED_VALUE"""),22.99)</f>
        <v>22.99</v>
      </c>
      <c r="G171" s="143">
        <f ca="1">IFERROR(__xludf.DUMMYFUNCTION("""COMPUTED_VALUE"""),478324)</f>
        <v>478324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IFERROR(__xludf.DUMMYFUNCTION("""COMPUTED_VALUE"""),22.93)</f>
        <v>22.93</v>
      </c>
      <c r="D172" s="141">
        <f ca="1">IFERROR(__xludf.DUMMYFUNCTION("""COMPUTED_VALUE"""),23.03)</f>
        <v>23.03</v>
      </c>
      <c r="E172" s="141">
        <f ca="1">IFERROR(__xludf.DUMMYFUNCTION("""COMPUTED_VALUE"""),22.93)</f>
        <v>22.93</v>
      </c>
      <c r="F172" s="141">
        <f ca="1">IFERROR(__xludf.DUMMYFUNCTION("""COMPUTED_VALUE"""),22.98)</f>
        <v>22.98</v>
      </c>
      <c r="G172" s="143">
        <f ca="1">IFERROR(__xludf.DUMMYFUNCTION("""COMPUTED_VALUE"""),538168)</f>
        <v>538168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IFERROR(__xludf.DUMMYFUNCTION("""COMPUTED_VALUE"""),22.99)</f>
        <v>22.99</v>
      </c>
      <c r="D173" s="141">
        <f ca="1">IFERROR(__xludf.DUMMYFUNCTION("""COMPUTED_VALUE"""),23.05)</f>
        <v>23.05</v>
      </c>
      <c r="E173" s="141">
        <f ca="1">IFERROR(__xludf.DUMMYFUNCTION("""COMPUTED_VALUE"""),22.95)</f>
        <v>22.95</v>
      </c>
      <c r="F173" s="141">
        <f ca="1">IFERROR(__xludf.DUMMYFUNCTION("""COMPUTED_VALUE"""),23.03)</f>
        <v>23.03</v>
      </c>
      <c r="G173" s="143">
        <f ca="1">IFERROR(__xludf.DUMMYFUNCTION("""COMPUTED_VALUE"""),2776141)</f>
        <v>2776141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IFERROR(__xludf.DUMMYFUNCTION("""COMPUTED_VALUE"""),23.02)</f>
        <v>23.02</v>
      </c>
      <c r="D174" s="141">
        <f ca="1">IFERROR(__xludf.DUMMYFUNCTION("""COMPUTED_VALUE"""),23.07)</f>
        <v>23.07</v>
      </c>
      <c r="E174" s="141">
        <f ca="1">IFERROR(__xludf.DUMMYFUNCTION("""COMPUTED_VALUE"""),22.98)</f>
        <v>22.98</v>
      </c>
      <c r="F174" s="141">
        <f ca="1">IFERROR(__xludf.DUMMYFUNCTION("""COMPUTED_VALUE"""),23.03)</f>
        <v>23.03</v>
      </c>
      <c r="G174" s="143">
        <f ca="1">IFERROR(__xludf.DUMMYFUNCTION("""COMPUTED_VALUE"""),949881)</f>
        <v>949881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IFERROR(__xludf.DUMMYFUNCTION("""COMPUTED_VALUE"""),22.78)</f>
        <v>22.78</v>
      </c>
      <c r="D175" s="141">
        <f ca="1">IFERROR(__xludf.DUMMYFUNCTION("""COMPUTED_VALUE"""),22.84)</f>
        <v>22.84</v>
      </c>
      <c r="E175" s="141">
        <f ca="1">IFERROR(__xludf.DUMMYFUNCTION("""COMPUTED_VALUE"""),22.69)</f>
        <v>22.69</v>
      </c>
      <c r="F175" s="141">
        <f ca="1">IFERROR(__xludf.DUMMYFUNCTION("""COMPUTED_VALUE"""),22.72)</f>
        <v>22.72</v>
      </c>
      <c r="G175" s="143">
        <f ca="1">IFERROR(__xludf.DUMMYFUNCTION("""COMPUTED_VALUE"""),4984481)</f>
        <v>4984481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IFERROR(__xludf.DUMMYFUNCTION("""COMPUTED_VALUE"""),22.41)</f>
        <v>22.41</v>
      </c>
      <c r="D176" s="141">
        <f ca="1">IFERROR(__xludf.DUMMYFUNCTION("""COMPUTED_VALUE"""),22.55)</f>
        <v>22.55</v>
      </c>
      <c r="E176" s="141">
        <f ca="1">IFERROR(__xludf.DUMMYFUNCTION("""COMPUTED_VALUE"""),22.2)</f>
        <v>22.2</v>
      </c>
      <c r="F176" s="141">
        <f ca="1">IFERROR(__xludf.DUMMYFUNCTION("""COMPUTED_VALUE"""),22.49)</f>
        <v>22.49</v>
      </c>
      <c r="G176" s="143">
        <f ca="1">IFERROR(__xludf.DUMMYFUNCTION("""COMPUTED_VALUE"""),11392066)</f>
        <v>11392066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IFERROR(__xludf.DUMMYFUNCTION("""COMPUTED_VALUE"""),22.56)</f>
        <v>22.56</v>
      </c>
      <c r="D177" s="141">
        <f ca="1">IFERROR(__xludf.DUMMYFUNCTION("""COMPUTED_VALUE"""),22.59)</f>
        <v>22.59</v>
      </c>
      <c r="E177" s="141">
        <f ca="1">IFERROR(__xludf.DUMMYFUNCTION("""COMPUTED_VALUE"""),22.51)</f>
        <v>22.51</v>
      </c>
      <c r="F177" s="141">
        <f ca="1">IFERROR(__xludf.DUMMYFUNCTION("""COMPUTED_VALUE"""),22.57)</f>
        <v>22.57</v>
      </c>
      <c r="G177" s="143">
        <f ca="1">IFERROR(__xludf.DUMMYFUNCTION("""COMPUTED_VALUE"""),363780)</f>
        <v>363780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IFERROR(__xludf.DUMMYFUNCTION("""COMPUTED_VALUE"""),22.42)</f>
        <v>22.42</v>
      </c>
      <c r="D178" s="141">
        <f ca="1">IFERROR(__xludf.DUMMYFUNCTION("""COMPUTED_VALUE"""),22.6)</f>
        <v>22.6</v>
      </c>
      <c r="E178" s="141">
        <f ca="1">IFERROR(__xludf.DUMMYFUNCTION("""COMPUTED_VALUE"""),22.33)</f>
        <v>22.33</v>
      </c>
      <c r="F178" s="141">
        <f ca="1">IFERROR(__xludf.DUMMYFUNCTION("""COMPUTED_VALUE"""),22.4)</f>
        <v>22.4</v>
      </c>
      <c r="G178" s="143">
        <f ca="1">IFERROR(__xludf.DUMMYFUNCTION("""COMPUTED_VALUE"""),1109629)</f>
        <v>1109629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IFERROR(__xludf.DUMMYFUNCTION("""COMPUTED_VALUE"""),22.29)</f>
        <v>22.29</v>
      </c>
      <c r="D179" s="141">
        <f ca="1">IFERROR(__xludf.DUMMYFUNCTION("""COMPUTED_VALUE"""),22.41)</f>
        <v>22.41</v>
      </c>
      <c r="E179" s="141">
        <f ca="1">IFERROR(__xludf.DUMMYFUNCTION("""COMPUTED_VALUE"""),22.25)</f>
        <v>22.25</v>
      </c>
      <c r="F179" s="141">
        <f ca="1">IFERROR(__xludf.DUMMYFUNCTION("""COMPUTED_VALUE"""),22.36)</f>
        <v>22.36</v>
      </c>
      <c r="G179" s="143">
        <f ca="1">IFERROR(__xludf.DUMMYFUNCTION("""COMPUTED_VALUE"""),1763554)</f>
        <v>1763554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IFERROR(__xludf.DUMMYFUNCTION("""COMPUTED_VALUE"""),22.26)</f>
        <v>22.26</v>
      </c>
      <c r="D180" s="141">
        <f ca="1">IFERROR(__xludf.DUMMYFUNCTION("""COMPUTED_VALUE"""),22.44)</f>
        <v>22.44</v>
      </c>
      <c r="E180" s="141">
        <f ca="1">IFERROR(__xludf.DUMMYFUNCTION("""COMPUTED_VALUE"""),22.19)</f>
        <v>22.19</v>
      </c>
      <c r="F180" s="141">
        <f ca="1">IFERROR(__xludf.DUMMYFUNCTION("""COMPUTED_VALUE"""),22.41)</f>
        <v>22.41</v>
      </c>
      <c r="G180" s="143">
        <f ca="1">IFERROR(__xludf.DUMMYFUNCTION("""COMPUTED_VALUE"""),2066544)</f>
        <v>2066544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IFERROR(__xludf.DUMMYFUNCTION("""COMPUTED_VALUE"""),22.46)</f>
        <v>22.46</v>
      </c>
      <c r="D181" s="141">
        <f ca="1">IFERROR(__xludf.DUMMYFUNCTION("""COMPUTED_VALUE"""),22.54)</f>
        <v>22.54</v>
      </c>
      <c r="E181" s="141">
        <f ca="1">IFERROR(__xludf.DUMMYFUNCTION("""COMPUTED_VALUE"""),22.38)</f>
        <v>22.38</v>
      </c>
      <c r="F181" s="141">
        <f ca="1">IFERROR(__xludf.DUMMYFUNCTION("""COMPUTED_VALUE"""),22.39)</f>
        <v>22.39</v>
      </c>
      <c r="G181" s="143">
        <f ca="1">IFERROR(__xludf.DUMMYFUNCTION("""COMPUTED_VALUE"""),404114)</f>
        <v>404114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IFERROR(__xludf.DUMMYFUNCTION("""COMPUTED_VALUE"""),22.3)</f>
        <v>22.3</v>
      </c>
      <c r="D182" s="141">
        <f ca="1">IFERROR(__xludf.DUMMYFUNCTION("""COMPUTED_VALUE"""),22.39)</f>
        <v>22.39</v>
      </c>
      <c r="E182" s="141">
        <f ca="1">IFERROR(__xludf.DUMMYFUNCTION("""COMPUTED_VALUE"""),22.25)</f>
        <v>22.25</v>
      </c>
      <c r="F182" s="141">
        <f ca="1">IFERROR(__xludf.DUMMYFUNCTION("""COMPUTED_VALUE"""),22.28)</f>
        <v>22.28</v>
      </c>
      <c r="G182" s="143">
        <f ca="1">IFERROR(__xludf.DUMMYFUNCTION("""COMPUTED_VALUE"""),765118)</f>
        <v>765118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IFERROR(__xludf.DUMMYFUNCTION("""COMPUTED_VALUE"""),22.16)</f>
        <v>22.16</v>
      </c>
      <c r="D183" s="141">
        <f ca="1">IFERROR(__xludf.DUMMYFUNCTION("""COMPUTED_VALUE"""),22.24)</f>
        <v>22.24</v>
      </c>
      <c r="E183" s="141">
        <f ca="1">IFERROR(__xludf.DUMMYFUNCTION("""COMPUTED_VALUE"""),22.06)</f>
        <v>22.06</v>
      </c>
      <c r="F183" s="141">
        <f ca="1">IFERROR(__xludf.DUMMYFUNCTION("""COMPUTED_VALUE"""),22.07)</f>
        <v>22.07</v>
      </c>
      <c r="G183" s="143">
        <f ca="1">IFERROR(__xludf.DUMMYFUNCTION("""COMPUTED_VALUE"""),369722)</f>
        <v>369722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IFERROR(__xludf.DUMMYFUNCTION("""COMPUTED_VALUE"""),22.01)</f>
        <v>22.01</v>
      </c>
      <c r="D184" s="141">
        <f ca="1">IFERROR(__xludf.DUMMYFUNCTION("""COMPUTED_VALUE"""),22.11)</f>
        <v>22.11</v>
      </c>
      <c r="E184" s="141">
        <f ca="1">IFERROR(__xludf.DUMMYFUNCTION("""COMPUTED_VALUE"""),21.86)</f>
        <v>21.86</v>
      </c>
      <c r="F184" s="141">
        <f ca="1">IFERROR(__xludf.DUMMYFUNCTION("""COMPUTED_VALUE"""),21.9)</f>
        <v>21.9</v>
      </c>
      <c r="G184" s="143">
        <f ca="1">IFERROR(__xludf.DUMMYFUNCTION("""COMPUTED_VALUE"""),1068554)</f>
        <v>1068554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IFERROR(__xludf.DUMMYFUNCTION("""COMPUTED_VALUE"""),22.07)</f>
        <v>22.07</v>
      </c>
      <c r="D185" s="141">
        <f ca="1">IFERROR(__xludf.DUMMYFUNCTION("""COMPUTED_VALUE"""),22.14)</f>
        <v>22.14</v>
      </c>
      <c r="E185" s="141">
        <f ca="1">IFERROR(__xludf.DUMMYFUNCTION("""COMPUTED_VALUE"""),22.03)</f>
        <v>22.03</v>
      </c>
      <c r="F185" s="141">
        <f ca="1">IFERROR(__xludf.DUMMYFUNCTION("""COMPUTED_VALUE"""),22.09)</f>
        <v>22.09</v>
      </c>
      <c r="G185" s="143">
        <f ca="1">IFERROR(__xludf.DUMMYFUNCTION("""COMPUTED_VALUE"""),482486)</f>
        <v>482486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IFERROR(__xludf.DUMMYFUNCTION("""COMPUTED_VALUE"""),22.13)</f>
        <v>22.13</v>
      </c>
      <c r="D186" s="141">
        <f ca="1">IFERROR(__xludf.DUMMYFUNCTION("""COMPUTED_VALUE"""),22.21)</f>
        <v>22.21</v>
      </c>
      <c r="E186" s="141">
        <f ca="1">IFERROR(__xludf.DUMMYFUNCTION("""COMPUTED_VALUE"""),22.13)</f>
        <v>22.13</v>
      </c>
      <c r="F186" s="141">
        <f ca="1">IFERROR(__xludf.DUMMYFUNCTION("""COMPUTED_VALUE"""),22.16)</f>
        <v>22.16</v>
      </c>
      <c r="G186" s="143">
        <f ca="1">IFERROR(__xludf.DUMMYFUNCTION("""COMPUTED_VALUE"""),221388)</f>
        <v>221388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IFERROR(__xludf.DUMMYFUNCTION("""COMPUTED_VALUE"""),22.04)</f>
        <v>22.04</v>
      </c>
      <c r="D187" s="141">
        <f ca="1">IFERROR(__xludf.DUMMYFUNCTION("""COMPUTED_VALUE"""),22.12)</f>
        <v>22.12</v>
      </c>
      <c r="E187" s="141">
        <f ca="1">IFERROR(__xludf.DUMMYFUNCTION("""COMPUTED_VALUE"""),21.97)</f>
        <v>21.97</v>
      </c>
      <c r="F187" s="141">
        <f ca="1">IFERROR(__xludf.DUMMYFUNCTION("""COMPUTED_VALUE"""),21.97)</f>
        <v>21.97</v>
      </c>
      <c r="G187" s="143">
        <f ca="1">IFERROR(__xludf.DUMMYFUNCTION("""COMPUTED_VALUE"""),293418)</f>
        <v>293418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IFERROR(__xludf.DUMMYFUNCTION("""COMPUTED_VALUE"""),21.93)</f>
        <v>21.93</v>
      </c>
      <c r="D188" s="141">
        <f ca="1">IFERROR(__xludf.DUMMYFUNCTION("""COMPUTED_VALUE"""),22.26)</f>
        <v>22.26</v>
      </c>
      <c r="E188" s="141">
        <f ca="1">IFERROR(__xludf.DUMMYFUNCTION("""COMPUTED_VALUE"""),21.93)</f>
        <v>21.93</v>
      </c>
      <c r="F188" s="141">
        <f ca="1">IFERROR(__xludf.DUMMYFUNCTION("""COMPUTED_VALUE"""),22.19)</f>
        <v>22.19</v>
      </c>
      <c r="G188" s="143">
        <f ca="1">IFERROR(__xludf.DUMMYFUNCTION("""COMPUTED_VALUE"""),368260)</f>
        <v>368260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IFERROR(__xludf.DUMMYFUNCTION("""COMPUTED_VALUE"""),22.09)</f>
        <v>22.09</v>
      </c>
      <c r="D189" s="141">
        <f ca="1">IFERROR(__xludf.DUMMYFUNCTION("""COMPUTED_VALUE"""),22.12)</f>
        <v>22.12</v>
      </c>
      <c r="E189" s="141">
        <f ca="1">IFERROR(__xludf.DUMMYFUNCTION("""COMPUTED_VALUE"""),21.9)</f>
        <v>21.9</v>
      </c>
      <c r="F189" s="141">
        <f ca="1">IFERROR(__xludf.DUMMYFUNCTION("""COMPUTED_VALUE"""),21.92)</f>
        <v>21.92</v>
      </c>
      <c r="G189" s="143">
        <f ca="1">IFERROR(__xludf.DUMMYFUNCTION("""COMPUTED_VALUE"""),362102)</f>
        <v>362102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IFERROR(__xludf.DUMMYFUNCTION("""COMPUTED_VALUE"""),21.99)</f>
        <v>21.99</v>
      </c>
      <c r="D190" s="141">
        <f ca="1">IFERROR(__xludf.DUMMYFUNCTION("""COMPUTED_VALUE"""),22.21)</f>
        <v>22.21</v>
      </c>
      <c r="E190" s="141">
        <f ca="1">IFERROR(__xludf.DUMMYFUNCTION("""COMPUTED_VALUE"""),21.96)</f>
        <v>21.96</v>
      </c>
      <c r="F190" s="141">
        <f ca="1">IFERROR(__xludf.DUMMYFUNCTION("""COMPUTED_VALUE"""),22.12)</f>
        <v>22.12</v>
      </c>
      <c r="G190" s="143">
        <f ca="1">IFERROR(__xludf.DUMMYFUNCTION("""COMPUTED_VALUE"""),480501)</f>
        <v>480501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IFERROR(__xludf.DUMMYFUNCTION("""COMPUTED_VALUE"""),21.99)</f>
        <v>21.99</v>
      </c>
      <c r="D191" s="141">
        <f ca="1">IFERROR(__xludf.DUMMYFUNCTION("""COMPUTED_VALUE"""),22.04)</f>
        <v>22.04</v>
      </c>
      <c r="E191" s="141">
        <f ca="1">IFERROR(__xludf.DUMMYFUNCTION("""COMPUTED_VALUE"""),21.92)</f>
        <v>21.92</v>
      </c>
      <c r="F191" s="141">
        <f ca="1">IFERROR(__xludf.DUMMYFUNCTION("""COMPUTED_VALUE"""),21.98)</f>
        <v>21.98</v>
      </c>
      <c r="G191" s="143">
        <f ca="1">IFERROR(__xludf.DUMMYFUNCTION("""COMPUTED_VALUE"""),236926)</f>
        <v>236926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IFERROR(__xludf.DUMMYFUNCTION("""COMPUTED_VALUE"""),22.09)</f>
        <v>22.09</v>
      </c>
      <c r="D192" s="141">
        <f ca="1">IFERROR(__xludf.DUMMYFUNCTION("""COMPUTED_VALUE"""),22.17)</f>
        <v>22.17</v>
      </c>
      <c r="E192" s="141">
        <f ca="1">IFERROR(__xludf.DUMMYFUNCTION("""COMPUTED_VALUE"""),22.02)</f>
        <v>22.02</v>
      </c>
      <c r="F192" s="141">
        <f ca="1">IFERROR(__xludf.DUMMYFUNCTION("""COMPUTED_VALUE"""),22.04)</f>
        <v>22.04</v>
      </c>
      <c r="G192" s="143">
        <f ca="1">IFERROR(__xludf.DUMMYFUNCTION("""COMPUTED_VALUE"""),141672)</f>
        <v>141672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IFERROR(__xludf.DUMMYFUNCTION("""COMPUTED_VALUE"""),21.91)</f>
        <v>21.91</v>
      </c>
      <c r="D193" s="141">
        <f ca="1">IFERROR(__xludf.DUMMYFUNCTION("""COMPUTED_VALUE"""),21.96)</f>
        <v>21.96</v>
      </c>
      <c r="E193" s="141">
        <f ca="1">IFERROR(__xludf.DUMMYFUNCTION("""COMPUTED_VALUE"""),21.8)</f>
        <v>21.8</v>
      </c>
      <c r="F193" s="141">
        <f ca="1">IFERROR(__xludf.DUMMYFUNCTION("""COMPUTED_VALUE"""),21.8)</f>
        <v>21.8</v>
      </c>
      <c r="G193" s="143">
        <f ca="1">IFERROR(__xludf.DUMMYFUNCTION("""COMPUTED_VALUE"""),199865)</f>
        <v>199865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IFERROR(__xludf.DUMMYFUNCTION("""COMPUTED_VALUE"""),21.73)</f>
        <v>21.73</v>
      </c>
      <c r="D194" s="141">
        <f ca="1">IFERROR(__xludf.DUMMYFUNCTION("""COMPUTED_VALUE"""),21.8)</f>
        <v>21.8</v>
      </c>
      <c r="E194" s="141">
        <f ca="1">IFERROR(__xludf.DUMMYFUNCTION("""COMPUTED_VALUE"""),21.65)</f>
        <v>21.65</v>
      </c>
      <c r="F194" s="141">
        <f ca="1">IFERROR(__xludf.DUMMYFUNCTION("""COMPUTED_VALUE"""),21.73)</f>
        <v>21.73</v>
      </c>
      <c r="G194" s="143">
        <f ca="1">IFERROR(__xludf.DUMMYFUNCTION("""COMPUTED_VALUE"""),554462)</f>
        <v>554462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IFERROR(__xludf.DUMMYFUNCTION("""COMPUTED_VALUE"""),21.76)</f>
        <v>21.76</v>
      </c>
      <c r="D195" s="141">
        <f ca="1">IFERROR(__xludf.DUMMYFUNCTION("""COMPUTED_VALUE"""),21.8)</f>
        <v>21.8</v>
      </c>
      <c r="E195" s="141">
        <f ca="1">IFERROR(__xludf.DUMMYFUNCTION("""COMPUTED_VALUE"""),21.68)</f>
        <v>21.68</v>
      </c>
      <c r="F195" s="141">
        <f ca="1">IFERROR(__xludf.DUMMYFUNCTION("""COMPUTED_VALUE"""),21.72)</f>
        <v>21.72</v>
      </c>
      <c r="G195" s="143">
        <f ca="1">IFERROR(__xludf.DUMMYFUNCTION("""COMPUTED_VALUE"""),421517)</f>
        <v>421517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IFERROR(__xludf.DUMMYFUNCTION("""COMPUTED_VALUE"""),21.83)</f>
        <v>21.83</v>
      </c>
      <c r="D196" s="141">
        <f ca="1">IFERROR(__xludf.DUMMYFUNCTION("""COMPUTED_VALUE"""),21.99)</f>
        <v>21.99</v>
      </c>
      <c r="E196" s="141">
        <f ca="1">IFERROR(__xludf.DUMMYFUNCTION("""COMPUTED_VALUE"""),21.79)</f>
        <v>21.79</v>
      </c>
      <c r="F196" s="141">
        <f ca="1">IFERROR(__xludf.DUMMYFUNCTION("""COMPUTED_VALUE"""),21.95)</f>
        <v>21.95</v>
      </c>
      <c r="G196" s="143">
        <f ca="1">IFERROR(__xludf.DUMMYFUNCTION("""COMPUTED_VALUE"""),687012)</f>
        <v>687012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IFERROR(__xludf.DUMMYFUNCTION("""COMPUTED_VALUE"""),22)</f>
        <v>22</v>
      </c>
      <c r="D197" s="141">
        <f ca="1">IFERROR(__xludf.DUMMYFUNCTION("""COMPUTED_VALUE"""),22.05)</f>
        <v>22.05</v>
      </c>
      <c r="E197" s="141">
        <f ca="1">IFERROR(__xludf.DUMMYFUNCTION("""COMPUTED_VALUE"""),21.96)</f>
        <v>21.96</v>
      </c>
      <c r="F197" s="141">
        <f ca="1">IFERROR(__xludf.DUMMYFUNCTION("""COMPUTED_VALUE"""),21.96)</f>
        <v>21.96</v>
      </c>
      <c r="G197" s="143">
        <f ca="1">IFERROR(__xludf.DUMMYFUNCTION("""COMPUTED_VALUE"""),540826)</f>
        <v>540826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IFERROR(__xludf.DUMMYFUNCTION("""COMPUTED_VALUE"""),21.82)</f>
        <v>21.82</v>
      </c>
      <c r="D198" s="141">
        <f ca="1">IFERROR(__xludf.DUMMYFUNCTION("""COMPUTED_VALUE"""),21.96)</f>
        <v>21.96</v>
      </c>
      <c r="E198" s="141">
        <f ca="1">IFERROR(__xludf.DUMMYFUNCTION("""COMPUTED_VALUE"""),21.76)</f>
        <v>21.76</v>
      </c>
      <c r="F198" s="141">
        <f ca="1">IFERROR(__xludf.DUMMYFUNCTION("""COMPUTED_VALUE"""),21.88)</f>
        <v>21.88</v>
      </c>
      <c r="G198" s="143">
        <f ca="1">IFERROR(__xludf.DUMMYFUNCTION("""COMPUTED_VALUE"""),267760)</f>
        <v>267760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IFERROR(__xludf.DUMMYFUNCTION("""COMPUTED_VALUE"""),21.88)</f>
        <v>21.88</v>
      </c>
      <c r="D199" s="141">
        <f ca="1">IFERROR(__xludf.DUMMYFUNCTION("""COMPUTED_VALUE"""),21.97)</f>
        <v>21.97</v>
      </c>
      <c r="E199" s="141">
        <f ca="1">IFERROR(__xludf.DUMMYFUNCTION("""COMPUTED_VALUE"""),21.84)</f>
        <v>21.84</v>
      </c>
      <c r="F199" s="141">
        <f ca="1">IFERROR(__xludf.DUMMYFUNCTION("""COMPUTED_VALUE"""),21.86)</f>
        <v>21.86</v>
      </c>
      <c r="G199" s="143">
        <f ca="1">IFERROR(__xludf.DUMMYFUNCTION("""COMPUTED_VALUE"""),756853)</f>
        <v>756853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IFERROR(__xludf.DUMMYFUNCTION("""COMPUTED_VALUE"""),21.88)</f>
        <v>21.88</v>
      </c>
      <c r="D200" s="141">
        <f ca="1">IFERROR(__xludf.DUMMYFUNCTION("""COMPUTED_VALUE"""),21.96)</f>
        <v>21.96</v>
      </c>
      <c r="E200" s="141">
        <f ca="1">IFERROR(__xludf.DUMMYFUNCTION("""COMPUTED_VALUE"""),21.81)</f>
        <v>21.81</v>
      </c>
      <c r="F200" s="141">
        <f ca="1">IFERROR(__xludf.DUMMYFUNCTION("""COMPUTED_VALUE"""),21.93)</f>
        <v>21.93</v>
      </c>
      <c r="G200" s="143">
        <f ca="1">IFERROR(__xludf.DUMMYFUNCTION("""COMPUTED_VALUE"""),248696)</f>
        <v>248696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IFERROR(__xludf.DUMMYFUNCTION("""COMPUTED_VALUE"""),22.34)</f>
        <v>22.34</v>
      </c>
      <c r="D201" s="141">
        <f ca="1">IFERROR(__xludf.DUMMYFUNCTION("""COMPUTED_VALUE"""),22.39)</f>
        <v>22.39</v>
      </c>
      <c r="E201" s="141">
        <f ca="1">IFERROR(__xludf.DUMMYFUNCTION("""COMPUTED_VALUE"""),22.2)</f>
        <v>22.2</v>
      </c>
      <c r="F201" s="141">
        <f ca="1">IFERROR(__xludf.DUMMYFUNCTION("""COMPUTED_VALUE"""),22.25)</f>
        <v>22.25</v>
      </c>
      <c r="G201" s="143">
        <f ca="1">IFERROR(__xludf.DUMMYFUNCTION("""COMPUTED_VALUE"""),207189)</f>
        <v>207189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IFERROR(__xludf.DUMMYFUNCTION("""COMPUTED_VALUE"""),22.18)</f>
        <v>22.18</v>
      </c>
      <c r="D202" s="141">
        <f ca="1">IFERROR(__xludf.DUMMYFUNCTION("""COMPUTED_VALUE"""),22.29)</f>
        <v>22.29</v>
      </c>
      <c r="E202" s="141">
        <f ca="1">IFERROR(__xludf.DUMMYFUNCTION("""COMPUTED_VALUE"""),22.13)</f>
        <v>22.13</v>
      </c>
      <c r="F202" s="141">
        <f ca="1">IFERROR(__xludf.DUMMYFUNCTION("""COMPUTED_VALUE"""),22.22)</f>
        <v>22.22</v>
      </c>
      <c r="G202" s="143">
        <f ca="1">IFERROR(__xludf.DUMMYFUNCTION("""COMPUTED_VALUE"""),372538)</f>
        <v>372538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IFERROR(__xludf.DUMMYFUNCTION("""COMPUTED_VALUE"""),22.19)</f>
        <v>22.19</v>
      </c>
      <c r="D203" s="141">
        <f ca="1">IFERROR(__xludf.DUMMYFUNCTION("""COMPUTED_VALUE"""),22.23)</f>
        <v>22.23</v>
      </c>
      <c r="E203" s="141">
        <f ca="1">IFERROR(__xludf.DUMMYFUNCTION("""COMPUTED_VALUE"""),22.16)</f>
        <v>22.16</v>
      </c>
      <c r="F203" s="141">
        <f ca="1">IFERROR(__xludf.DUMMYFUNCTION("""COMPUTED_VALUE"""),22.17)</f>
        <v>22.17</v>
      </c>
      <c r="G203" s="143">
        <f ca="1">IFERROR(__xludf.DUMMYFUNCTION("""COMPUTED_VALUE"""),1355314)</f>
        <v>1355314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IFERROR(__xludf.DUMMYFUNCTION("""COMPUTED_VALUE"""),22.11)</f>
        <v>22.11</v>
      </c>
      <c r="D204" s="141">
        <f ca="1">IFERROR(__xludf.DUMMYFUNCTION("""COMPUTED_VALUE"""),22.24)</f>
        <v>22.24</v>
      </c>
      <c r="E204" s="141">
        <f ca="1">IFERROR(__xludf.DUMMYFUNCTION("""COMPUTED_VALUE"""),22.04)</f>
        <v>22.04</v>
      </c>
      <c r="F204" s="141">
        <f ca="1">IFERROR(__xludf.DUMMYFUNCTION("""COMPUTED_VALUE"""),22.21)</f>
        <v>22.21</v>
      </c>
      <c r="G204" s="143">
        <f ca="1">IFERROR(__xludf.DUMMYFUNCTION("""COMPUTED_VALUE"""),349497)</f>
        <v>349497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IFERROR(__xludf.DUMMYFUNCTION("""COMPUTED_VALUE"""),22.32)</f>
        <v>22.32</v>
      </c>
      <c r="D205" s="141">
        <f ca="1">IFERROR(__xludf.DUMMYFUNCTION("""COMPUTED_VALUE"""),22.38)</f>
        <v>22.38</v>
      </c>
      <c r="E205" s="141">
        <f ca="1">IFERROR(__xludf.DUMMYFUNCTION("""COMPUTED_VALUE"""),22.22)</f>
        <v>22.22</v>
      </c>
      <c r="F205" s="141">
        <f ca="1">IFERROR(__xludf.DUMMYFUNCTION("""COMPUTED_VALUE"""),22.38)</f>
        <v>22.38</v>
      </c>
      <c r="G205" s="143">
        <f ca="1">IFERROR(__xludf.DUMMYFUNCTION("""COMPUTED_VALUE"""),218222)</f>
        <v>218222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IFERROR(__xludf.DUMMYFUNCTION("""COMPUTED_VALUE"""),22.34)</f>
        <v>22.34</v>
      </c>
      <c r="D206" s="141">
        <f ca="1">IFERROR(__xludf.DUMMYFUNCTION("""COMPUTED_VALUE"""),22.35)</f>
        <v>22.35</v>
      </c>
      <c r="E206" s="141">
        <f ca="1">IFERROR(__xludf.DUMMYFUNCTION("""COMPUTED_VALUE"""),22.32)</f>
        <v>22.32</v>
      </c>
      <c r="F206" s="141">
        <f ca="1">IFERROR(__xludf.DUMMYFUNCTION("""COMPUTED_VALUE"""),22.34)</f>
        <v>22.34</v>
      </c>
      <c r="G206" s="143">
        <f ca="1">IFERROR(__xludf.DUMMYFUNCTION("""COMPUTED_VALUE"""),313739)</f>
        <v>313739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IFERROR(__xludf.DUMMYFUNCTION("""COMPUTED_VALUE"""),22.37)</f>
        <v>22.37</v>
      </c>
      <c r="D207" s="141">
        <f ca="1">IFERROR(__xludf.DUMMYFUNCTION("""COMPUTED_VALUE"""),22.37)</f>
        <v>22.37</v>
      </c>
      <c r="E207" s="141">
        <f ca="1">IFERROR(__xludf.DUMMYFUNCTION("""COMPUTED_VALUE"""),22.26)</f>
        <v>22.26</v>
      </c>
      <c r="F207" s="141">
        <f ca="1">IFERROR(__xludf.DUMMYFUNCTION("""COMPUTED_VALUE"""),22.27)</f>
        <v>22.27</v>
      </c>
      <c r="G207" s="143">
        <f ca="1">IFERROR(__xludf.DUMMYFUNCTION("""COMPUTED_VALUE"""),223633)</f>
        <v>223633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IFERROR(__xludf.DUMMYFUNCTION("""COMPUTED_VALUE"""),22.5)</f>
        <v>22.5</v>
      </c>
      <c r="D208" s="141">
        <f ca="1">IFERROR(__xludf.DUMMYFUNCTION("""COMPUTED_VALUE"""),22.56)</f>
        <v>22.56</v>
      </c>
      <c r="E208" s="141">
        <f ca="1">IFERROR(__xludf.DUMMYFUNCTION("""COMPUTED_VALUE"""),22.4)</f>
        <v>22.4</v>
      </c>
      <c r="F208" s="141">
        <f ca="1">IFERROR(__xludf.DUMMYFUNCTION("""COMPUTED_VALUE"""),22.42)</f>
        <v>22.42</v>
      </c>
      <c r="G208" s="143">
        <f ca="1">IFERROR(__xludf.DUMMYFUNCTION("""COMPUTED_VALUE"""),195961)</f>
        <v>195961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IFERROR(__xludf.DUMMYFUNCTION("""COMPUTED_VALUE"""),22.44)</f>
        <v>22.44</v>
      </c>
      <c r="D209" s="141">
        <f ca="1">IFERROR(__xludf.DUMMYFUNCTION("""COMPUTED_VALUE"""),22.48)</f>
        <v>22.48</v>
      </c>
      <c r="E209" s="141">
        <f ca="1">IFERROR(__xludf.DUMMYFUNCTION("""COMPUTED_VALUE"""),22.35)</f>
        <v>22.35</v>
      </c>
      <c r="F209" s="141">
        <f ca="1">IFERROR(__xludf.DUMMYFUNCTION("""COMPUTED_VALUE"""),22.45)</f>
        <v>22.45</v>
      </c>
      <c r="G209" s="143">
        <f ca="1">IFERROR(__xludf.DUMMYFUNCTION("""COMPUTED_VALUE"""),207932)</f>
        <v>207932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IFERROR(__xludf.DUMMYFUNCTION("""COMPUTED_VALUE"""),22.38)</f>
        <v>22.38</v>
      </c>
      <c r="D210" s="141">
        <f ca="1">IFERROR(__xludf.DUMMYFUNCTION("""COMPUTED_VALUE"""),22.42)</f>
        <v>22.42</v>
      </c>
      <c r="E210" s="141">
        <f ca="1">IFERROR(__xludf.DUMMYFUNCTION("""COMPUTED_VALUE"""),22.21)</f>
        <v>22.21</v>
      </c>
      <c r="F210" s="141">
        <f ca="1">IFERROR(__xludf.DUMMYFUNCTION("""COMPUTED_VALUE"""),22.24)</f>
        <v>22.24</v>
      </c>
      <c r="G210" s="143">
        <f ca="1">IFERROR(__xludf.DUMMYFUNCTION("""COMPUTED_VALUE"""),213946)</f>
        <v>213946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IFERROR(__xludf.DUMMYFUNCTION("""COMPUTED_VALUE"""),22.31)</f>
        <v>22.31</v>
      </c>
      <c r="D211" s="141">
        <f ca="1">IFERROR(__xludf.DUMMYFUNCTION("""COMPUTED_VALUE"""),22.34)</f>
        <v>22.34</v>
      </c>
      <c r="E211" s="141">
        <f ca="1">IFERROR(__xludf.DUMMYFUNCTION("""COMPUTED_VALUE"""),22.25)</f>
        <v>22.25</v>
      </c>
      <c r="F211" s="141">
        <f ca="1">IFERROR(__xludf.DUMMYFUNCTION("""COMPUTED_VALUE"""),22.25)</f>
        <v>22.25</v>
      </c>
      <c r="G211" s="143">
        <f ca="1">IFERROR(__xludf.DUMMYFUNCTION("""COMPUTED_VALUE"""),141906)</f>
        <v>141906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IFERROR(__xludf.DUMMYFUNCTION("""COMPUTED_VALUE"""),22.21)</f>
        <v>22.21</v>
      </c>
      <c r="D212" s="141">
        <f ca="1">IFERROR(__xludf.DUMMYFUNCTION("""COMPUTED_VALUE"""),22.33)</f>
        <v>22.33</v>
      </c>
      <c r="E212" s="141">
        <f ca="1">IFERROR(__xludf.DUMMYFUNCTION("""COMPUTED_VALUE"""),22.08)</f>
        <v>22.08</v>
      </c>
      <c r="F212" s="141">
        <f ca="1">IFERROR(__xludf.DUMMYFUNCTION("""COMPUTED_VALUE"""),22.17)</f>
        <v>22.17</v>
      </c>
      <c r="G212" s="143">
        <f ca="1">IFERROR(__xludf.DUMMYFUNCTION("""COMPUTED_VALUE"""),452368)</f>
        <v>452368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IFERROR(__xludf.DUMMYFUNCTION("""COMPUTED_VALUE"""),22.18)</f>
        <v>22.18</v>
      </c>
      <c r="D213" s="141">
        <f ca="1">IFERROR(__xludf.DUMMYFUNCTION("""COMPUTED_VALUE"""),22.27)</f>
        <v>22.27</v>
      </c>
      <c r="E213" s="141">
        <f ca="1">IFERROR(__xludf.DUMMYFUNCTION("""COMPUTED_VALUE"""),22.11)</f>
        <v>22.11</v>
      </c>
      <c r="F213" s="141">
        <f ca="1">IFERROR(__xludf.DUMMYFUNCTION("""COMPUTED_VALUE"""),22.25)</f>
        <v>22.25</v>
      </c>
      <c r="G213" s="143">
        <f ca="1">IFERROR(__xludf.DUMMYFUNCTION("""COMPUTED_VALUE"""),552484)</f>
        <v>552484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IFERROR(__xludf.DUMMYFUNCTION("""COMPUTED_VALUE"""),22.26)</f>
        <v>22.26</v>
      </c>
      <c r="D214" s="141">
        <f ca="1">IFERROR(__xludf.DUMMYFUNCTION("""COMPUTED_VALUE"""),22.37)</f>
        <v>22.37</v>
      </c>
      <c r="E214" s="141">
        <f ca="1">IFERROR(__xludf.DUMMYFUNCTION("""COMPUTED_VALUE"""),22.19)</f>
        <v>22.19</v>
      </c>
      <c r="F214" s="141">
        <f ca="1">IFERROR(__xludf.DUMMYFUNCTION("""COMPUTED_VALUE"""),22.19)</f>
        <v>22.19</v>
      </c>
      <c r="G214" s="143">
        <f ca="1">IFERROR(__xludf.DUMMYFUNCTION("""COMPUTED_VALUE"""),347435)</f>
        <v>347435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IFERROR(__xludf.DUMMYFUNCTION("""COMPUTED_VALUE"""),22.05)</f>
        <v>22.05</v>
      </c>
      <c r="D215" s="141">
        <f ca="1">IFERROR(__xludf.DUMMYFUNCTION("""COMPUTED_VALUE"""),22.16)</f>
        <v>22.16</v>
      </c>
      <c r="E215" s="141">
        <f ca="1">IFERROR(__xludf.DUMMYFUNCTION("""COMPUTED_VALUE"""),22.04)</f>
        <v>22.04</v>
      </c>
      <c r="F215" s="141">
        <f ca="1">IFERROR(__xludf.DUMMYFUNCTION("""COMPUTED_VALUE"""),22.13)</f>
        <v>22.13</v>
      </c>
      <c r="G215" s="143">
        <f ca="1">IFERROR(__xludf.DUMMYFUNCTION("""COMPUTED_VALUE"""),1576545)</f>
        <v>1576545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IFERROR(__xludf.DUMMYFUNCTION("""COMPUTED_VALUE"""),22.08)</f>
        <v>22.08</v>
      </c>
      <c r="D216" s="141">
        <f ca="1">IFERROR(__xludf.DUMMYFUNCTION("""COMPUTED_VALUE"""),22.08)</f>
        <v>22.08</v>
      </c>
      <c r="E216" s="141">
        <f ca="1">IFERROR(__xludf.DUMMYFUNCTION("""COMPUTED_VALUE"""),21.97)</f>
        <v>21.97</v>
      </c>
      <c r="F216" s="141">
        <f ca="1">IFERROR(__xludf.DUMMYFUNCTION("""COMPUTED_VALUE"""),21.98)</f>
        <v>21.98</v>
      </c>
      <c r="G216" s="143">
        <f ca="1">IFERROR(__xludf.DUMMYFUNCTION("""COMPUTED_VALUE"""),569905)</f>
        <v>569905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IFERROR(__xludf.DUMMYFUNCTION("""COMPUTED_VALUE"""),22.21)</f>
        <v>22.21</v>
      </c>
      <c r="D217" s="141">
        <f ca="1">IFERROR(__xludf.DUMMYFUNCTION("""COMPUTED_VALUE"""),22.29)</f>
        <v>22.29</v>
      </c>
      <c r="E217" s="141">
        <f ca="1">IFERROR(__xludf.DUMMYFUNCTION("""COMPUTED_VALUE"""),22.13)</f>
        <v>22.13</v>
      </c>
      <c r="F217" s="141">
        <f ca="1">IFERROR(__xludf.DUMMYFUNCTION("""COMPUTED_VALUE"""),22.27)</f>
        <v>22.27</v>
      </c>
      <c r="G217" s="143">
        <f ca="1">IFERROR(__xludf.DUMMYFUNCTION("""COMPUTED_VALUE"""),622818)</f>
        <v>622818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IFERROR(__xludf.DUMMYFUNCTION("""COMPUTED_VALUE"""),22.21)</f>
        <v>22.21</v>
      </c>
      <c r="D218" s="141">
        <f ca="1">IFERROR(__xludf.DUMMYFUNCTION("""COMPUTED_VALUE"""),22.36)</f>
        <v>22.36</v>
      </c>
      <c r="E218" s="141">
        <f ca="1">IFERROR(__xludf.DUMMYFUNCTION("""COMPUTED_VALUE"""),22.21)</f>
        <v>22.21</v>
      </c>
      <c r="F218" s="141">
        <f ca="1">IFERROR(__xludf.DUMMYFUNCTION("""COMPUTED_VALUE"""),22.23)</f>
        <v>22.23</v>
      </c>
      <c r="G218" s="143">
        <f ca="1">IFERROR(__xludf.DUMMYFUNCTION("""COMPUTED_VALUE"""),192257)</f>
        <v>192257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IFERROR(__xludf.DUMMYFUNCTION("""COMPUTED_VALUE"""),22.18)</f>
        <v>22.18</v>
      </c>
      <c r="D219" s="141">
        <f ca="1">IFERROR(__xludf.DUMMYFUNCTION("""COMPUTED_VALUE"""),22.19)</f>
        <v>22.19</v>
      </c>
      <c r="E219" s="141">
        <f ca="1">IFERROR(__xludf.DUMMYFUNCTION("""COMPUTED_VALUE"""),22.08)</f>
        <v>22.08</v>
      </c>
      <c r="F219" s="141">
        <f ca="1">IFERROR(__xludf.DUMMYFUNCTION("""COMPUTED_VALUE"""),22.13)</f>
        <v>22.13</v>
      </c>
      <c r="G219" s="143">
        <f ca="1">IFERROR(__xludf.DUMMYFUNCTION("""COMPUTED_VALUE"""),387860)</f>
        <v>387860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IFERROR(__xludf.DUMMYFUNCTION("""COMPUTED_VALUE"""),22.09)</f>
        <v>22.09</v>
      </c>
      <c r="D220" s="141">
        <f ca="1">IFERROR(__xludf.DUMMYFUNCTION("""COMPUTED_VALUE"""),22.18)</f>
        <v>22.18</v>
      </c>
      <c r="E220" s="141">
        <f ca="1">IFERROR(__xludf.DUMMYFUNCTION("""COMPUTED_VALUE"""),22.09)</f>
        <v>22.09</v>
      </c>
      <c r="F220" s="141">
        <f ca="1">IFERROR(__xludf.DUMMYFUNCTION("""COMPUTED_VALUE"""),22.13)</f>
        <v>22.13</v>
      </c>
      <c r="G220" s="143">
        <f ca="1">IFERROR(__xludf.DUMMYFUNCTION("""COMPUTED_VALUE"""),1350525)</f>
        <v>1350525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IFERROR(__xludf.DUMMYFUNCTION("""COMPUTED_VALUE"""),22.36)</f>
        <v>22.36</v>
      </c>
      <c r="D221" s="141">
        <f ca="1">IFERROR(__xludf.DUMMYFUNCTION("""COMPUTED_VALUE"""),22.47)</f>
        <v>22.47</v>
      </c>
      <c r="E221" s="141">
        <f ca="1">IFERROR(__xludf.DUMMYFUNCTION("""COMPUTED_VALUE"""),22.34)</f>
        <v>22.34</v>
      </c>
      <c r="F221" s="141">
        <f ca="1">IFERROR(__xludf.DUMMYFUNCTION("""COMPUTED_VALUE"""),22.34)</f>
        <v>22.34</v>
      </c>
      <c r="G221" s="143">
        <f ca="1">IFERROR(__xludf.DUMMYFUNCTION("""COMPUTED_VALUE"""),341366)</f>
        <v>341366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IFERROR(__xludf.DUMMYFUNCTION("""COMPUTED_VALUE"""),22.44)</f>
        <v>22.44</v>
      </c>
      <c r="D222" s="141">
        <f ca="1">IFERROR(__xludf.DUMMYFUNCTION("""COMPUTED_VALUE"""),22.5)</f>
        <v>22.5</v>
      </c>
      <c r="E222" s="141">
        <f ca="1">IFERROR(__xludf.DUMMYFUNCTION("""COMPUTED_VALUE"""),22.29)</f>
        <v>22.29</v>
      </c>
      <c r="F222" s="141">
        <f ca="1">IFERROR(__xludf.DUMMYFUNCTION("""COMPUTED_VALUE"""),22.31)</f>
        <v>22.31</v>
      </c>
      <c r="G222" s="143">
        <f ca="1">IFERROR(__xludf.DUMMYFUNCTION("""COMPUTED_VALUE"""),263705)</f>
        <v>263705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IFERROR(__xludf.DUMMYFUNCTION("""COMPUTED_VALUE"""),22.41)</f>
        <v>22.41</v>
      </c>
      <c r="D223" s="141">
        <f ca="1">IFERROR(__xludf.DUMMYFUNCTION("""COMPUTED_VALUE"""),22.44)</f>
        <v>22.44</v>
      </c>
      <c r="E223" s="141">
        <f ca="1">IFERROR(__xludf.DUMMYFUNCTION("""COMPUTED_VALUE"""),22.36)</f>
        <v>22.36</v>
      </c>
      <c r="F223" s="141">
        <f ca="1">IFERROR(__xludf.DUMMYFUNCTION("""COMPUTED_VALUE"""),22.39)</f>
        <v>22.39</v>
      </c>
      <c r="G223" s="143">
        <f ca="1">IFERROR(__xludf.DUMMYFUNCTION("""COMPUTED_VALUE"""),1114310)</f>
        <v>1114310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IFERROR(__xludf.DUMMYFUNCTION("""COMPUTED_VALUE"""),22.33)</f>
        <v>22.33</v>
      </c>
      <c r="D224" s="141">
        <f ca="1">IFERROR(__xludf.DUMMYFUNCTION("""COMPUTED_VALUE"""),22.4)</f>
        <v>22.4</v>
      </c>
      <c r="E224" s="141">
        <f ca="1">IFERROR(__xludf.DUMMYFUNCTION("""COMPUTED_VALUE"""),22.28)</f>
        <v>22.28</v>
      </c>
      <c r="F224" s="141">
        <f ca="1">IFERROR(__xludf.DUMMYFUNCTION("""COMPUTED_VALUE"""),22.29)</f>
        <v>22.29</v>
      </c>
      <c r="G224" s="143">
        <f ca="1">IFERROR(__xludf.DUMMYFUNCTION("""COMPUTED_VALUE"""),1330477)</f>
        <v>1330477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IFERROR(__xludf.DUMMYFUNCTION("""COMPUTED_VALUE"""),22.18)</f>
        <v>22.18</v>
      </c>
      <c r="D225" s="141">
        <f ca="1">IFERROR(__xludf.DUMMYFUNCTION("""COMPUTED_VALUE"""),22.19)</f>
        <v>22.19</v>
      </c>
      <c r="E225" s="141">
        <f ca="1">IFERROR(__xludf.DUMMYFUNCTION("""COMPUTED_VALUE"""),22.11)</f>
        <v>22.11</v>
      </c>
      <c r="F225" s="141">
        <f ca="1">IFERROR(__xludf.DUMMYFUNCTION("""COMPUTED_VALUE"""),22.14)</f>
        <v>22.14</v>
      </c>
      <c r="G225" s="143">
        <f ca="1">IFERROR(__xludf.DUMMYFUNCTION("""COMPUTED_VALUE"""),171983)</f>
        <v>171983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IFERROR(__xludf.DUMMYFUNCTION("""COMPUTED_VALUE"""),22.11)</f>
        <v>22.11</v>
      </c>
      <c r="D226" s="141">
        <f ca="1">IFERROR(__xludf.DUMMYFUNCTION("""COMPUTED_VALUE"""),22.2)</f>
        <v>22.2</v>
      </c>
      <c r="E226" s="141">
        <f ca="1">IFERROR(__xludf.DUMMYFUNCTION("""COMPUTED_VALUE"""),22.09)</f>
        <v>22.09</v>
      </c>
      <c r="F226" s="141">
        <f ca="1">IFERROR(__xludf.DUMMYFUNCTION("""COMPUTED_VALUE"""),22.11)</f>
        <v>22.11</v>
      </c>
      <c r="G226" s="143">
        <f ca="1">IFERROR(__xludf.DUMMYFUNCTION("""COMPUTED_VALUE"""),246562)</f>
        <v>246562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IFERROR(__xludf.DUMMYFUNCTION("""COMPUTED_VALUE"""),22.14)</f>
        <v>22.14</v>
      </c>
      <c r="D227" s="141">
        <f ca="1">IFERROR(__xludf.DUMMYFUNCTION("""COMPUTED_VALUE"""),22.15)</f>
        <v>22.15</v>
      </c>
      <c r="E227" s="141">
        <f ca="1">IFERROR(__xludf.DUMMYFUNCTION("""COMPUTED_VALUE"""),22.03)</f>
        <v>22.03</v>
      </c>
      <c r="F227" s="141">
        <f ca="1">IFERROR(__xludf.DUMMYFUNCTION("""COMPUTED_VALUE"""),22.05)</f>
        <v>22.05</v>
      </c>
      <c r="G227" s="143">
        <f ca="1">IFERROR(__xludf.DUMMYFUNCTION("""COMPUTED_VALUE"""),574482)</f>
        <v>574482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IFERROR(__xludf.DUMMYFUNCTION("""COMPUTED_VALUE"""),21.85)</f>
        <v>21.85</v>
      </c>
      <c r="D228" s="141">
        <f ca="1">IFERROR(__xludf.DUMMYFUNCTION("""COMPUTED_VALUE"""),21.87)</f>
        <v>21.87</v>
      </c>
      <c r="E228" s="141">
        <f ca="1">IFERROR(__xludf.DUMMYFUNCTION("""COMPUTED_VALUE"""),21.8)</f>
        <v>21.8</v>
      </c>
      <c r="F228" s="141">
        <f ca="1">IFERROR(__xludf.DUMMYFUNCTION("""COMPUTED_VALUE"""),21.81)</f>
        <v>21.81</v>
      </c>
      <c r="G228" s="143">
        <f ca="1">IFERROR(__xludf.DUMMYFUNCTION("""COMPUTED_VALUE"""),457077)</f>
        <v>457077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IFERROR(__xludf.DUMMYFUNCTION("""COMPUTED_VALUE"""),21.88)</f>
        <v>21.88</v>
      </c>
      <c r="D229" s="141">
        <f ca="1">IFERROR(__xludf.DUMMYFUNCTION("""COMPUTED_VALUE"""),21.94)</f>
        <v>21.94</v>
      </c>
      <c r="E229" s="141">
        <f ca="1">IFERROR(__xludf.DUMMYFUNCTION("""COMPUTED_VALUE"""),21.84)</f>
        <v>21.84</v>
      </c>
      <c r="F229" s="141">
        <f ca="1">IFERROR(__xludf.DUMMYFUNCTION("""COMPUTED_VALUE"""),21.9)</f>
        <v>21.9</v>
      </c>
      <c r="G229" s="143">
        <f ca="1">IFERROR(__xludf.DUMMYFUNCTION("""COMPUTED_VALUE"""),495171)</f>
        <v>495171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IFERROR(__xludf.DUMMYFUNCTION("""COMPUTED_VALUE"""),21.71)</f>
        <v>21.71</v>
      </c>
      <c r="D230" s="141">
        <f ca="1">IFERROR(__xludf.DUMMYFUNCTION("""COMPUTED_VALUE"""),21.78)</f>
        <v>21.78</v>
      </c>
      <c r="E230" s="141">
        <f ca="1">IFERROR(__xludf.DUMMYFUNCTION("""COMPUTED_VALUE"""),21.7)</f>
        <v>21.7</v>
      </c>
      <c r="F230" s="141">
        <f ca="1">IFERROR(__xludf.DUMMYFUNCTION("""COMPUTED_VALUE"""),21.74)</f>
        <v>21.74</v>
      </c>
      <c r="G230" s="143">
        <f ca="1">IFERROR(__xludf.DUMMYFUNCTION("""COMPUTED_VALUE"""),614651)</f>
        <v>614651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IFERROR(__xludf.DUMMYFUNCTION("""COMPUTED_VALUE"""),21.78)</f>
        <v>21.78</v>
      </c>
      <c r="D231" s="141">
        <f ca="1">IFERROR(__xludf.DUMMYFUNCTION("""COMPUTED_VALUE"""),21.97)</f>
        <v>21.97</v>
      </c>
      <c r="E231" s="141">
        <f ca="1">IFERROR(__xludf.DUMMYFUNCTION("""COMPUTED_VALUE"""),21.77)</f>
        <v>21.77</v>
      </c>
      <c r="F231" s="141">
        <f ca="1">IFERROR(__xludf.DUMMYFUNCTION("""COMPUTED_VALUE"""),21.95)</f>
        <v>21.95</v>
      </c>
      <c r="G231" s="143">
        <f ca="1">IFERROR(__xludf.DUMMYFUNCTION("""COMPUTED_VALUE"""),380803)</f>
        <v>380803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IFERROR(__xludf.DUMMYFUNCTION("""COMPUTED_VALUE"""),21.84)</f>
        <v>21.84</v>
      </c>
      <c r="D232" s="141">
        <f ca="1">IFERROR(__xludf.DUMMYFUNCTION("""COMPUTED_VALUE"""),21.96)</f>
        <v>21.96</v>
      </c>
      <c r="E232" s="141">
        <f ca="1">IFERROR(__xludf.DUMMYFUNCTION("""COMPUTED_VALUE"""),21.78)</f>
        <v>21.78</v>
      </c>
      <c r="F232" s="141">
        <f ca="1">IFERROR(__xludf.DUMMYFUNCTION("""COMPUTED_VALUE"""),21.94)</f>
        <v>21.94</v>
      </c>
      <c r="G232" s="143">
        <f ca="1">IFERROR(__xludf.DUMMYFUNCTION("""COMPUTED_VALUE"""),859578)</f>
        <v>859578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IFERROR(__xludf.DUMMYFUNCTION("""COMPUTED_VALUE"""),21.97)</f>
        <v>21.97</v>
      </c>
      <c r="D233" s="141">
        <f ca="1">IFERROR(__xludf.DUMMYFUNCTION("""COMPUTED_VALUE"""),21.97)</f>
        <v>21.97</v>
      </c>
      <c r="E233" s="141">
        <f ca="1">IFERROR(__xludf.DUMMYFUNCTION("""COMPUTED_VALUE"""),21.9)</f>
        <v>21.9</v>
      </c>
      <c r="F233" s="141">
        <f ca="1">IFERROR(__xludf.DUMMYFUNCTION("""COMPUTED_VALUE"""),21.93)</f>
        <v>21.93</v>
      </c>
      <c r="G233" s="143">
        <f ca="1">IFERROR(__xludf.DUMMYFUNCTION("""COMPUTED_VALUE"""),268869)</f>
        <v>268869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IFERROR(__xludf.DUMMYFUNCTION("""COMPUTED_VALUE"""),22.04)</f>
        <v>22.04</v>
      </c>
      <c r="D234" s="141">
        <f ca="1">IFERROR(__xludf.DUMMYFUNCTION("""COMPUTED_VALUE"""),22.06)</f>
        <v>22.06</v>
      </c>
      <c r="E234" s="141">
        <f ca="1">IFERROR(__xludf.DUMMYFUNCTION("""COMPUTED_VALUE"""),21.98)</f>
        <v>21.98</v>
      </c>
      <c r="F234" s="141">
        <f ca="1">IFERROR(__xludf.DUMMYFUNCTION("""COMPUTED_VALUE"""),22.04)</f>
        <v>22.04</v>
      </c>
      <c r="G234" s="143">
        <f ca="1">IFERROR(__xludf.DUMMYFUNCTION("""COMPUTED_VALUE"""),347974)</f>
        <v>347974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IFERROR(__xludf.DUMMYFUNCTION("""COMPUTED_VALUE"""),22.07)</f>
        <v>22.07</v>
      </c>
      <c r="D235" s="141">
        <f ca="1">IFERROR(__xludf.DUMMYFUNCTION("""COMPUTED_VALUE"""),22.09)</f>
        <v>22.09</v>
      </c>
      <c r="E235" s="141">
        <f ca="1">IFERROR(__xludf.DUMMYFUNCTION("""COMPUTED_VALUE"""),22.01)</f>
        <v>22.01</v>
      </c>
      <c r="F235" s="141">
        <f ca="1">IFERROR(__xludf.DUMMYFUNCTION("""COMPUTED_VALUE"""),22.04)</f>
        <v>22.04</v>
      </c>
      <c r="G235" s="143">
        <f ca="1">IFERROR(__xludf.DUMMYFUNCTION("""COMPUTED_VALUE"""),795089)</f>
        <v>795089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IFERROR(__xludf.DUMMYFUNCTION("""COMPUTED_VALUE"""),22.05)</f>
        <v>22.05</v>
      </c>
      <c r="D236" s="141">
        <f ca="1">IFERROR(__xludf.DUMMYFUNCTION("""COMPUTED_VALUE"""),22.13)</f>
        <v>22.13</v>
      </c>
      <c r="E236" s="141">
        <f ca="1">IFERROR(__xludf.DUMMYFUNCTION("""COMPUTED_VALUE"""),22.01)</f>
        <v>22.01</v>
      </c>
      <c r="F236" s="141">
        <f ca="1">IFERROR(__xludf.DUMMYFUNCTION("""COMPUTED_VALUE"""),22.11)</f>
        <v>22.11</v>
      </c>
      <c r="G236" s="143">
        <f ca="1">IFERROR(__xludf.DUMMYFUNCTION("""COMPUTED_VALUE"""),240671)</f>
        <v>240671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IFERROR(__xludf.DUMMYFUNCTION("""COMPUTED_VALUE"""),22.17)</f>
        <v>22.17</v>
      </c>
      <c r="D237" s="141">
        <f ca="1">IFERROR(__xludf.DUMMYFUNCTION("""COMPUTED_VALUE"""),22.22)</f>
        <v>22.22</v>
      </c>
      <c r="E237" s="141">
        <f ca="1">IFERROR(__xludf.DUMMYFUNCTION("""COMPUTED_VALUE"""),22.05)</f>
        <v>22.05</v>
      </c>
      <c r="F237" s="141">
        <f ca="1">IFERROR(__xludf.DUMMYFUNCTION("""COMPUTED_VALUE"""),22.17)</f>
        <v>22.17</v>
      </c>
      <c r="G237" s="143">
        <f ca="1">IFERROR(__xludf.DUMMYFUNCTION("""COMPUTED_VALUE"""),401462)</f>
        <v>401462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IFERROR(__xludf.DUMMYFUNCTION("""COMPUTED_VALUE"""),21.99)</f>
        <v>21.99</v>
      </c>
      <c r="D238" s="141">
        <f ca="1">IFERROR(__xludf.DUMMYFUNCTION("""COMPUTED_VALUE"""),22.04)</f>
        <v>22.04</v>
      </c>
      <c r="E238" s="141">
        <f ca="1">IFERROR(__xludf.DUMMYFUNCTION("""COMPUTED_VALUE"""),21.92)</f>
        <v>21.92</v>
      </c>
      <c r="F238" s="141">
        <f ca="1">IFERROR(__xludf.DUMMYFUNCTION("""COMPUTED_VALUE"""),22.03)</f>
        <v>22.03</v>
      </c>
      <c r="G238" s="143">
        <f ca="1">IFERROR(__xludf.DUMMYFUNCTION("""COMPUTED_VALUE"""),386196)</f>
        <v>386196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IFERROR(__xludf.DUMMYFUNCTION("""COMPUTED_VALUE"""),22.06)</f>
        <v>22.06</v>
      </c>
      <c r="D239" s="141">
        <f ca="1">IFERROR(__xludf.DUMMYFUNCTION("""COMPUTED_VALUE"""),22.07)</f>
        <v>22.07</v>
      </c>
      <c r="E239" s="141">
        <f ca="1">IFERROR(__xludf.DUMMYFUNCTION("""COMPUTED_VALUE"""),22)</f>
        <v>22</v>
      </c>
      <c r="F239" s="141">
        <f ca="1">IFERROR(__xludf.DUMMYFUNCTION("""COMPUTED_VALUE"""),22.02)</f>
        <v>22.02</v>
      </c>
      <c r="G239" s="143">
        <f ca="1">IFERROR(__xludf.DUMMYFUNCTION("""COMPUTED_VALUE"""),173835)</f>
        <v>173835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IFERROR(__xludf.DUMMYFUNCTION("""COMPUTED_VALUE"""),21.94)</f>
        <v>21.94</v>
      </c>
      <c r="D240" s="141">
        <f ca="1">IFERROR(__xludf.DUMMYFUNCTION("""COMPUTED_VALUE"""),22.01)</f>
        <v>22.01</v>
      </c>
      <c r="E240" s="141">
        <f ca="1">IFERROR(__xludf.DUMMYFUNCTION("""COMPUTED_VALUE"""),21.89)</f>
        <v>21.89</v>
      </c>
      <c r="F240" s="141">
        <f ca="1">IFERROR(__xludf.DUMMYFUNCTION("""COMPUTED_VALUE"""),21.89)</f>
        <v>21.89</v>
      </c>
      <c r="G240" s="143">
        <f ca="1">IFERROR(__xludf.DUMMYFUNCTION("""COMPUTED_VALUE"""),194223)</f>
        <v>194223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IFERROR(__xludf.DUMMYFUNCTION("""COMPUTED_VALUE"""),21.96)</f>
        <v>21.96</v>
      </c>
      <c r="D241" s="141">
        <f ca="1">IFERROR(__xludf.DUMMYFUNCTION("""COMPUTED_VALUE"""),21.98)</f>
        <v>21.98</v>
      </c>
      <c r="E241" s="141">
        <f ca="1">IFERROR(__xludf.DUMMYFUNCTION("""COMPUTED_VALUE"""),21.88)</f>
        <v>21.88</v>
      </c>
      <c r="F241" s="141">
        <f ca="1">IFERROR(__xludf.DUMMYFUNCTION("""COMPUTED_VALUE"""),21.93)</f>
        <v>21.93</v>
      </c>
      <c r="G241" s="143">
        <f ca="1">IFERROR(__xludf.DUMMYFUNCTION("""COMPUTED_VALUE"""),478506)</f>
        <v>478506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IFERROR(__xludf.DUMMYFUNCTION("""COMPUTED_VALUE"""),21.83)</f>
        <v>21.83</v>
      </c>
      <c r="D242" s="141">
        <f ca="1">IFERROR(__xludf.DUMMYFUNCTION("""COMPUTED_VALUE"""),21.94)</f>
        <v>21.94</v>
      </c>
      <c r="E242" s="141">
        <f ca="1">IFERROR(__xludf.DUMMYFUNCTION("""COMPUTED_VALUE"""),21.72)</f>
        <v>21.72</v>
      </c>
      <c r="F242" s="141">
        <f ca="1">IFERROR(__xludf.DUMMYFUNCTION("""COMPUTED_VALUE"""),21.74)</f>
        <v>21.74</v>
      </c>
      <c r="G242" s="143">
        <f ca="1">IFERROR(__xludf.DUMMYFUNCTION("""COMPUTED_VALUE"""),2030024)</f>
        <v>2030024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IFERROR(__xludf.DUMMYFUNCTION("""COMPUTED_VALUE"""),21.78)</f>
        <v>21.78</v>
      </c>
      <c r="D243" s="141">
        <f ca="1">IFERROR(__xludf.DUMMYFUNCTION("""COMPUTED_VALUE"""),21.88)</f>
        <v>21.88</v>
      </c>
      <c r="E243" s="141">
        <f ca="1">IFERROR(__xludf.DUMMYFUNCTION("""COMPUTED_VALUE"""),21.7)</f>
        <v>21.7</v>
      </c>
      <c r="F243" s="141">
        <f ca="1">IFERROR(__xludf.DUMMYFUNCTION("""COMPUTED_VALUE"""),21.7)</f>
        <v>21.7</v>
      </c>
      <c r="G243" s="143">
        <f ca="1">IFERROR(__xludf.DUMMYFUNCTION("""COMPUTED_VALUE"""),240453)</f>
        <v>240453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IFERROR(__xludf.DUMMYFUNCTION("""COMPUTED_VALUE"""),21.79)</f>
        <v>21.79</v>
      </c>
      <c r="D244" s="141">
        <f ca="1">IFERROR(__xludf.DUMMYFUNCTION("""COMPUTED_VALUE"""),21.83)</f>
        <v>21.83</v>
      </c>
      <c r="E244" s="141">
        <f ca="1">IFERROR(__xludf.DUMMYFUNCTION("""COMPUTED_VALUE"""),21.74)</f>
        <v>21.74</v>
      </c>
      <c r="F244" s="141">
        <f ca="1">IFERROR(__xludf.DUMMYFUNCTION("""COMPUTED_VALUE"""),21.78)</f>
        <v>21.78</v>
      </c>
      <c r="G244" s="143">
        <f ca="1">IFERROR(__xludf.DUMMYFUNCTION("""COMPUTED_VALUE"""),543892)</f>
        <v>543892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IFERROR(__xludf.DUMMYFUNCTION("""COMPUTED_VALUE"""),21.79)</f>
        <v>21.79</v>
      </c>
      <c r="D245" s="141">
        <f ca="1">IFERROR(__xludf.DUMMYFUNCTION("""COMPUTED_VALUE"""),21.81)</f>
        <v>21.81</v>
      </c>
      <c r="E245" s="141">
        <f ca="1">IFERROR(__xludf.DUMMYFUNCTION("""COMPUTED_VALUE"""),21.72)</f>
        <v>21.72</v>
      </c>
      <c r="F245" s="141">
        <f ca="1">IFERROR(__xludf.DUMMYFUNCTION("""COMPUTED_VALUE"""),21.72)</f>
        <v>21.72</v>
      </c>
      <c r="G245" s="143">
        <f ca="1">IFERROR(__xludf.DUMMYFUNCTION("""COMPUTED_VALUE"""),252039)</f>
        <v>252039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IFERROR(__xludf.DUMMYFUNCTION("""COMPUTED_VALUE"""),21.74)</f>
        <v>21.74</v>
      </c>
      <c r="D246" s="141">
        <f ca="1">IFERROR(__xludf.DUMMYFUNCTION("""COMPUTED_VALUE"""),21.94)</f>
        <v>21.94</v>
      </c>
      <c r="E246" s="141">
        <f ca="1">IFERROR(__xludf.DUMMYFUNCTION("""COMPUTED_VALUE"""),21.72)</f>
        <v>21.72</v>
      </c>
      <c r="F246" s="141">
        <f ca="1">IFERROR(__xludf.DUMMYFUNCTION("""COMPUTED_VALUE"""),21.94)</f>
        <v>21.94</v>
      </c>
      <c r="G246" s="143">
        <f ca="1">IFERROR(__xludf.DUMMYFUNCTION("""COMPUTED_VALUE"""),262709)</f>
        <v>262709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IFERROR(__xludf.DUMMYFUNCTION("""COMPUTED_VALUE"""),21.92)</f>
        <v>21.92</v>
      </c>
      <c r="D247" s="141">
        <f ca="1">IFERROR(__xludf.DUMMYFUNCTION("""COMPUTED_VALUE"""),21.97)</f>
        <v>21.97</v>
      </c>
      <c r="E247" s="141">
        <f ca="1">IFERROR(__xludf.DUMMYFUNCTION("""COMPUTED_VALUE"""),21.87)</f>
        <v>21.87</v>
      </c>
      <c r="F247" s="141">
        <f ca="1">IFERROR(__xludf.DUMMYFUNCTION("""COMPUTED_VALUE"""),21.94)</f>
        <v>21.94</v>
      </c>
      <c r="G247" s="143">
        <f ca="1">IFERROR(__xludf.DUMMYFUNCTION("""COMPUTED_VALUE"""),839675)</f>
        <v>839675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IFERROR(__xludf.DUMMYFUNCTION("""COMPUTED_VALUE"""),22.02)</f>
        <v>22.02</v>
      </c>
      <c r="D248" s="141">
        <f ca="1">IFERROR(__xludf.DUMMYFUNCTION("""COMPUTED_VALUE"""),22.08)</f>
        <v>22.08</v>
      </c>
      <c r="E248" s="141">
        <f ca="1">IFERROR(__xludf.DUMMYFUNCTION("""COMPUTED_VALUE"""),22)</f>
        <v>22</v>
      </c>
      <c r="F248" s="141">
        <f ca="1">IFERROR(__xludf.DUMMYFUNCTION("""COMPUTED_VALUE"""),22)</f>
        <v>22</v>
      </c>
      <c r="G248" s="143">
        <f ca="1">IFERROR(__xludf.DUMMYFUNCTION("""COMPUTED_VALUE"""),188865)</f>
        <v>188865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IFERROR(__xludf.DUMMYFUNCTION("""COMPUTED_VALUE"""),22.05)</f>
        <v>22.05</v>
      </c>
      <c r="D249" s="141">
        <f ca="1">IFERROR(__xludf.DUMMYFUNCTION("""COMPUTED_VALUE"""),22.08)</f>
        <v>22.08</v>
      </c>
      <c r="E249" s="141">
        <f ca="1">IFERROR(__xludf.DUMMYFUNCTION("""COMPUTED_VALUE"""),22.03)</f>
        <v>22.03</v>
      </c>
      <c r="F249" s="141">
        <f ca="1">IFERROR(__xludf.DUMMYFUNCTION("""COMPUTED_VALUE"""),22.06)</f>
        <v>22.06</v>
      </c>
      <c r="G249" s="143">
        <f ca="1">IFERROR(__xludf.DUMMYFUNCTION("""COMPUTED_VALUE"""),137248)</f>
        <v>137248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IFERROR(__xludf.DUMMYFUNCTION("""COMPUTED_VALUE"""),22.06)</f>
        <v>22.06</v>
      </c>
      <c r="D250" s="141">
        <f ca="1">IFERROR(__xludf.DUMMYFUNCTION("""COMPUTED_VALUE"""),22.09)</f>
        <v>22.09</v>
      </c>
      <c r="E250" s="141">
        <f ca="1">IFERROR(__xludf.DUMMYFUNCTION("""COMPUTED_VALUE"""),21.85)</f>
        <v>21.85</v>
      </c>
      <c r="F250" s="141">
        <f ca="1">IFERROR(__xludf.DUMMYFUNCTION("""COMPUTED_VALUE"""),21.87)</f>
        <v>21.87</v>
      </c>
      <c r="G250" s="143">
        <f ca="1">IFERROR(__xludf.DUMMYFUNCTION("""COMPUTED_VALUE"""),2452551)</f>
        <v>2452551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IFERROR(__xludf.DUMMYFUNCTION("""COMPUTED_VALUE"""),21.88)</f>
        <v>21.88</v>
      </c>
      <c r="D251" s="141">
        <f ca="1">IFERROR(__xludf.DUMMYFUNCTION("""COMPUTED_VALUE"""),21.94)</f>
        <v>21.94</v>
      </c>
      <c r="E251" s="141">
        <f ca="1">IFERROR(__xludf.DUMMYFUNCTION("""COMPUTED_VALUE"""),21.78)</f>
        <v>21.78</v>
      </c>
      <c r="F251" s="141">
        <f ca="1">IFERROR(__xludf.DUMMYFUNCTION("""COMPUTED_VALUE"""),21.82)</f>
        <v>21.82</v>
      </c>
      <c r="G251" s="143">
        <f ca="1">IFERROR(__xludf.DUMMYFUNCTION("""COMPUTED_VALUE"""),211531)</f>
        <v>211531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IFERROR(__xludf.DUMMYFUNCTION("""COMPUTED_VALUE"""),21.75)</f>
        <v>21.75</v>
      </c>
      <c r="D252" s="141">
        <f ca="1">IFERROR(__xludf.DUMMYFUNCTION("""COMPUTED_VALUE"""),21.79)</f>
        <v>21.79</v>
      </c>
      <c r="E252" s="141">
        <f ca="1">IFERROR(__xludf.DUMMYFUNCTION("""COMPUTED_VALUE"""),21.7)</f>
        <v>21.7</v>
      </c>
      <c r="F252" s="141">
        <f ca="1">IFERROR(__xludf.DUMMYFUNCTION("""COMPUTED_VALUE"""),21.72)</f>
        <v>21.72</v>
      </c>
      <c r="G252" s="143">
        <f ca="1">IFERROR(__xludf.DUMMYFUNCTION("""COMPUTED_VALUE"""),471527)</f>
        <v>471527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IFERROR(__xludf.DUMMYFUNCTION("""COMPUTED_VALUE"""),21.71)</f>
        <v>21.71</v>
      </c>
      <c r="D253" s="141">
        <f ca="1">IFERROR(__xludf.DUMMYFUNCTION("""COMPUTED_VALUE"""),21.75)</f>
        <v>21.75</v>
      </c>
      <c r="E253" s="141">
        <f ca="1">IFERROR(__xludf.DUMMYFUNCTION("""COMPUTED_VALUE"""),21.66)</f>
        <v>21.66</v>
      </c>
      <c r="F253" s="141">
        <f ca="1">IFERROR(__xludf.DUMMYFUNCTION("""COMPUTED_VALUE"""),21.67)</f>
        <v>21.67</v>
      </c>
      <c r="G253" s="143">
        <f ca="1">IFERROR(__xludf.DUMMYFUNCTION("""COMPUTED_VALUE"""),993239)</f>
        <v>993239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IFERROR(__xludf.DUMMYFUNCTION("""COMPUTED_VALUE"""),21.66)</f>
        <v>21.66</v>
      </c>
      <c r="D254" s="141">
        <f ca="1">IFERROR(__xludf.DUMMYFUNCTION("""COMPUTED_VALUE"""),21.69)</f>
        <v>21.69</v>
      </c>
      <c r="E254" s="141">
        <f ca="1">IFERROR(__xludf.DUMMYFUNCTION("""COMPUTED_VALUE"""),21.6)</f>
        <v>21.6</v>
      </c>
      <c r="F254" s="141">
        <f ca="1">IFERROR(__xludf.DUMMYFUNCTION("""COMPUTED_VALUE"""),21.66)</f>
        <v>21.66</v>
      </c>
      <c r="G254" s="143">
        <f ca="1">IFERROR(__xludf.DUMMYFUNCTION("""COMPUTED_VALUE"""),1311501)</f>
        <v>1311501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IFERROR(__xludf.DUMMYFUNCTION("""COMPUTED_VALUE"""),21.72)</f>
        <v>21.72</v>
      </c>
      <c r="D255" s="141">
        <f ca="1">IFERROR(__xludf.DUMMYFUNCTION("""COMPUTED_VALUE"""),21.74)</f>
        <v>21.74</v>
      </c>
      <c r="E255" s="141">
        <f ca="1">IFERROR(__xludf.DUMMYFUNCTION("""COMPUTED_VALUE"""),21.61)</f>
        <v>21.61</v>
      </c>
      <c r="F255" s="141">
        <f ca="1">IFERROR(__xludf.DUMMYFUNCTION("""COMPUTED_VALUE"""),21.68)</f>
        <v>21.68</v>
      </c>
      <c r="G255" s="143">
        <f ca="1">IFERROR(__xludf.DUMMYFUNCTION("""COMPUTED_VALUE"""),297997)</f>
        <v>297997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IFERROR(__xludf.DUMMYFUNCTION("""COMPUTED_VALUE"""),21.76)</f>
        <v>21.76</v>
      </c>
      <c r="D256" s="141">
        <f ca="1">IFERROR(__xludf.DUMMYFUNCTION("""COMPUTED_VALUE"""),21.78)</f>
        <v>21.78</v>
      </c>
      <c r="E256" s="141">
        <f ca="1">IFERROR(__xludf.DUMMYFUNCTION("""COMPUTED_VALUE"""),21.7)</f>
        <v>21.7</v>
      </c>
      <c r="F256" s="141">
        <f ca="1">IFERROR(__xludf.DUMMYFUNCTION("""COMPUTED_VALUE"""),21.73)</f>
        <v>21.73</v>
      </c>
      <c r="G256" s="143">
        <f ca="1">IFERROR(__xludf.DUMMYFUNCTION("""COMPUTED_VALUE"""),438186)</f>
        <v>438186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IFERROR(__xludf.DUMMYFUNCTION("""COMPUTED_VALUE"""),21.74)</f>
        <v>21.74</v>
      </c>
      <c r="D257" s="141">
        <f ca="1">IFERROR(__xludf.DUMMYFUNCTION("""COMPUTED_VALUE"""),21.76)</f>
        <v>21.76</v>
      </c>
      <c r="E257" s="141">
        <f ca="1">IFERROR(__xludf.DUMMYFUNCTION("""COMPUTED_VALUE"""),21.72)</f>
        <v>21.72</v>
      </c>
      <c r="F257" s="141">
        <f ca="1">IFERROR(__xludf.DUMMYFUNCTION("""COMPUTED_VALUE"""),21.75)</f>
        <v>21.75</v>
      </c>
      <c r="G257" s="143">
        <f ca="1">IFERROR(__xludf.DUMMYFUNCTION("""COMPUTED_VALUE"""),400837)</f>
        <v>400837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IFERROR(__xludf.DUMMYFUNCTION("""COMPUTED_VALUE"""),21.7)</f>
        <v>21.7</v>
      </c>
      <c r="D258" s="141">
        <f ca="1">IFERROR(__xludf.DUMMYFUNCTION("""COMPUTED_VALUE"""),21.74)</f>
        <v>21.74</v>
      </c>
      <c r="E258" s="141">
        <f ca="1">IFERROR(__xludf.DUMMYFUNCTION("""COMPUTED_VALUE"""),21.65)</f>
        <v>21.65</v>
      </c>
      <c r="F258" s="141">
        <f ca="1">IFERROR(__xludf.DUMMYFUNCTION("""COMPUTED_VALUE"""),21.68)</f>
        <v>21.68</v>
      </c>
      <c r="G258" s="143">
        <f ca="1">IFERROR(__xludf.DUMMYFUNCTION("""COMPUTED_VALUE"""),1743789)</f>
        <v>1743789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IFERROR(__xludf.DUMMYFUNCTION("""COMPUTED_VALUE"""),21.58)</f>
        <v>21.58</v>
      </c>
      <c r="D259" s="141">
        <f ca="1">IFERROR(__xludf.DUMMYFUNCTION("""COMPUTED_VALUE"""),21.63)</f>
        <v>21.63</v>
      </c>
      <c r="E259" s="141">
        <f ca="1">IFERROR(__xludf.DUMMYFUNCTION("""COMPUTED_VALUE"""),21.57)</f>
        <v>21.57</v>
      </c>
      <c r="F259" s="141">
        <f ca="1">IFERROR(__xludf.DUMMYFUNCTION("""COMPUTED_VALUE"""),21.59)</f>
        <v>21.59</v>
      </c>
      <c r="G259" s="143">
        <f ca="1">IFERROR(__xludf.DUMMYFUNCTION("""COMPUTED_VALUE"""),362271)</f>
        <v>362271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IFERROR(__xludf.DUMMYFUNCTION("""COMPUTED_VALUE"""),21.7)</f>
        <v>21.7</v>
      </c>
      <c r="D260" s="141">
        <f ca="1">IFERROR(__xludf.DUMMYFUNCTION("""COMPUTED_VALUE"""),21.72)</f>
        <v>21.72</v>
      </c>
      <c r="E260" s="141">
        <f ca="1">IFERROR(__xludf.DUMMYFUNCTION("""COMPUTED_VALUE"""),21.59)</f>
        <v>21.59</v>
      </c>
      <c r="F260" s="141">
        <f ca="1">IFERROR(__xludf.DUMMYFUNCTION("""COMPUTED_VALUE"""),21.68)</f>
        <v>21.68</v>
      </c>
      <c r="G260" s="143">
        <f ca="1">IFERROR(__xludf.DUMMYFUNCTION("""COMPUTED_VALUE"""),487668)</f>
        <v>487668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IFERROR(__xludf.DUMMYFUNCTION("""COMPUTED_VALUE"""),21.61)</f>
        <v>21.61</v>
      </c>
      <c r="D261" s="141">
        <f ca="1">IFERROR(__xludf.DUMMYFUNCTION("""COMPUTED_VALUE"""),21.67)</f>
        <v>21.67</v>
      </c>
      <c r="E261" s="141">
        <f ca="1">IFERROR(__xludf.DUMMYFUNCTION("""COMPUTED_VALUE"""),21.55)</f>
        <v>21.55</v>
      </c>
      <c r="F261" s="141">
        <f ca="1">IFERROR(__xludf.DUMMYFUNCTION("""COMPUTED_VALUE"""),21.67)</f>
        <v>21.67</v>
      </c>
      <c r="G261" s="143">
        <f ca="1">IFERROR(__xludf.DUMMYFUNCTION("""COMPUTED_VALUE"""),615920)</f>
        <v>615920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IFERROR(__xludf.DUMMYFUNCTION("""COMPUTED_VALUE"""),21.64)</f>
        <v>21.64</v>
      </c>
      <c r="D262" s="141">
        <f ca="1">IFERROR(__xludf.DUMMYFUNCTION("""COMPUTED_VALUE"""),21.67)</f>
        <v>21.67</v>
      </c>
      <c r="E262" s="141">
        <f ca="1">IFERROR(__xludf.DUMMYFUNCTION("""COMPUTED_VALUE"""),21.54)</f>
        <v>21.54</v>
      </c>
      <c r="F262" s="141">
        <f ca="1">IFERROR(__xludf.DUMMYFUNCTION("""COMPUTED_VALUE"""),21.55)</f>
        <v>21.55</v>
      </c>
      <c r="G262" s="143">
        <f ca="1">IFERROR(__xludf.DUMMYFUNCTION("""COMPUTED_VALUE"""),177965)</f>
        <v>177965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IFERROR(__xludf.DUMMYFUNCTION("""COMPUTED_VALUE"""),21.47)</f>
        <v>21.47</v>
      </c>
      <c r="D263" s="141">
        <f ca="1">IFERROR(__xludf.DUMMYFUNCTION("""COMPUTED_VALUE"""),21.58)</f>
        <v>21.58</v>
      </c>
      <c r="E263" s="141">
        <f ca="1">IFERROR(__xludf.DUMMYFUNCTION("""COMPUTED_VALUE"""),21.41)</f>
        <v>21.41</v>
      </c>
      <c r="F263" s="141">
        <f ca="1">IFERROR(__xludf.DUMMYFUNCTION("""COMPUTED_VALUE"""),21.5)</f>
        <v>21.5</v>
      </c>
      <c r="G263" s="143">
        <f ca="1">IFERROR(__xludf.DUMMYFUNCTION("""COMPUTED_VALUE"""),605096)</f>
        <v>605096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IFERROR(__xludf.DUMMYFUNCTION("""COMPUTED_VALUE"""),21.5)</f>
        <v>21.5</v>
      </c>
      <c r="D264" s="141">
        <f ca="1">IFERROR(__xludf.DUMMYFUNCTION("""COMPUTED_VALUE"""),21.58)</f>
        <v>21.58</v>
      </c>
      <c r="E264" s="141">
        <f ca="1">IFERROR(__xludf.DUMMYFUNCTION("""COMPUTED_VALUE"""),21.5)</f>
        <v>21.5</v>
      </c>
      <c r="F264" s="141">
        <f ca="1">IFERROR(__xludf.DUMMYFUNCTION("""COMPUTED_VALUE"""),21.52)</f>
        <v>21.52</v>
      </c>
      <c r="G264" s="143">
        <f ca="1">IFERROR(__xludf.DUMMYFUNCTION("""COMPUTED_VALUE"""),348418)</f>
        <v>348418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IFERROR(__xludf.DUMMYFUNCTION("""COMPUTED_VALUE"""),21.59)</f>
        <v>21.59</v>
      </c>
      <c r="D265" s="141">
        <f ca="1">IFERROR(__xludf.DUMMYFUNCTION("""COMPUTED_VALUE"""),21.65)</f>
        <v>21.65</v>
      </c>
      <c r="E265" s="141">
        <f ca="1">IFERROR(__xludf.DUMMYFUNCTION("""COMPUTED_VALUE"""),21.53)</f>
        <v>21.53</v>
      </c>
      <c r="F265" s="141">
        <f ca="1">IFERROR(__xludf.DUMMYFUNCTION("""COMPUTED_VALUE"""),21.59)</f>
        <v>21.59</v>
      </c>
      <c r="G265" s="143">
        <f ca="1">IFERROR(__xludf.DUMMYFUNCTION("""COMPUTED_VALUE"""),222595)</f>
        <v>222595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IFERROR(__xludf.DUMMYFUNCTION("""COMPUTED_VALUE"""),21.56)</f>
        <v>21.56</v>
      </c>
      <c r="D266" s="141">
        <f ca="1">IFERROR(__xludf.DUMMYFUNCTION("""COMPUTED_VALUE"""),21.6)</f>
        <v>21.6</v>
      </c>
      <c r="E266" s="141">
        <f ca="1">IFERROR(__xludf.DUMMYFUNCTION("""COMPUTED_VALUE"""),21.44)</f>
        <v>21.44</v>
      </c>
      <c r="F266" s="141">
        <f ca="1">IFERROR(__xludf.DUMMYFUNCTION("""COMPUTED_VALUE"""),21.45)</f>
        <v>21.45</v>
      </c>
      <c r="G266" s="143">
        <f ca="1">IFERROR(__xludf.DUMMYFUNCTION("""COMPUTED_VALUE"""),492841)</f>
        <v>492841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IFERROR(__xludf.DUMMYFUNCTION("""COMPUTED_VALUE"""),21.63)</f>
        <v>21.63</v>
      </c>
      <c r="D267" s="141">
        <f ca="1">IFERROR(__xludf.DUMMYFUNCTION("""COMPUTED_VALUE"""),21.66)</f>
        <v>21.66</v>
      </c>
      <c r="E267" s="141">
        <f ca="1">IFERROR(__xludf.DUMMYFUNCTION("""COMPUTED_VALUE"""),21.58)</f>
        <v>21.58</v>
      </c>
      <c r="F267" s="141">
        <f ca="1">IFERROR(__xludf.DUMMYFUNCTION("""COMPUTED_VALUE"""),21.59)</f>
        <v>21.59</v>
      </c>
      <c r="G267" s="143">
        <f ca="1">IFERROR(__xludf.DUMMYFUNCTION("""COMPUTED_VALUE"""),464736)</f>
        <v>464736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IFERROR(__xludf.DUMMYFUNCTION("""COMPUTED_VALUE"""),21.57)</f>
        <v>21.57</v>
      </c>
      <c r="D268" s="141">
        <f ca="1">IFERROR(__xludf.DUMMYFUNCTION("""COMPUTED_VALUE"""),21.69)</f>
        <v>21.69</v>
      </c>
      <c r="E268" s="141">
        <f ca="1">IFERROR(__xludf.DUMMYFUNCTION("""COMPUTED_VALUE"""),21.57)</f>
        <v>21.57</v>
      </c>
      <c r="F268" s="141">
        <f ca="1">IFERROR(__xludf.DUMMYFUNCTION("""COMPUTED_VALUE"""),21.66)</f>
        <v>21.66</v>
      </c>
      <c r="G268" s="143">
        <f ca="1">IFERROR(__xludf.DUMMYFUNCTION("""COMPUTED_VALUE"""),254674)</f>
        <v>254674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IFERROR(__xludf.DUMMYFUNCTION("""COMPUTED_VALUE"""),21.6)</f>
        <v>21.6</v>
      </c>
      <c r="D269" s="141">
        <f ca="1">IFERROR(__xludf.DUMMYFUNCTION("""COMPUTED_VALUE"""),21.65)</f>
        <v>21.65</v>
      </c>
      <c r="E269" s="141">
        <f ca="1">IFERROR(__xludf.DUMMYFUNCTION("""COMPUTED_VALUE"""),21.56)</f>
        <v>21.56</v>
      </c>
      <c r="F269" s="141">
        <f ca="1">IFERROR(__xludf.DUMMYFUNCTION("""COMPUTED_VALUE"""),21.59)</f>
        <v>21.59</v>
      </c>
      <c r="G269" s="143">
        <f ca="1">IFERROR(__xludf.DUMMYFUNCTION("""COMPUTED_VALUE"""),572613)</f>
        <v>572613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IFERROR(__xludf.DUMMYFUNCTION("""COMPUTED_VALUE"""),21.55)</f>
        <v>21.55</v>
      </c>
      <c r="D270" s="141">
        <f ca="1">IFERROR(__xludf.DUMMYFUNCTION("""COMPUTED_VALUE"""),21.6)</f>
        <v>21.6</v>
      </c>
      <c r="E270" s="141">
        <f ca="1">IFERROR(__xludf.DUMMYFUNCTION("""COMPUTED_VALUE"""),21.53)</f>
        <v>21.53</v>
      </c>
      <c r="F270" s="141">
        <f ca="1">IFERROR(__xludf.DUMMYFUNCTION("""COMPUTED_VALUE"""),21.56)</f>
        <v>21.56</v>
      </c>
      <c r="G270" s="143">
        <f ca="1">IFERROR(__xludf.DUMMYFUNCTION("""COMPUTED_VALUE"""),311990)</f>
        <v>311990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IFERROR(__xludf.DUMMYFUNCTION("""COMPUTED_VALUE"""),21.55)</f>
        <v>21.55</v>
      </c>
      <c r="D271" s="141">
        <f ca="1">IFERROR(__xludf.DUMMYFUNCTION("""COMPUTED_VALUE"""),21.56)</f>
        <v>21.56</v>
      </c>
      <c r="E271" s="141">
        <f ca="1">IFERROR(__xludf.DUMMYFUNCTION("""COMPUTED_VALUE"""),21.5)</f>
        <v>21.5</v>
      </c>
      <c r="F271" s="141">
        <f ca="1">IFERROR(__xludf.DUMMYFUNCTION("""COMPUTED_VALUE"""),21.51)</f>
        <v>21.51</v>
      </c>
      <c r="G271" s="143">
        <f ca="1">IFERROR(__xludf.DUMMYFUNCTION("""COMPUTED_VALUE"""),1082487)</f>
        <v>1082487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IFERROR(__xludf.DUMMYFUNCTION("""COMPUTED_VALUE"""),21.49)</f>
        <v>21.49</v>
      </c>
      <c r="D272" s="141">
        <f ca="1">IFERROR(__xludf.DUMMYFUNCTION("""COMPUTED_VALUE"""),21.58)</f>
        <v>21.58</v>
      </c>
      <c r="E272" s="141">
        <f ca="1">IFERROR(__xludf.DUMMYFUNCTION("""COMPUTED_VALUE"""),21.45)</f>
        <v>21.45</v>
      </c>
      <c r="F272" s="141">
        <f ca="1">IFERROR(__xludf.DUMMYFUNCTION("""COMPUTED_VALUE"""),21.46)</f>
        <v>21.46</v>
      </c>
      <c r="G272" s="143">
        <f ca="1">IFERROR(__xludf.DUMMYFUNCTION("""COMPUTED_VALUE"""),264463)</f>
        <v>264463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IFERROR(__xludf.DUMMYFUNCTION("""COMPUTED_VALUE"""),21.45)</f>
        <v>21.45</v>
      </c>
      <c r="D273" s="141">
        <f ca="1">IFERROR(__xludf.DUMMYFUNCTION("""COMPUTED_VALUE"""),21.55)</f>
        <v>21.55</v>
      </c>
      <c r="E273" s="141">
        <f ca="1">IFERROR(__xludf.DUMMYFUNCTION("""COMPUTED_VALUE"""),21.42)</f>
        <v>21.42</v>
      </c>
      <c r="F273" s="141">
        <f ca="1">IFERROR(__xludf.DUMMYFUNCTION("""COMPUTED_VALUE"""),21.46)</f>
        <v>21.46</v>
      </c>
      <c r="G273" s="143">
        <f ca="1">IFERROR(__xludf.DUMMYFUNCTION("""COMPUTED_VALUE"""),294313)</f>
        <v>294313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IFERROR(__xludf.DUMMYFUNCTION("""COMPUTED_VALUE"""),21.35)</f>
        <v>21.35</v>
      </c>
      <c r="D274" s="141">
        <f ca="1">IFERROR(__xludf.DUMMYFUNCTION("""COMPUTED_VALUE"""),21.47)</f>
        <v>21.47</v>
      </c>
      <c r="E274" s="141">
        <f ca="1">IFERROR(__xludf.DUMMYFUNCTION("""COMPUTED_VALUE"""),21.32)</f>
        <v>21.32</v>
      </c>
      <c r="F274" s="141">
        <f ca="1">IFERROR(__xludf.DUMMYFUNCTION("""COMPUTED_VALUE"""),21.36)</f>
        <v>21.36</v>
      </c>
      <c r="G274" s="143">
        <f ca="1">IFERROR(__xludf.DUMMYFUNCTION("""COMPUTED_VALUE"""),377007)</f>
        <v>377007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IFERROR(__xludf.DUMMYFUNCTION("""COMPUTED_VALUE"""),21.34)</f>
        <v>21.34</v>
      </c>
      <c r="D275" s="141">
        <f ca="1">IFERROR(__xludf.DUMMYFUNCTION("""COMPUTED_VALUE"""),21.42)</f>
        <v>21.42</v>
      </c>
      <c r="E275" s="141">
        <f ca="1">IFERROR(__xludf.DUMMYFUNCTION("""COMPUTED_VALUE"""),21.28)</f>
        <v>21.28</v>
      </c>
      <c r="F275" s="141">
        <f ca="1">IFERROR(__xludf.DUMMYFUNCTION("""COMPUTED_VALUE"""),21.4)</f>
        <v>21.4</v>
      </c>
      <c r="G275" s="143">
        <f ca="1">IFERROR(__xludf.DUMMYFUNCTION("""COMPUTED_VALUE"""),549470)</f>
        <v>549470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IFERROR(__xludf.DUMMYFUNCTION("""COMPUTED_VALUE"""),21.43)</f>
        <v>21.43</v>
      </c>
      <c r="D276" s="141">
        <f ca="1">IFERROR(__xludf.DUMMYFUNCTION("""COMPUTED_VALUE"""),21.46)</f>
        <v>21.46</v>
      </c>
      <c r="E276" s="141">
        <f ca="1">IFERROR(__xludf.DUMMYFUNCTION("""COMPUTED_VALUE"""),21.38)</f>
        <v>21.38</v>
      </c>
      <c r="F276" s="141">
        <f ca="1">IFERROR(__xludf.DUMMYFUNCTION("""COMPUTED_VALUE"""),21.44)</f>
        <v>21.44</v>
      </c>
      <c r="G276" s="143">
        <f ca="1">IFERROR(__xludf.DUMMYFUNCTION("""COMPUTED_VALUE"""),261024)</f>
        <v>261024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IFERROR(__xludf.DUMMYFUNCTION("""COMPUTED_VALUE"""),21.47)</f>
        <v>21.47</v>
      </c>
      <c r="D277" s="141">
        <f ca="1">IFERROR(__xludf.DUMMYFUNCTION("""COMPUTED_VALUE"""),21.52)</f>
        <v>21.52</v>
      </c>
      <c r="E277" s="141">
        <f ca="1">IFERROR(__xludf.DUMMYFUNCTION("""COMPUTED_VALUE"""),21.4)</f>
        <v>21.4</v>
      </c>
      <c r="F277" s="141">
        <f ca="1">IFERROR(__xludf.DUMMYFUNCTION("""COMPUTED_VALUE"""),21.47)</f>
        <v>21.47</v>
      </c>
      <c r="G277" s="143">
        <f ca="1">IFERROR(__xludf.DUMMYFUNCTION("""COMPUTED_VALUE"""),129431)</f>
        <v>129431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IFERROR(__xludf.DUMMYFUNCTION("""COMPUTED_VALUE"""),21.47)</f>
        <v>21.47</v>
      </c>
      <c r="D278" s="141">
        <f ca="1">IFERROR(__xludf.DUMMYFUNCTION("""COMPUTED_VALUE"""),21.56)</f>
        <v>21.56</v>
      </c>
      <c r="E278" s="141">
        <f ca="1">IFERROR(__xludf.DUMMYFUNCTION("""COMPUTED_VALUE"""),21.4)</f>
        <v>21.4</v>
      </c>
      <c r="F278" s="141">
        <f ca="1">IFERROR(__xludf.DUMMYFUNCTION("""COMPUTED_VALUE"""),21.5)</f>
        <v>21.5</v>
      </c>
      <c r="G278" s="143">
        <f ca="1">IFERROR(__xludf.DUMMYFUNCTION("""COMPUTED_VALUE"""),287821)</f>
        <v>287821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71" priority="5" operator="lessThan">
      <formula>0</formula>
    </cfRule>
    <cfRule type="cellIs" dxfId="70" priority="6" operator="greaterThan">
      <formula>0</formula>
    </cfRule>
  </conditionalFormatting>
  <conditionalFormatting sqref="F28:F1000">
    <cfRule type="expression" dxfId="69" priority="1">
      <formula>AND(F28=MAX(F$28:F$1000),F28&gt;0)</formula>
    </cfRule>
    <cfRule type="expression" dxfId="68" priority="2">
      <formula>AND(F28=MIN(F$28:F$1000),F28&gt;0)</formula>
    </cfRule>
  </conditionalFormatting>
  <conditionalFormatting sqref="F29:F1000">
    <cfRule type="expression" dxfId="67" priority="3">
      <formula>F29&gt;F27</formula>
    </cfRule>
    <cfRule type="expression" dxfId="66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E00-000000000000}">
      <formula1>"1 Month,3 Months,6 Months,12 Months,36 Months"</formula1>
    </dataValidation>
  </dataValidations>
  <hyperlinks>
    <hyperlink ref="G2" r:id="rId1" xr:uid="{00000000-0004-0000-0E00-000000000000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150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iBoxx $ High Yield Corporate Bond ETF")</f>
        <v>iShares iBoxx $ High Yield Corporate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IFERROR(__xludf.DUMMYFUNCTION("GOOGLEFINANCE(B18,""price"")"),79.24)</f>
        <v>79.239999999999995</v>
      </c>
      <c r="C10" s="322"/>
      <c r="D10" s="100">
        <f ca="1">IFERROR(__xludf.DUMMYFUNCTION("IFERROR(GOOGLEFINANCE(B18,""change""),""-"")"),-0.18)</f>
        <v>-0.18</v>
      </c>
      <c r="E10" s="103">
        <f ca="1">IFERROR(__xludf.DUMMYFUNCTION("IFERROR(GOOGLEFINANCE(B18,""changepct"")/100,""-"")"),-0.0023)</f>
        <v>-2.3E-3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IFERROR(__xludf.DUMMYFUNCTION("IFERROR(GOOGLEFINANCE(B18,""marketcap""),""-"")"),16941503619)</f>
        <v>16941503619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hyg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IFERROR(__xludf.DUMMYFUNCTION("""COMPUTED_VALUE"""),80.45)</f>
        <v>80.45</v>
      </c>
      <c r="D28" s="141">
        <f ca="1">IFERROR(__xludf.DUMMYFUNCTION("""COMPUTED_VALUE"""),80.52)</f>
        <v>80.52</v>
      </c>
      <c r="E28" s="141">
        <f ca="1">IFERROR(__xludf.DUMMYFUNCTION("""COMPUTED_VALUE"""),80.25)</f>
        <v>80.25</v>
      </c>
      <c r="F28" s="141">
        <f ca="1">IFERROR(__xludf.DUMMYFUNCTION("""COMPUTED_VALUE"""),80.33)</f>
        <v>80.33</v>
      </c>
      <c r="G28" s="143">
        <f ca="1">IFERROR(__xludf.DUMMYFUNCTION("""COMPUTED_VALUE"""),38392455)</f>
        <v>38392455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IFERROR(__xludf.DUMMYFUNCTION("""COMPUTED_VALUE"""),80.4)</f>
        <v>80.400000000000006</v>
      </c>
      <c r="D29" s="141">
        <f ca="1">IFERROR(__xludf.DUMMYFUNCTION("""COMPUTED_VALUE"""),80.48)</f>
        <v>80.48</v>
      </c>
      <c r="E29" s="141">
        <f ca="1">IFERROR(__xludf.DUMMYFUNCTION("""COMPUTED_VALUE"""),80.33)</f>
        <v>80.33</v>
      </c>
      <c r="F29" s="141">
        <f ca="1">IFERROR(__xludf.DUMMYFUNCTION("""COMPUTED_VALUE"""),80.38)</f>
        <v>80.38</v>
      </c>
      <c r="G29" s="143">
        <f ca="1">IFERROR(__xludf.DUMMYFUNCTION("""COMPUTED_VALUE"""),41501342)</f>
        <v>41501342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IFERROR(__xludf.DUMMYFUNCTION("""COMPUTED_VALUE"""),80.04)</f>
        <v>80.040000000000006</v>
      </c>
      <c r="D30" s="141">
        <f ca="1">IFERROR(__xludf.DUMMYFUNCTION("""COMPUTED_VALUE"""),80.09)</f>
        <v>80.09</v>
      </c>
      <c r="E30" s="141">
        <f ca="1">IFERROR(__xludf.DUMMYFUNCTION("""COMPUTED_VALUE"""),79.8)</f>
        <v>79.8</v>
      </c>
      <c r="F30" s="141">
        <f ca="1">IFERROR(__xludf.DUMMYFUNCTION("""COMPUTED_VALUE"""),79.98)</f>
        <v>79.98</v>
      </c>
      <c r="G30" s="143">
        <f ca="1">IFERROR(__xludf.DUMMYFUNCTION("""COMPUTED_VALUE"""),68963133)</f>
        <v>68963133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IFERROR(__xludf.DUMMYFUNCTION("""COMPUTED_VALUE"""),80.09)</f>
        <v>80.09</v>
      </c>
      <c r="D31" s="141">
        <f ca="1">IFERROR(__xludf.DUMMYFUNCTION("""COMPUTED_VALUE"""),80.25)</f>
        <v>80.25</v>
      </c>
      <c r="E31" s="141">
        <f ca="1">IFERROR(__xludf.DUMMYFUNCTION("""COMPUTED_VALUE"""),80.06)</f>
        <v>80.06</v>
      </c>
      <c r="F31" s="141">
        <f ca="1">IFERROR(__xludf.DUMMYFUNCTION("""COMPUTED_VALUE"""),80.25)</f>
        <v>80.25</v>
      </c>
      <c r="G31" s="143">
        <f ca="1">IFERROR(__xludf.DUMMYFUNCTION("""COMPUTED_VALUE"""),37539250)</f>
        <v>37539250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IFERROR(__xludf.DUMMYFUNCTION("""COMPUTED_VALUE"""),80.21)</f>
        <v>80.209999999999994</v>
      </c>
      <c r="D32" s="141">
        <f ca="1">IFERROR(__xludf.DUMMYFUNCTION("""COMPUTED_VALUE"""),80.24)</f>
        <v>80.239999999999995</v>
      </c>
      <c r="E32" s="141">
        <f ca="1">IFERROR(__xludf.DUMMYFUNCTION("""COMPUTED_VALUE"""),80.1)</f>
        <v>80.099999999999994</v>
      </c>
      <c r="F32" s="141">
        <f ca="1">IFERROR(__xludf.DUMMYFUNCTION("""COMPUTED_VALUE"""),80.21)</f>
        <v>80.209999999999994</v>
      </c>
      <c r="G32" s="143">
        <f ca="1">IFERROR(__xludf.DUMMYFUNCTION("""COMPUTED_VALUE"""),29656328)</f>
        <v>29656328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IFERROR(__xludf.DUMMYFUNCTION("""COMPUTED_VALUE"""),80.21)</f>
        <v>80.209999999999994</v>
      </c>
      <c r="D33" s="141">
        <f ca="1">IFERROR(__xludf.DUMMYFUNCTION("""COMPUTED_VALUE"""),80.3)</f>
        <v>80.3</v>
      </c>
      <c r="E33" s="141">
        <f ca="1">IFERROR(__xludf.DUMMYFUNCTION("""COMPUTED_VALUE"""),80.14)</f>
        <v>80.14</v>
      </c>
      <c r="F33" s="141">
        <f ca="1">IFERROR(__xludf.DUMMYFUNCTION("""COMPUTED_VALUE"""),80.29)</f>
        <v>80.290000000000006</v>
      </c>
      <c r="G33" s="143">
        <f ca="1">IFERROR(__xludf.DUMMYFUNCTION("""COMPUTED_VALUE"""),30513053)</f>
        <v>30513053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IFERROR(__xludf.DUMMYFUNCTION("""COMPUTED_VALUE"""),80.31)</f>
        <v>80.31</v>
      </c>
      <c r="D34" s="141">
        <f ca="1">IFERROR(__xludf.DUMMYFUNCTION("""COMPUTED_VALUE"""),80.36)</f>
        <v>80.36</v>
      </c>
      <c r="E34" s="141">
        <f ca="1">IFERROR(__xludf.DUMMYFUNCTION("""COMPUTED_VALUE"""),80.16)</f>
        <v>80.16</v>
      </c>
      <c r="F34" s="141">
        <f ca="1">IFERROR(__xludf.DUMMYFUNCTION("""COMPUTED_VALUE"""),80.21)</f>
        <v>80.209999999999994</v>
      </c>
      <c r="G34" s="143">
        <f ca="1">IFERROR(__xludf.DUMMYFUNCTION("""COMPUTED_VALUE"""),29404993)</f>
        <v>29404993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IFERROR(__xludf.DUMMYFUNCTION("""COMPUTED_VALUE"""),80.2)</f>
        <v>80.2</v>
      </c>
      <c r="D35" s="141">
        <f ca="1">IFERROR(__xludf.DUMMYFUNCTION("""COMPUTED_VALUE"""),80.25)</f>
        <v>80.25</v>
      </c>
      <c r="E35" s="141">
        <f ca="1">IFERROR(__xludf.DUMMYFUNCTION("""COMPUTED_VALUE"""),80.16)</f>
        <v>80.16</v>
      </c>
      <c r="F35" s="141">
        <f ca="1">IFERROR(__xludf.DUMMYFUNCTION("""COMPUTED_VALUE"""),80.22)</f>
        <v>80.22</v>
      </c>
      <c r="G35" s="143">
        <f ca="1">IFERROR(__xludf.DUMMYFUNCTION("""COMPUTED_VALUE"""),24678990)</f>
        <v>24678990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IFERROR(__xludf.DUMMYFUNCTION("""COMPUTED_VALUE"""),80.22)</f>
        <v>80.22</v>
      </c>
      <c r="D36" s="141">
        <f ca="1">IFERROR(__xludf.DUMMYFUNCTION("""COMPUTED_VALUE"""),80.29)</f>
        <v>80.290000000000006</v>
      </c>
      <c r="E36" s="141">
        <f ca="1">IFERROR(__xludf.DUMMYFUNCTION("""COMPUTED_VALUE"""),80.17)</f>
        <v>80.17</v>
      </c>
      <c r="F36" s="141">
        <f ca="1">IFERROR(__xludf.DUMMYFUNCTION("""COMPUTED_VALUE"""),80.22)</f>
        <v>80.22</v>
      </c>
      <c r="G36" s="143">
        <f ca="1">IFERROR(__xludf.DUMMYFUNCTION("""COMPUTED_VALUE"""),30159990)</f>
        <v>30159990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IFERROR(__xludf.DUMMYFUNCTION("""COMPUTED_VALUE"""),80.27)</f>
        <v>80.27</v>
      </c>
      <c r="D37" s="141">
        <f ca="1">IFERROR(__xludf.DUMMYFUNCTION("""COMPUTED_VALUE"""),80.4)</f>
        <v>80.400000000000006</v>
      </c>
      <c r="E37" s="141">
        <f ca="1">IFERROR(__xludf.DUMMYFUNCTION("""COMPUTED_VALUE"""),80.21)</f>
        <v>80.209999999999994</v>
      </c>
      <c r="F37" s="141">
        <f ca="1">IFERROR(__xludf.DUMMYFUNCTION("""COMPUTED_VALUE"""),80.4)</f>
        <v>80.400000000000006</v>
      </c>
      <c r="G37" s="143">
        <f ca="1">IFERROR(__xludf.DUMMYFUNCTION("""COMPUTED_VALUE"""),40846439)</f>
        <v>40846439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IFERROR(__xludf.DUMMYFUNCTION("""COMPUTED_VALUE"""),80.46)</f>
        <v>80.459999999999994</v>
      </c>
      <c r="D38" s="141">
        <f ca="1">IFERROR(__xludf.DUMMYFUNCTION("""COMPUTED_VALUE"""),80.61)</f>
        <v>80.61</v>
      </c>
      <c r="E38" s="141">
        <f ca="1">IFERROR(__xludf.DUMMYFUNCTION("""COMPUTED_VALUE"""),80.46)</f>
        <v>80.459999999999994</v>
      </c>
      <c r="F38" s="141">
        <f ca="1">IFERROR(__xludf.DUMMYFUNCTION("""COMPUTED_VALUE"""),80.61)</f>
        <v>80.61</v>
      </c>
      <c r="G38" s="143">
        <f ca="1">IFERROR(__xludf.DUMMYFUNCTION("""COMPUTED_VALUE"""),35039600)</f>
        <v>35039600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IFERROR(__xludf.DUMMYFUNCTION("""COMPUTED_VALUE"""),80.49)</f>
        <v>80.489999999999995</v>
      </c>
      <c r="D39" s="141">
        <f ca="1">IFERROR(__xludf.DUMMYFUNCTION("""COMPUTED_VALUE"""),80.49)</f>
        <v>80.489999999999995</v>
      </c>
      <c r="E39" s="141">
        <f ca="1">IFERROR(__xludf.DUMMYFUNCTION("""COMPUTED_VALUE"""),80.35)</f>
        <v>80.349999999999994</v>
      </c>
      <c r="F39" s="141">
        <f ca="1">IFERROR(__xludf.DUMMYFUNCTION("""COMPUTED_VALUE"""),80.4)</f>
        <v>80.400000000000006</v>
      </c>
      <c r="G39" s="143">
        <f ca="1">IFERROR(__xludf.DUMMYFUNCTION("""COMPUTED_VALUE"""),36559934)</f>
        <v>36559934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IFERROR(__xludf.DUMMYFUNCTION("""COMPUTED_VALUE"""),80.47)</f>
        <v>80.47</v>
      </c>
      <c r="D40" s="141">
        <f ca="1">IFERROR(__xludf.DUMMYFUNCTION("""COMPUTED_VALUE"""),80.47)</f>
        <v>80.47</v>
      </c>
      <c r="E40" s="141">
        <f ca="1">IFERROR(__xludf.DUMMYFUNCTION("""COMPUTED_VALUE"""),80.37)</f>
        <v>80.37</v>
      </c>
      <c r="F40" s="141">
        <f ca="1">IFERROR(__xludf.DUMMYFUNCTION("""COMPUTED_VALUE"""),80.46)</f>
        <v>80.459999999999994</v>
      </c>
      <c r="G40" s="143">
        <f ca="1">IFERROR(__xludf.DUMMYFUNCTION("""COMPUTED_VALUE"""),22754089)</f>
        <v>22754089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IFERROR(__xludf.DUMMYFUNCTION("""COMPUTED_VALUE"""),80.46)</f>
        <v>80.459999999999994</v>
      </c>
      <c r="D41" s="141">
        <f ca="1">IFERROR(__xludf.DUMMYFUNCTION("""COMPUTED_VALUE"""),80.49)</f>
        <v>80.489999999999995</v>
      </c>
      <c r="E41" s="141">
        <f ca="1">IFERROR(__xludf.DUMMYFUNCTION("""COMPUTED_VALUE"""),80.38)</f>
        <v>80.38</v>
      </c>
      <c r="F41" s="141">
        <f ca="1">IFERROR(__xludf.DUMMYFUNCTION("""COMPUTED_VALUE"""),80.4)</f>
        <v>80.400000000000006</v>
      </c>
      <c r="G41" s="143">
        <f ca="1">IFERROR(__xludf.DUMMYFUNCTION("""COMPUTED_VALUE"""),25400795)</f>
        <v>25400795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IFERROR(__xludf.DUMMYFUNCTION("""COMPUTED_VALUE"""),80.45)</f>
        <v>80.45</v>
      </c>
      <c r="D42" s="141">
        <f ca="1">IFERROR(__xludf.DUMMYFUNCTION("""COMPUTED_VALUE"""),80.48)</f>
        <v>80.48</v>
      </c>
      <c r="E42" s="141">
        <f ca="1">IFERROR(__xludf.DUMMYFUNCTION("""COMPUTED_VALUE"""),80.36)</f>
        <v>80.36</v>
      </c>
      <c r="F42" s="141">
        <f ca="1">IFERROR(__xludf.DUMMYFUNCTION("""COMPUTED_VALUE"""),80.38)</f>
        <v>80.38</v>
      </c>
      <c r="G42" s="143">
        <f ca="1">IFERROR(__xludf.DUMMYFUNCTION("""COMPUTED_VALUE"""),21700492)</f>
        <v>21700492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IFERROR(__xludf.DUMMYFUNCTION("""COMPUTED_VALUE"""),80.41)</f>
        <v>80.41</v>
      </c>
      <c r="D43" s="141">
        <f ca="1">IFERROR(__xludf.DUMMYFUNCTION("""COMPUTED_VALUE"""),80.43)</f>
        <v>80.430000000000007</v>
      </c>
      <c r="E43" s="141">
        <f ca="1">IFERROR(__xludf.DUMMYFUNCTION("""COMPUTED_VALUE"""),80.31)</f>
        <v>80.31</v>
      </c>
      <c r="F43" s="141">
        <f ca="1">IFERROR(__xludf.DUMMYFUNCTION("""COMPUTED_VALUE"""),80.35)</f>
        <v>80.349999999999994</v>
      </c>
      <c r="G43" s="143">
        <f ca="1">IFERROR(__xludf.DUMMYFUNCTION("""COMPUTED_VALUE"""),29704992)</f>
        <v>29704992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IFERROR(__xludf.DUMMYFUNCTION("""COMPUTED_VALUE"""),80.26)</f>
        <v>80.260000000000005</v>
      </c>
      <c r="D44" s="141">
        <f ca="1">IFERROR(__xludf.DUMMYFUNCTION("""COMPUTED_VALUE"""),80.3)</f>
        <v>80.3</v>
      </c>
      <c r="E44" s="141">
        <f ca="1">IFERROR(__xludf.DUMMYFUNCTION("""COMPUTED_VALUE"""),80.19)</f>
        <v>80.19</v>
      </c>
      <c r="F44" s="141">
        <f ca="1">IFERROR(__xludf.DUMMYFUNCTION("""COMPUTED_VALUE"""),80.2)</f>
        <v>80.2</v>
      </c>
      <c r="G44" s="143">
        <f ca="1">IFERROR(__xludf.DUMMYFUNCTION("""COMPUTED_VALUE"""),35825908)</f>
        <v>35825908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IFERROR(__xludf.DUMMYFUNCTION("""COMPUTED_VALUE"""),80.32)</f>
        <v>80.319999999999993</v>
      </c>
      <c r="D45" s="141">
        <f ca="1">IFERROR(__xludf.DUMMYFUNCTION("""COMPUTED_VALUE"""),80.86)</f>
        <v>80.86</v>
      </c>
      <c r="E45" s="141">
        <f ca="1">IFERROR(__xludf.DUMMYFUNCTION("""COMPUTED_VALUE"""),80.3)</f>
        <v>80.3</v>
      </c>
      <c r="F45" s="141">
        <f ca="1">IFERROR(__xludf.DUMMYFUNCTION("""COMPUTED_VALUE"""),80.85)</f>
        <v>80.849999999999994</v>
      </c>
      <c r="G45" s="143">
        <f ca="1">IFERROR(__xludf.DUMMYFUNCTION("""COMPUTED_VALUE"""),59541452)</f>
        <v>59541452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IFERROR(__xludf.DUMMYFUNCTION("""COMPUTED_VALUE"""),80.78)</f>
        <v>80.78</v>
      </c>
      <c r="D46" s="141">
        <f ca="1">IFERROR(__xludf.DUMMYFUNCTION("""COMPUTED_VALUE"""),80.81)</f>
        <v>80.81</v>
      </c>
      <c r="E46" s="141">
        <f ca="1">IFERROR(__xludf.DUMMYFUNCTION("""COMPUTED_VALUE"""),80.69)</f>
        <v>80.69</v>
      </c>
      <c r="F46" s="141">
        <f ca="1">IFERROR(__xludf.DUMMYFUNCTION("""COMPUTED_VALUE"""),80.69)</f>
        <v>80.69</v>
      </c>
      <c r="G46" s="143">
        <f ca="1">IFERROR(__xludf.DUMMYFUNCTION("""COMPUTED_VALUE"""),32714840)</f>
        <v>32714840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IFERROR(__xludf.DUMMYFUNCTION("""COMPUTED_VALUE"""),80.79)</f>
        <v>80.790000000000006</v>
      </c>
      <c r="D47" s="141">
        <f ca="1">IFERROR(__xludf.DUMMYFUNCTION("""COMPUTED_VALUE"""),80.9)</f>
        <v>80.900000000000006</v>
      </c>
      <c r="E47" s="141">
        <f ca="1">IFERROR(__xludf.DUMMYFUNCTION("""COMPUTED_VALUE"""),80.74)</f>
        <v>80.739999999999995</v>
      </c>
      <c r="F47" s="141">
        <f ca="1">IFERROR(__xludf.DUMMYFUNCTION("""COMPUTED_VALUE"""),80.87)</f>
        <v>80.87</v>
      </c>
      <c r="G47" s="143">
        <f ca="1">IFERROR(__xludf.DUMMYFUNCTION("""COMPUTED_VALUE"""),33659875)</f>
        <v>33659875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IFERROR(__xludf.DUMMYFUNCTION("""COMPUTED_VALUE"""),80.82)</f>
        <v>80.819999999999993</v>
      </c>
      <c r="D48" s="141">
        <f ca="1">IFERROR(__xludf.DUMMYFUNCTION("""COMPUTED_VALUE"""),80.99)</f>
        <v>80.989999999999995</v>
      </c>
      <c r="E48" s="141">
        <f ca="1">IFERROR(__xludf.DUMMYFUNCTION("""COMPUTED_VALUE"""),80.82)</f>
        <v>80.819999999999993</v>
      </c>
      <c r="F48" s="141">
        <f ca="1">IFERROR(__xludf.DUMMYFUNCTION("""COMPUTED_VALUE"""),80.97)</f>
        <v>80.97</v>
      </c>
      <c r="G48" s="143">
        <f ca="1">IFERROR(__xludf.DUMMYFUNCTION("""COMPUTED_VALUE"""),24335187)</f>
        <v>24335187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IFERROR(__xludf.DUMMYFUNCTION("""COMPUTED_VALUE"""),80.97)</f>
        <v>80.97</v>
      </c>
      <c r="D49" s="141">
        <f ca="1">IFERROR(__xludf.DUMMYFUNCTION("""COMPUTED_VALUE"""),81.01)</f>
        <v>81.010000000000005</v>
      </c>
      <c r="E49" s="141">
        <f ca="1">IFERROR(__xludf.DUMMYFUNCTION("""COMPUTED_VALUE"""),80.9)</f>
        <v>80.900000000000006</v>
      </c>
      <c r="F49" s="141">
        <f ca="1">IFERROR(__xludf.DUMMYFUNCTION("""COMPUTED_VALUE"""),81.01)</f>
        <v>81.010000000000005</v>
      </c>
      <c r="G49" s="143">
        <f ca="1">IFERROR(__xludf.DUMMYFUNCTION("""COMPUTED_VALUE"""),24203877)</f>
        <v>24203877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IFERROR(__xludf.DUMMYFUNCTION("""COMPUTED_VALUE"""),80.99)</f>
        <v>80.989999999999995</v>
      </c>
      <c r="D50" s="141">
        <f ca="1">IFERROR(__xludf.DUMMYFUNCTION("""COMPUTED_VALUE"""),80.99)</f>
        <v>80.989999999999995</v>
      </c>
      <c r="E50" s="141">
        <f ca="1">IFERROR(__xludf.DUMMYFUNCTION("""COMPUTED_VALUE"""),80.86)</f>
        <v>80.86</v>
      </c>
      <c r="F50" s="141">
        <f ca="1">IFERROR(__xludf.DUMMYFUNCTION("""COMPUTED_VALUE"""),80.86)</f>
        <v>80.86</v>
      </c>
      <c r="G50" s="143">
        <f ca="1">IFERROR(__xludf.DUMMYFUNCTION("""COMPUTED_VALUE"""),35070251)</f>
        <v>35070251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IFERROR(__xludf.DUMMYFUNCTION("""COMPUTED_VALUE"""),80.27)</f>
        <v>80.27</v>
      </c>
      <c r="D51" s="141">
        <f ca="1">IFERROR(__xludf.DUMMYFUNCTION("""COMPUTED_VALUE"""),80.43)</f>
        <v>80.430000000000007</v>
      </c>
      <c r="E51" s="141">
        <f ca="1">IFERROR(__xludf.DUMMYFUNCTION("""COMPUTED_VALUE"""),80.2)</f>
        <v>80.2</v>
      </c>
      <c r="F51" s="141">
        <f ca="1">IFERROR(__xludf.DUMMYFUNCTION("""COMPUTED_VALUE"""),80.39)</f>
        <v>80.39</v>
      </c>
      <c r="G51" s="143">
        <f ca="1">IFERROR(__xludf.DUMMYFUNCTION("""COMPUTED_VALUE"""),51804011)</f>
        <v>51804011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IFERROR(__xludf.DUMMYFUNCTION("""COMPUTED_VALUE"""),80.41)</f>
        <v>80.41</v>
      </c>
      <c r="D52" s="141">
        <f ca="1">IFERROR(__xludf.DUMMYFUNCTION("""COMPUTED_VALUE"""),80.61)</f>
        <v>80.61</v>
      </c>
      <c r="E52" s="141">
        <f ca="1">IFERROR(__xludf.DUMMYFUNCTION("""COMPUTED_VALUE"""),80.41)</f>
        <v>80.41</v>
      </c>
      <c r="F52" s="141">
        <f ca="1">IFERROR(__xludf.DUMMYFUNCTION("""COMPUTED_VALUE"""),80.61)</f>
        <v>80.61</v>
      </c>
      <c r="G52" s="143">
        <f ca="1">IFERROR(__xludf.DUMMYFUNCTION("""COMPUTED_VALUE"""),34283303)</f>
        <v>34283303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IFERROR(__xludf.DUMMYFUNCTION("""COMPUTED_VALUE"""),80.66)</f>
        <v>80.66</v>
      </c>
      <c r="D53" s="141">
        <f ca="1">IFERROR(__xludf.DUMMYFUNCTION("""COMPUTED_VALUE"""),80.84)</f>
        <v>80.84</v>
      </c>
      <c r="E53" s="141">
        <f ca="1">IFERROR(__xludf.DUMMYFUNCTION("""COMPUTED_VALUE"""),80.63)</f>
        <v>80.63</v>
      </c>
      <c r="F53" s="141">
        <f ca="1">IFERROR(__xludf.DUMMYFUNCTION("""COMPUTED_VALUE"""),80.83)</f>
        <v>80.83</v>
      </c>
      <c r="G53" s="143">
        <f ca="1">IFERROR(__xludf.DUMMYFUNCTION("""COMPUTED_VALUE"""),37999733)</f>
        <v>37999733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IFERROR(__xludf.DUMMYFUNCTION("""COMPUTED_VALUE"""),80.98)</f>
        <v>80.98</v>
      </c>
      <c r="D54" s="141">
        <f ca="1">IFERROR(__xludf.DUMMYFUNCTION("""COMPUTED_VALUE"""),81.1)</f>
        <v>81.099999999999994</v>
      </c>
      <c r="E54" s="141">
        <f ca="1">IFERROR(__xludf.DUMMYFUNCTION("""COMPUTED_VALUE"""),80.84)</f>
        <v>80.84</v>
      </c>
      <c r="F54" s="141">
        <f ca="1">IFERROR(__xludf.DUMMYFUNCTION("""COMPUTED_VALUE"""),80.87)</f>
        <v>80.87</v>
      </c>
      <c r="G54" s="143">
        <f ca="1">IFERROR(__xludf.DUMMYFUNCTION("""COMPUTED_VALUE"""),39147796)</f>
        <v>39147796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IFERROR(__xludf.DUMMYFUNCTION("""COMPUTED_VALUE"""),80.95)</f>
        <v>80.95</v>
      </c>
      <c r="D55" s="141">
        <f ca="1">IFERROR(__xludf.DUMMYFUNCTION("""COMPUTED_VALUE"""),80.97)</f>
        <v>80.97</v>
      </c>
      <c r="E55" s="141">
        <f ca="1">IFERROR(__xludf.DUMMYFUNCTION("""COMPUTED_VALUE"""),80.85)</f>
        <v>80.849999999999994</v>
      </c>
      <c r="F55" s="141">
        <f ca="1">IFERROR(__xludf.DUMMYFUNCTION("""COMPUTED_VALUE"""),80.87)</f>
        <v>80.87</v>
      </c>
      <c r="G55" s="143">
        <f ca="1">IFERROR(__xludf.DUMMYFUNCTION("""COMPUTED_VALUE"""),27003436)</f>
        <v>27003436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IFERROR(__xludf.DUMMYFUNCTION("""COMPUTED_VALUE"""),80.85)</f>
        <v>80.849999999999994</v>
      </c>
      <c r="D56" s="141">
        <f ca="1">IFERROR(__xludf.DUMMYFUNCTION("""COMPUTED_VALUE"""),80.88)</f>
        <v>80.88</v>
      </c>
      <c r="E56" s="141">
        <f ca="1">IFERROR(__xludf.DUMMYFUNCTION("""COMPUTED_VALUE"""),80.67)</f>
        <v>80.67</v>
      </c>
      <c r="F56" s="141">
        <f ca="1">IFERROR(__xludf.DUMMYFUNCTION("""COMPUTED_VALUE"""),80.78)</f>
        <v>80.78</v>
      </c>
      <c r="G56" s="143">
        <f ca="1">IFERROR(__xludf.DUMMYFUNCTION("""COMPUTED_VALUE"""),36704536)</f>
        <v>36704536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IFERROR(__xludf.DUMMYFUNCTION("""COMPUTED_VALUE"""),80.84)</f>
        <v>80.84</v>
      </c>
      <c r="D57" s="141">
        <f ca="1">IFERROR(__xludf.DUMMYFUNCTION("""COMPUTED_VALUE"""),80.94)</f>
        <v>80.94</v>
      </c>
      <c r="E57" s="141">
        <f ca="1">IFERROR(__xludf.DUMMYFUNCTION("""COMPUTED_VALUE"""),80.79)</f>
        <v>80.790000000000006</v>
      </c>
      <c r="F57" s="141">
        <f ca="1">IFERROR(__xludf.DUMMYFUNCTION("""COMPUTED_VALUE"""),80.84)</f>
        <v>80.84</v>
      </c>
      <c r="G57" s="143">
        <f ca="1">IFERROR(__xludf.DUMMYFUNCTION("""COMPUTED_VALUE"""),38106109)</f>
        <v>38106109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IFERROR(__xludf.DUMMYFUNCTION("""COMPUTED_VALUE"""),80.91)</f>
        <v>80.91</v>
      </c>
      <c r="D58" s="141">
        <f ca="1">IFERROR(__xludf.DUMMYFUNCTION("""COMPUTED_VALUE"""),81.1)</f>
        <v>81.099999999999994</v>
      </c>
      <c r="E58" s="141">
        <f ca="1">IFERROR(__xludf.DUMMYFUNCTION("""COMPUTED_VALUE"""),80.91)</f>
        <v>80.91</v>
      </c>
      <c r="F58" s="141">
        <f ca="1">IFERROR(__xludf.DUMMYFUNCTION("""COMPUTED_VALUE"""),81.04)</f>
        <v>81.040000000000006</v>
      </c>
      <c r="G58" s="143">
        <f ca="1">IFERROR(__xludf.DUMMYFUNCTION("""COMPUTED_VALUE"""),34221538)</f>
        <v>34221538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IFERROR(__xludf.DUMMYFUNCTION("""COMPUTED_VALUE"""),81.03)</f>
        <v>81.03</v>
      </c>
      <c r="D59" s="141">
        <f ca="1">IFERROR(__xludf.DUMMYFUNCTION("""COMPUTED_VALUE"""),81.03)</f>
        <v>81.03</v>
      </c>
      <c r="E59" s="141">
        <f ca="1">IFERROR(__xludf.DUMMYFUNCTION("""COMPUTED_VALUE"""),80.94)</f>
        <v>80.94</v>
      </c>
      <c r="F59" s="141">
        <f ca="1">IFERROR(__xludf.DUMMYFUNCTION("""COMPUTED_VALUE"""),80.96)</f>
        <v>80.959999999999994</v>
      </c>
      <c r="G59" s="143">
        <f ca="1">IFERROR(__xludf.DUMMYFUNCTION("""COMPUTED_VALUE"""),25702839)</f>
        <v>25702839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IFERROR(__xludf.DUMMYFUNCTION("""COMPUTED_VALUE"""),81.08)</f>
        <v>81.08</v>
      </c>
      <c r="D60" s="141">
        <f ca="1">IFERROR(__xludf.DUMMYFUNCTION("""COMPUTED_VALUE"""),81.2)</f>
        <v>81.2</v>
      </c>
      <c r="E60" s="141">
        <f ca="1">IFERROR(__xludf.DUMMYFUNCTION("""COMPUTED_VALUE"""),81.07)</f>
        <v>81.069999999999993</v>
      </c>
      <c r="F60" s="141">
        <f ca="1">IFERROR(__xludf.DUMMYFUNCTION("""COMPUTED_VALUE"""),81.19)</f>
        <v>81.19</v>
      </c>
      <c r="G60" s="143">
        <f ca="1">IFERROR(__xludf.DUMMYFUNCTION("""COMPUTED_VALUE"""),27248792)</f>
        <v>27248792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IFERROR(__xludf.DUMMYFUNCTION("""COMPUTED_VALUE"""),81.21)</f>
        <v>81.209999999999994</v>
      </c>
      <c r="D61" s="141">
        <f ca="1">IFERROR(__xludf.DUMMYFUNCTION("""COMPUTED_VALUE"""),81.23)</f>
        <v>81.23</v>
      </c>
      <c r="E61" s="141">
        <f ca="1">IFERROR(__xludf.DUMMYFUNCTION("""COMPUTED_VALUE"""),81.1)</f>
        <v>81.099999999999994</v>
      </c>
      <c r="F61" s="141">
        <f ca="1">IFERROR(__xludf.DUMMYFUNCTION("""COMPUTED_VALUE"""),81.13)</f>
        <v>81.13</v>
      </c>
      <c r="G61" s="143">
        <f ca="1">IFERROR(__xludf.DUMMYFUNCTION("""COMPUTED_VALUE"""),33075574)</f>
        <v>33075574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IFERROR(__xludf.DUMMYFUNCTION("""COMPUTED_VALUE"""),81.19)</f>
        <v>81.19</v>
      </c>
      <c r="D62" s="141">
        <f ca="1">IFERROR(__xludf.DUMMYFUNCTION("""COMPUTED_VALUE"""),81.24)</f>
        <v>81.239999999999995</v>
      </c>
      <c r="E62" s="141">
        <f ca="1">IFERROR(__xludf.DUMMYFUNCTION("""COMPUTED_VALUE"""),80.91)</f>
        <v>80.91</v>
      </c>
      <c r="F62" s="141">
        <f ca="1">IFERROR(__xludf.DUMMYFUNCTION("""COMPUTED_VALUE"""),81.05)</f>
        <v>81.05</v>
      </c>
      <c r="G62" s="143">
        <f ca="1">IFERROR(__xludf.DUMMYFUNCTION("""COMPUTED_VALUE"""),35955695)</f>
        <v>35955695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IFERROR(__xludf.DUMMYFUNCTION("""COMPUTED_VALUE"""),81.14)</f>
        <v>81.14</v>
      </c>
      <c r="D63" s="141">
        <f ca="1">IFERROR(__xludf.DUMMYFUNCTION("""COMPUTED_VALUE"""),81.27)</f>
        <v>81.27</v>
      </c>
      <c r="E63" s="141">
        <f ca="1">IFERROR(__xludf.DUMMYFUNCTION("""COMPUTED_VALUE"""),81.07)</f>
        <v>81.069999999999993</v>
      </c>
      <c r="F63" s="141">
        <f ca="1">IFERROR(__xludf.DUMMYFUNCTION("""COMPUTED_VALUE"""),81.23)</f>
        <v>81.23</v>
      </c>
      <c r="G63" s="143">
        <f ca="1">IFERROR(__xludf.DUMMYFUNCTION("""COMPUTED_VALUE"""),43250018)</f>
        <v>43250018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IFERROR(__xludf.DUMMYFUNCTION("""COMPUTED_VALUE"""),81.25)</f>
        <v>81.25</v>
      </c>
      <c r="D64" s="141">
        <f ca="1">IFERROR(__xludf.DUMMYFUNCTION("""COMPUTED_VALUE"""),81.29)</f>
        <v>81.290000000000006</v>
      </c>
      <c r="E64" s="141">
        <f ca="1">IFERROR(__xludf.DUMMYFUNCTION("""COMPUTED_VALUE"""),81.15)</f>
        <v>81.150000000000006</v>
      </c>
      <c r="F64" s="141">
        <f ca="1">IFERROR(__xludf.DUMMYFUNCTION("""COMPUTED_VALUE"""),81.26)</f>
        <v>81.260000000000005</v>
      </c>
      <c r="G64" s="143">
        <f ca="1">IFERROR(__xludf.DUMMYFUNCTION("""COMPUTED_VALUE"""),32042877)</f>
        <v>32042877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IFERROR(__xludf.DUMMYFUNCTION("""COMPUTED_VALUE"""),81.19)</f>
        <v>81.19</v>
      </c>
      <c r="D65" s="141">
        <f ca="1">IFERROR(__xludf.DUMMYFUNCTION("""COMPUTED_VALUE"""),81.33)</f>
        <v>81.33</v>
      </c>
      <c r="E65" s="141">
        <f ca="1">IFERROR(__xludf.DUMMYFUNCTION("""COMPUTED_VALUE"""),81.18)</f>
        <v>81.180000000000007</v>
      </c>
      <c r="F65" s="141">
        <f ca="1">IFERROR(__xludf.DUMMYFUNCTION("""COMPUTED_VALUE"""),81.32)</f>
        <v>81.319999999999993</v>
      </c>
      <c r="G65" s="143">
        <f ca="1">IFERROR(__xludf.DUMMYFUNCTION("""COMPUTED_VALUE"""),26670182)</f>
        <v>26670182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IFERROR(__xludf.DUMMYFUNCTION("""COMPUTED_VALUE"""),81.34)</f>
        <v>81.34</v>
      </c>
      <c r="D66" s="141">
        <f ca="1">IFERROR(__xludf.DUMMYFUNCTION("""COMPUTED_VALUE"""),81.36)</f>
        <v>81.36</v>
      </c>
      <c r="E66" s="141">
        <f ca="1">IFERROR(__xludf.DUMMYFUNCTION("""COMPUTED_VALUE"""),81.2)</f>
        <v>81.2</v>
      </c>
      <c r="F66" s="141">
        <f ca="1">IFERROR(__xludf.DUMMYFUNCTION("""COMPUTED_VALUE"""),81.26)</f>
        <v>81.260000000000005</v>
      </c>
      <c r="G66" s="143">
        <f ca="1">IFERROR(__xludf.DUMMYFUNCTION("""COMPUTED_VALUE"""),37088524)</f>
        <v>37088524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IFERROR(__xludf.DUMMYFUNCTION("""COMPUTED_VALUE"""),81.25)</f>
        <v>81.25</v>
      </c>
      <c r="D67" s="141">
        <f ca="1">IFERROR(__xludf.DUMMYFUNCTION("""COMPUTED_VALUE"""),81.25)</f>
        <v>81.25</v>
      </c>
      <c r="E67" s="141">
        <f ca="1">IFERROR(__xludf.DUMMYFUNCTION("""COMPUTED_VALUE"""),81.12)</f>
        <v>81.12</v>
      </c>
      <c r="F67" s="141">
        <f ca="1">IFERROR(__xludf.DUMMYFUNCTION("""COMPUTED_VALUE"""),81.15)</f>
        <v>81.150000000000006</v>
      </c>
      <c r="G67" s="143">
        <f ca="1">IFERROR(__xludf.DUMMYFUNCTION("""COMPUTED_VALUE"""),28124392)</f>
        <v>28124392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IFERROR(__xludf.DUMMYFUNCTION("""COMPUTED_VALUE"""),81)</f>
        <v>81</v>
      </c>
      <c r="D68" s="141">
        <f ca="1">IFERROR(__xludf.DUMMYFUNCTION("""COMPUTED_VALUE"""),81.01)</f>
        <v>81.010000000000005</v>
      </c>
      <c r="E68" s="141">
        <f ca="1">IFERROR(__xludf.DUMMYFUNCTION("""COMPUTED_VALUE"""),80.89)</f>
        <v>80.89</v>
      </c>
      <c r="F68" s="141">
        <f ca="1">IFERROR(__xludf.DUMMYFUNCTION("""COMPUTED_VALUE"""),80.92)</f>
        <v>80.92</v>
      </c>
      <c r="G68" s="143">
        <f ca="1">IFERROR(__xludf.DUMMYFUNCTION("""COMPUTED_VALUE"""),33509855)</f>
        <v>33509855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IFERROR(__xludf.DUMMYFUNCTION("""COMPUTED_VALUE"""),81.04)</f>
        <v>81.040000000000006</v>
      </c>
      <c r="D69" s="141">
        <f ca="1">IFERROR(__xludf.DUMMYFUNCTION("""COMPUTED_VALUE"""),81.11)</f>
        <v>81.11</v>
      </c>
      <c r="E69" s="141">
        <f ca="1">IFERROR(__xludf.DUMMYFUNCTION("""COMPUTED_VALUE"""),80.96)</f>
        <v>80.959999999999994</v>
      </c>
      <c r="F69" s="141">
        <f ca="1">IFERROR(__xludf.DUMMYFUNCTION("""COMPUTED_VALUE"""),81.08)</f>
        <v>81.08</v>
      </c>
      <c r="G69" s="143">
        <f ca="1">IFERROR(__xludf.DUMMYFUNCTION("""COMPUTED_VALUE"""),31046915)</f>
        <v>31046915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IFERROR(__xludf.DUMMYFUNCTION("""COMPUTED_VALUE"""),81.16)</f>
        <v>81.16</v>
      </c>
      <c r="D70" s="141">
        <f ca="1">IFERROR(__xludf.DUMMYFUNCTION("""COMPUTED_VALUE"""),81.24)</f>
        <v>81.239999999999995</v>
      </c>
      <c r="E70" s="141">
        <f ca="1">IFERROR(__xludf.DUMMYFUNCTION("""COMPUTED_VALUE"""),81.13)</f>
        <v>81.13</v>
      </c>
      <c r="F70" s="141">
        <f ca="1">IFERROR(__xludf.DUMMYFUNCTION("""COMPUTED_VALUE"""),81.22)</f>
        <v>81.22</v>
      </c>
      <c r="G70" s="143">
        <f ca="1">IFERROR(__xludf.DUMMYFUNCTION("""COMPUTED_VALUE"""),28558521)</f>
        <v>28558521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IFERROR(__xludf.DUMMYFUNCTION("""COMPUTED_VALUE"""),81.17)</f>
        <v>81.17</v>
      </c>
      <c r="D71" s="141">
        <f ca="1">IFERROR(__xludf.DUMMYFUNCTION("""COMPUTED_VALUE"""),81.21)</f>
        <v>81.209999999999994</v>
      </c>
      <c r="E71" s="141">
        <f ca="1">IFERROR(__xludf.DUMMYFUNCTION("""COMPUTED_VALUE"""),81.1)</f>
        <v>81.099999999999994</v>
      </c>
      <c r="F71" s="141">
        <f ca="1">IFERROR(__xludf.DUMMYFUNCTION("""COMPUTED_VALUE"""),81.19)</f>
        <v>81.19</v>
      </c>
      <c r="G71" s="143">
        <f ca="1">IFERROR(__xludf.DUMMYFUNCTION("""COMPUTED_VALUE"""),54970291)</f>
        <v>54970291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IFERROR(__xludf.DUMMYFUNCTION("""COMPUTED_VALUE"""),80.81)</f>
        <v>80.81</v>
      </c>
      <c r="D72" s="141">
        <f ca="1">IFERROR(__xludf.DUMMYFUNCTION("""COMPUTED_VALUE"""),81)</f>
        <v>81</v>
      </c>
      <c r="E72" s="141">
        <f ca="1">IFERROR(__xludf.DUMMYFUNCTION("""COMPUTED_VALUE"""),80.78)</f>
        <v>80.78</v>
      </c>
      <c r="F72" s="141">
        <f ca="1">IFERROR(__xludf.DUMMYFUNCTION("""COMPUTED_VALUE"""),80.96)</f>
        <v>80.959999999999994</v>
      </c>
      <c r="G72" s="143">
        <f ca="1">IFERROR(__xludf.DUMMYFUNCTION("""COMPUTED_VALUE"""),58042684)</f>
        <v>58042684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IFERROR(__xludf.DUMMYFUNCTION("""COMPUTED_VALUE"""),80.94)</f>
        <v>80.94</v>
      </c>
      <c r="D73" s="141">
        <f ca="1">IFERROR(__xludf.DUMMYFUNCTION("""COMPUTED_VALUE"""),80.97)</f>
        <v>80.97</v>
      </c>
      <c r="E73" s="141">
        <f ca="1">IFERROR(__xludf.DUMMYFUNCTION("""COMPUTED_VALUE"""),80.84)</f>
        <v>80.84</v>
      </c>
      <c r="F73" s="141">
        <f ca="1">IFERROR(__xludf.DUMMYFUNCTION("""COMPUTED_VALUE"""),80.93)</f>
        <v>80.930000000000007</v>
      </c>
      <c r="G73" s="143">
        <f ca="1">IFERROR(__xludf.DUMMYFUNCTION("""COMPUTED_VALUE"""),33348931)</f>
        <v>33348931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IFERROR(__xludf.DUMMYFUNCTION("""COMPUTED_VALUE"""),80.92)</f>
        <v>80.92</v>
      </c>
      <c r="D74" s="141">
        <f ca="1">IFERROR(__xludf.DUMMYFUNCTION("""COMPUTED_VALUE"""),80.94)</f>
        <v>80.94</v>
      </c>
      <c r="E74" s="141">
        <f ca="1">IFERROR(__xludf.DUMMYFUNCTION("""COMPUTED_VALUE"""),80.82)</f>
        <v>80.819999999999993</v>
      </c>
      <c r="F74" s="141">
        <f ca="1">IFERROR(__xludf.DUMMYFUNCTION("""COMPUTED_VALUE"""),80.84)</f>
        <v>80.84</v>
      </c>
      <c r="G74" s="143">
        <f ca="1">IFERROR(__xludf.DUMMYFUNCTION("""COMPUTED_VALUE"""),35109239)</f>
        <v>35109239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IFERROR(__xludf.DUMMYFUNCTION("""COMPUTED_VALUE"""),80.89)</f>
        <v>80.89</v>
      </c>
      <c r="D75" s="141">
        <f ca="1">IFERROR(__xludf.DUMMYFUNCTION("""COMPUTED_VALUE"""),80.91)</f>
        <v>80.91</v>
      </c>
      <c r="E75" s="141">
        <f ca="1">IFERROR(__xludf.DUMMYFUNCTION("""COMPUTED_VALUE"""),80.83)</f>
        <v>80.83</v>
      </c>
      <c r="F75" s="141">
        <f ca="1">IFERROR(__xludf.DUMMYFUNCTION("""COMPUTED_VALUE"""),80.86)</f>
        <v>80.86</v>
      </c>
      <c r="G75" s="143">
        <f ca="1">IFERROR(__xludf.DUMMYFUNCTION("""COMPUTED_VALUE"""),29485173)</f>
        <v>29485173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IFERROR(__xludf.DUMMYFUNCTION("""COMPUTED_VALUE"""),80.89)</f>
        <v>80.89</v>
      </c>
      <c r="D76" s="141">
        <f ca="1">IFERROR(__xludf.DUMMYFUNCTION("""COMPUTED_VALUE"""),80.89)</f>
        <v>80.89</v>
      </c>
      <c r="E76" s="141">
        <f ca="1">IFERROR(__xludf.DUMMYFUNCTION("""COMPUTED_VALUE"""),80.76)</f>
        <v>80.760000000000005</v>
      </c>
      <c r="F76" s="141">
        <f ca="1">IFERROR(__xludf.DUMMYFUNCTION("""COMPUTED_VALUE"""),80.77)</f>
        <v>80.77</v>
      </c>
      <c r="G76" s="143">
        <f ca="1">IFERROR(__xludf.DUMMYFUNCTION("""COMPUTED_VALUE"""),27672307)</f>
        <v>27672307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IFERROR(__xludf.DUMMYFUNCTION("""COMPUTED_VALUE"""),80.82)</f>
        <v>80.819999999999993</v>
      </c>
      <c r="D77" s="141">
        <f ca="1">IFERROR(__xludf.DUMMYFUNCTION("""COMPUTED_VALUE"""),80.84)</f>
        <v>80.84</v>
      </c>
      <c r="E77" s="141">
        <f ca="1">IFERROR(__xludf.DUMMYFUNCTION("""COMPUTED_VALUE"""),80.64)</f>
        <v>80.64</v>
      </c>
      <c r="F77" s="141">
        <f ca="1">IFERROR(__xludf.DUMMYFUNCTION("""COMPUTED_VALUE"""),80.65)</f>
        <v>80.650000000000006</v>
      </c>
      <c r="G77" s="143">
        <f ca="1">IFERROR(__xludf.DUMMYFUNCTION("""COMPUTED_VALUE"""),34932175)</f>
        <v>34932175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IFERROR(__xludf.DUMMYFUNCTION("""COMPUTED_VALUE"""),80.64)</f>
        <v>80.64</v>
      </c>
      <c r="D78" s="141">
        <f ca="1">IFERROR(__xludf.DUMMYFUNCTION("""COMPUTED_VALUE"""),80.65)</f>
        <v>80.650000000000006</v>
      </c>
      <c r="E78" s="141">
        <f ca="1">IFERROR(__xludf.DUMMYFUNCTION("""COMPUTED_VALUE"""),80.31)</f>
        <v>80.31</v>
      </c>
      <c r="F78" s="141">
        <f ca="1">IFERROR(__xludf.DUMMYFUNCTION("""COMPUTED_VALUE"""),80.42)</f>
        <v>80.42</v>
      </c>
      <c r="G78" s="143">
        <f ca="1">IFERROR(__xludf.DUMMYFUNCTION("""COMPUTED_VALUE"""),65586746)</f>
        <v>65586746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IFERROR(__xludf.DUMMYFUNCTION("""COMPUTED_VALUE"""),80.47)</f>
        <v>80.47</v>
      </c>
      <c r="D79" s="141">
        <f ca="1">IFERROR(__xludf.DUMMYFUNCTION("""COMPUTED_VALUE"""),80.49)</f>
        <v>80.489999999999995</v>
      </c>
      <c r="E79" s="141">
        <f ca="1">IFERROR(__xludf.DUMMYFUNCTION("""COMPUTED_VALUE"""),79.95)</f>
        <v>79.95</v>
      </c>
      <c r="F79" s="141">
        <f ca="1">IFERROR(__xludf.DUMMYFUNCTION("""COMPUTED_VALUE"""),79.95)</f>
        <v>79.95</v>
      </c>
      <c r="G79" s="143">
        <f ca="1">IFERROR(__xludf.DUMMYFUNCTION("""COMPUTED_VALUE"""),83840443)</f>
        <v>83840443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IFERROR(__xludf.DUMMYFUNCTION("""COMPUTED_VALUE"""),80.23)</f>
        <v>80.23</v>
      </c>
      <c r="D80" s="141">
        <f ca="1">IFERROR(__xludf.DUMMYFUNCTION("""COMPUTED_VALUE"""),80.45)</f>
        <v>80.45</v>
      </c>
      <c r="E80" s="141">
        <f ca="1">IFERROR(__xludf.DUMMYFUNCTION("""COMPUTED_VALUE"""),80.17)</f>
        <v>80.17</v>
      </c>
      <c r="F80" s="141">
        <f ca="1">IFERROR(__xludf.DUMMYFUNCTION("""COMPUTED_VALUE"""),80.45)</f>
        <v>80.45</v>
      </c>
      <c r="G80" s="143">
        <f ca="1">IFERROR(__xludf.DUMMYFUNCTION("""COMPUTED_VALUE"""),31926785)</f>
        <v>31926785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IFERROR(__xludf.DUMMYFUNCTION("""COMPUTED_VALUE"""),80.18)</f>
        <v>80.180000000000007</v>
      </c>
      <c r="D81" s="141">
        <f ca="1">IFERROR(__xludf.DUMMYFUNCTION("""COMPUTED_VALUE"""),80.64)</f>
        <v>80.64</v>
      </c>
      <c r="E81" s="141">
        <f ca="1">IFERROR(__xludf.DUMMYFUNCTION("""COMPUTED_VALUE"""),80.11)</f>
        <v>80.11</v>
      </c>
      <c r="F81" s="141">
        <f ca="1">IFERROR(__xludf.DUMMYFUNCTION("""COMPUTED_VALUE"""),80.54)</f>
        <v>80.540000000000006</v>
      </c>
      <c r="G81" s="143">
        <f ca="1">IFERROR(__xludf.DUMMYFUNCTION("""COMPUTED_VALUE"""),63860101)</f>
        <v>63860101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IFERROR(__xludf.DUMMYFUNCTION("""COMPUTED_VALUE"""),80.72)</f>
        <v>80.72</v>
      </c>
      <c r="D82" s="141">
        <f ca="1">IFERROR(__xludf.DUMMYFUNCTION("""COMPUTED_VALUE"""),80.83)</f>
        <v>80.83</v>
      </c>
      <c r="E82" s="141">
        <f ca="1">IFERROR(__xludf.DUMMYFUNCTION("""COMPUTED_VALUE"""),80.6)</f>
        <v>80.599999999999994</v>
      </c>
      <c r="F82" s="141">
        <f ca="1">IFERROR(__xludf.DUMMYFUNCTION("""COMPUTED_VALUE"""),80.8)</f>
        <v>80.8</v>
      </c>
      <c r="G82" s="143">
        <f ca="1">IFERROR(__xludf.DUMMYFUNCTION("""COMPUTED_VALUE"""),59802150)</f>
        <v>59802150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IFERROR(__xludf.DUMMYFUNCTION("""COMPUTED_VALUE"""),80.8)</f>
        <v>80.8</v>
      </c>
      <c r="D83" s="141">
        <f ca="1">IFERROR(__xludf.DUMMYFUNCTION("""COMPUTED_VALUE"""),80.82)</f>
        <v>80.819999999999993</v>
      </c>
      <c r="E83" s="141">
        <f ca="1">IFERROR(__xludf.DUMMYFUNCTION("""COMPUTED_VALUE"""),80.46)</f>
        <v>80.459999999999994</v>
      </c>
      <c r="F83" s="141">
        <f ca="1">IFERROR(__xludf.DUMMYFUNCTION("""COMPUTED_VALUE"""),80.51)</f>
        <v>80.510000000000005</v>
      </c>
      <c r="G83" s="143">
        <f ca="1">IFERROR(__xludf.DUMMYFUNCTION("""COMPUTED_VALUE"""),75725201)</f>
        <v>75725201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IFERROR(__xludf.DUMMYFUNCTION("""COMPUTED_VALUE"""),80.44)</f>
        <v>80.44</v>
      </c>
      <c r="D84" s="141">
        <f ca="1">IFERROR(__xludf.DUMMYFUNCTION("""COMPUTED_VALUE"""),80.73)</f>
        <v>80.73</v>
      </c>
      <c r="E84" s="141">
        <f ca="1">IFERROR(__xludf.DUMMYFUNCTION("""COMPUTED_VALUE"""),80.43)</f>
        <v>80.430000000000007</v>
      </c>
      <c r="F84" s="141">
        <f ca="1">IFERROR(__xludf.DUMMYFUNCTION("""COMPUTED_VALUE"""),80.72)</f>
        <v>80.72</v>
      </c>
      <c r="G84" s="143">
        <f ca="1">IFERROR(__xludf.DUMMYFUNCTION("""COMPUTED_VALUE"""),70044157)</f>
        <v>70044157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IFERROR(__xludf.DUMMYFUNCTION("""COMPUTED_VALUE"""),80.77)</f>
        <v>80.77</v>
      </c>
      <c r="D85" s="141">
        <f ca="1">IFERROR(__xludf.DUMMYFUNCTION("""COMPUTED_VALUE"""),80.91)</f>
        <v>80.91</v>
      </c>
      <c r="E85" s="141">
        <f ca="1">IFERROR(__xludf.DUMMYFUNCTION("""COMPUTED_VALUE"""),80.77)</f>
        <v>80.77</v>
      </c>
      <c r="F85" s="141">
        <f ca="1">IFERROR(__xludf.DUMMYFUNCTION("""COMPUTED_VALUE"""),80.88)</f>
        <v>80.88</v>
      </c>
      <c r="G85" s="143">
        <f ca="1">IFERROR(__xludf.DUMMYFUNCTION("""COMPUTED_VALUE"""),43762292)</f>
        <v>43762292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IFERROR(__xludf.DUMMYFUNCTION("""COMPUTED_VALUE"""),80.88)</f>
        <v>80.88</v>
      </c>
      <c r="D86" s="141">
        <f ca="1">IFERROR(__xludf.DUMMYFUNCTION("""COMPUTED_VALUE"""),80.94)</f>
        <v>80.94</v>
      </c>
      <c r="E86" s="141">
        <f ca="1">IFERROR(__xludf.DUMMYFUNCTION("""COMPUTED_VALUE"""),80.76)</f>
        <v>80.760000000000005</v>
      </c>
      <c r="F86" s="141">
        <f ca="1">IFERROR(__xludf.DUMMYFUNCTION("""COMPUTED_VALUE"""),80.76)</f>
        <v>80.760000000000005</v>
      </c>
      <c r="G86" s="143">
        <f ca="1">IFERROR(__xludf.DUMMYFUNCTION("""COMPUTED_VALUE"""),45418130)</f>
        <v>45418130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IFERROR(__xludf.DUMMYFUNCTION("""COMPUTED_VALUE"""),80.76)</f>
        <v>80.760000000000005</v>
      </c>
      <c r="D87" s="141">
        <f ca="1">IFERROR(__xludf.DUMMYFUNCTION("""COMPUTED_VALUE"""),80.81)</f>
        <v>80.81</v>
      </c>
      <c r="E87" s="141">
        <f ca="1">IFERROR(__xludf.DUMMYFUNCTION("""COMPUTED_VALUE"""),80.6)</f>
        <v>80.599999999999994</v>
      </c>
      <c r="F87" s="141">
        <f ca="1">IFERROR(__xludf.DUMMYFUNCTION("""COMPUTED_VALUE"""),80.68)</f>
        <v>80.680000000000007</v>
      </c>
      <c r="G87" s="143">
        <f ca="1">IFERROR(__xludf.DUMMYFUNCTION("""COMPUTED_VALUE"""),50698765)</f>
        <v>50698765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IFERROR(__xludf.DUMMYFUNCTION("""COMPUTED_VALUE"""),80.7)</f>
        <v>80.7</v>
      </c>
      <c r="D88" s="141">
        <f ca="1">IFERROR(__xludf.DUMMYFUNCTION("""COMPUTED_VALUE"""),80.86)</f>
        <v>80.86</v>
      </c>
      <c r="E88" s="141">
        <f ca="1">IFERROR(__xludf.DUMMYFUNCTION("""COMPUTED_VALUE"""),80.7)</f>
        <v>80.7</v>
      </c>
      <c r="F88" s="141">
        <f ca="1">IFERROR(__xludf.DUMMYFUNCTION("""COMPUTED_VALUE"""),80.86)</f>
        <v>80.86</v>
      </c>
      <c r="G88" s="143">
        <f ca="1">IFERROR(__xludf.DUMMYFUNCTION("""COMPUTED_VALUE"""),37962367)</f>
        <v>37962367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IFERROR(__xludf.DUMMYFUNCTION("""COMPUTED_VALUE"""),81.03)</f>
        <v>81.03</v>
      </c>
      <c r="D89" s="141">
        <f ca="1">IFERROR(__xludf.DUMMYFUNCTION("""COMPUTED_VALUE"""),81.09)</f>
        <v>81.09</v>
      </c>
      <c r="E89" s="141">
        <f ca="1">IFERROR(__xludf.DUMMYFUNCTION("""COMPUTED_VALUE"""),80.97)</f>
        <v>80.97</v>
      </c>
      <c r="F89" s="141">
        <f ca="1">IFERROR(__xludf.DUMMYFUNCTION("""COMPUTED_VALUE"""),81.08)</f>
        <v>81.08</v>
      </c>
      <c r="G89" s="143">
        <f ca="1">IFERROR(__xludf.DUMMYFUNCTION("""COMPUTED_VALUE"""),39905574)</f>
        <v>39905574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IFERROR(__xludf.DUMMYFUNCTION("""COMPUTED_VALUE"""),81.17)</f>
        <v>81.17</v>
      </c>
      <c r="D90" s="141">
        <f ca="1">IFERROR(__xludf.DUMMYFUNCTION("""COMPUTED_VALUE"""),81.33)</f>
        <v>81.33</v>
      </c>
      <c r="E90" s="141">
        <f ca="1">IFERROR(__xludf.DUMMYFUNCTION("""COMPUTED_VALUE"""),81.13)</f>
        <v>81.13</v>
      </c>
      <c r="F90" s="141">
        <f ca="1">IFERROR(__xludf.DUMMYFUNCTION("""COMPUTED_VALUE"""),81.28)</f>
        <v>81.28</v>
      </c>
      <c r="G90" s="143">
        <f ca="1">IFERROR(__xludf.DUMMYFUNCTION("""COMPUTED_VALUE"""),36494969)</f>
        <v>36494969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IFERROR(__xludf.DUMMYFUNCTION("""COMPUTED_VALUE"""),81.28)</f>
        <v>81.28</v>
      </c>
      <c r="D91" s="141">
        <f ca="1">IFERROR(__xludf.DUMMYFUNCTION("""COMPUTED_VALUE"""),81.28)</f>
        <v>81.28</v>
      </c>
      <c r="E91" s="141">
        <f ca="1">IFERROR(__xludf.DUMMYFUNCTION("""COMPUTED_VALUE"""),81.17)</f>
        <v>81.17</v>
      </c>
      <c r="F91" s="141">
        <f ca="1">IFERROR(__xludf.DUMMYFUNCTION("""COMPUTED_VALUE"""),81.2)</f>
        <v>81.2</v>
      </c>
      <c r="G91" s="143">
        <f ca="1">IFERROR(__xludf.DUMMYFUNCTION("""COMPUTED_VALUE"""),31591729)</f>
        <v>31591729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IFERROR(__xludf.DUMMYFUNCTION("""COMPUTED_VALUE"""),81.2)</f>
        <v>81.2</v>
      </c>
      <c r="D92" s="141">
        <f ca="1">IFERROR(__xludf.DUMMYFUNCTION("""COMPUTED_VALUE"""),81.23)</f>
        <v>81.23</v>
      </c>
      <c r="E92" s="141">
        <f ca="1">IFERROR(__xludf.DUMMYFUNCTION("""COMPUTED_VALUE"""),80.9)</f>
        <v>80.900000000000006</v>
      </c>
      <c r="F92" s="141">
        <f ca="1">IFERROR(__xludf.DUMMYFUNCTION("""COMPUTED_VALUE"""),80.95)</f>
        <v>80.95</v>
      </c>
      <c r="G92" s="143">
        <f ca="1">IFERROR(__xludf.DUMMYFUNCTION("""COMPUTED_VALUE"""),51827219)</f>
        <v>51827219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IFERROR(__xludf.DUMMYFUNCTION("""COMPUTED_VALUE"""),80.79)</f>
        <v>80.790000000000006</v>
      </c>
      <c r="D93" s="141">
        <f ca="1">IFERROR(__xludf.DUMMYFUNCTION("""COMPUTED_VALUE"""),80.94)</f>
        <v>80.94</v>
      </c>
      <c r="E93" s="141">
        <f ca="1">IFERROR(__xludf.DUMMYFUNCTION("""COMPUTED_VALUE"""),80.76)</f>
        <v>80.760000000000005</v>
      </c>
      <c r="F93" s="141">
        <f ca="1">IFERROR(__xludf.DUMMYFUNCTION("""COMPUTED_VALUE"""),80.8)</f>
        <v>80.8</v>
      </c>
      <c r="G93" s="143">
        <f ca="1">IFERROR(__xludf.DUMMYFUNCTION("""COMPUTED_VALUE"""),39967394)</f>
        <v>39967394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IFERROR(__xludf.DUMMYFUNCTION("""COMPUTED_VALUE"""),80.89)</f>
        <v>80.89</v>
      </c>
      <c r="D94" s="141">
        <f ca="1">IFERROR(__xludf.DUMMYFUNCTION("""COMPUTED_VALUE"""),80.96)</f>
        <v>80.959999999999994</v>
      </c>
      <c r="E94" s="141">
        <f ca="1">IFERROR(__xludf.DUMMYFUNCTION("""COMPUTED_VALUE"""),80.75)</f>
        <v>80.75</v>
      </c>
      <c r="F94" s="141">
        <f ca="1">IFERROR(__xludf.DUMMYFUNCTION("""COMPUTED_VALUE"""),80.8)</f>
        <v>80.8</v>
      </c>
      <c r="G94" s="143">
        <f ca="1">IFERROR(__xludf.DUMMYFUNCTION("""COMPUTED_VALUE"""),45044574)</f>
        <v>45044574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IFERROR(__xludf.DUMMYFUNCTION("""COMPUTED_VALUE"""),80.4)</f>
        <v>80.400000000000006</v>
      </c>
      <c r="D95" s="141">
        <f ca="1">IFERROR(__xludf.DUMMYFUNCTION("""COMPUTED_VALUE"""),80.4)</f>
        <v>80.400000000000006</v>
      </c>
      <c r="E95" s="141">
        <f ca="1">IFERROR(__xludf.DUMMYFUNCTION("""COMPUTED_VALUE"""),80.13)</f>
        <v>80.13</v>
      </c>
      <c r="F95" s="141">
        <f ca="1">IFERROR(__xludf.DUMMYFUNCTION("""COMPUTED_VALUE"""),80.14)</f>
        <v>80.14</v>
      </c>
      <c r="G95" s="143">
        <f ca="1">IFERROR(__xludf.DUMMYFUNCTION("""COMPUTED_VALUE"""),54615144)</f>
        <v>54615144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IFERROR(__xludf.DUMMYFUNCTION("""COMPUTED_VALUE"""),79.98)</f>
        <v>79.98</v>
      </c>
      <c r="D96" s="141">
        <f ca="1">IFERROR(__xludf.DUMMYFUNCTION("""COMPUTED_VALUE"""),80.22)</f>
        <v>80.22</v>
      </c>
      <c r="E96" s="141">
        <f ca="1">IFERROR(__xludf.DUMMYFUNCTION("""COMPUTED_VALUE"""),79.96)</f>
        <v>79.959999999999994</v>
      </c>
      <c r="F96" s="141">
        <f ca="1">IFERROR(__xludf.DUMMYFUNCTION("""COMPUTED_VALUE"""),80.15)</f>
        <v>80.150000000000006</v>
      </c>
      <c r="G96" s="143">
        <f ca="1">IFERROR(__xludf.DUMMYFUNCTION("""COMPUTED_VALUE"""),49705102)</f>
        <v>49705102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IFERROR(__xludf.DUMMYFUNCTION("""COMPUTED_VALUE"""),80.19)</f>
        <v>80.19</v>
      </c>
      <c r="D97" s="141">
        <f ca="1">IFERROR(__xludf.DUMMYFUNCTION("""COMPUTED_VALUE"""),80.28)</f>
        <v>80.28</v>
      </c>
      <c r="E97" s="141">
        <f ca="1">IFERROR(__xludf.DUMMYFUNCTION("""COMPUTED_VALUE"""),80.17)</f>
        <v>80.17</v>
      </c>
      <c r="F97" s="141">
        <f ca="1">IFERROR(__xludf.DUMMYFUNCTION("""COMPUTED_VALUE"""),80.23)</f>
        <v>80.23</v>
      </c>
      <c r="G97" s="143">
        <f ca="1">IFERROR(__xludf.DUMMYFUNCTION("""COMPUTED_VALUE"""),42274111)</f>
        <v>42274111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IFERROR(__xludf.DUMMYFUNCTION("""COMPUTED_VALUE"""),80.31)</f>
        <v>80.31</v>
      </c>
      <c r="D98" s="141">
        <f ca="1">IFERROR(__xludf.DUMMYFUNCTION("""COMPUTED_VALUE"""),80.33)</f>
        <v>80.33</v>
      </c>
      <c r="E98" s="141">
        <f ca="1">IFERROR(__xludf.DUMMYFUNCTION("""COMPUTED_VALUE"""),80.13)</f>
        <v>80.13</v>
      </c>
      <c r="F98" s="141">
        <f ca="1">IFERROR(__xludf.DUMMYFUNCTION("""COMPUTED_VALUE"""),80.26)</f>
        <v>80.260000000000005</v>
      </c>
      <c r="G98" s="143">
        <f ca="1">IFERROR(__xludf.DUMMYFUNCTION("""COMPUTED_VALUE"""),46629485)</f>
        <v>46629485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IFERROR(__xludf.DUMMYFUNCTION("""COMPUTED_VALUE"""),80.25)</f>
        <v>80.25</v>
      </c>
      <c r="D99" s="141">
        <f ca="1">IFERROR(__xludf.DUMMYFUNCTION("""COMPUTED_VALUE"""),80.35)</f>
        <v>80.349999999999994</v>
      </c>
      <c r="E99" s="141">
        <f ca="1">IFERROR(__xludf.DUMMYFUNCTION("""COMPUTED_VALUE"""),80.09)</f>
        <v>80.09</v>
      </c>
      <c r="F99" s="141">
        <f ca="1">IFERROR(__xludf.DUMMYFUNCTION("""COMPUTED_VALUE"""),80.33)</f>
        <v>80.33</v>
      </c>
      <c r="G99" s="143">
        <f ca="1">IFERROR(__xludf.DUMMYFUNCTION("""COMPUTED_VALUE"""),47233856)</f>
        <v>47233856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IFERROR(__xludf.DUMMYFUNCTION("""COMPUTED_VALUE"""),80.45)</f>
        <v>80.45</v>
      </c>
      <c r="D100" s="141">
        <f ca="1">IFERROR(__xludf.DUMMYFUNCTION("""COMPUTED_VALUE"""),80.65)</f>
        <v>80.650000000000006</v>
      </c>
      <c r="E100" s="141">
        <f ca="1">IFERROR(__xludf.DUMMYFUNCTION("""COMPUTED_VALUE"""),80.43)</f>
        <v>80.430000000000007</v>
      </c>
      <c r="F100" s="141">
        <f ca="1">IFERROR(__xludf.DUMMYFUNCTION("""COMPUTED_VALUE"""),80.6)</f>
        <v>80.599999999999994</v>
      </c>
      <c r="G100" s="143">
        <f ca="1">IFERROR(__xludf.DUMMYFUNCTION("""COMPUTED_VALUE"""),51875501)</f>
        <v>51875501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IFERROR(__xludf.DUMMYFUNCTION("""COMPUTED_VALUE"""),80.61)</f>
        <v>80.61</v>
      </c>
      <c r="D101" s="141">
        <f ca="1">IFERROR(__xludf.DUMMYFUNCTION("""COMPUTED_VALUE"""),80.73)</f>
        <v>80.73</v>
      </c>
      <c r="E101" s="141">
        <f ca="1">IFERROR(__xludf.DUMMYFUNCTION("""COMPUTED_VALUE"""),80.61)</f>
        <v>80.61</v>
      </c>
      <c r="F101" s="141">
        <f ca="1">IFERROR(__xludf.DUMMYFUNCTION("""COMPUTED_VALUE"""),80.69)</f>
        <v>80.69</v>
      </c>
      <c r="G101" s="143">
        <f ca="1">IFERROR(__xludf.DUMMYFUNCTION("""COMPUTED_VALUE"""),17001486)</f>
        <v>17001486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IFERROR(__xludf.DUMMYFUNCTION("""COMPUTED_VALUE"""),80.69)</f>
        <v>80.69</v>
      </c>
      <c r="D102" s="141">
        <f ca="1">IFERROR(__xludf.DUMMYFUNCTION("""COMPUTED_VALUE"""),80.7)</f>
        <v>80.7</v>
      </c>
      <c r="E102" s="141">
        <f ca="1">IFERROR(__xludf.DUMMYFUNCTION("""COMPUTED_VALUE"""),80.49)</f>
        <v>80.489999999999995</v>
      </c>
      <c r="F102" s="141">
        <f ca="1">IFERROR(__xludf.DUMMYFUNCTION("""COMPUTED_VALUE"""),80.53)</f>
        <v>80.53</v>
      </c>
      <c r="G102" s="143">
        <f ca="1">IFERROR(__xludf.DUMMYFUNCTION("""COMPUTED_VALUE"""),43963049)</f>
        <v>43963049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IFERROR(__xludf.DUMMYFUNCTION("""COMPUTED_VALUE"""),80.42)</f>
        <v>80.42</v>
      </c>
      <c r="D103" s="141">
        <f ca="1">IFERROR(__xludf.DUMMYFUNCTION("""COMPUTED_VALUE"""),80.42)</f>
        <v>80.42</v>
      </c>
      <c r="E103" s="141">
        <f ca="1">IFERROR(__xludf.DUMMYFUNCTION("""COMPUTED_VALUE"""),80.15)</f>
        <v>80.150000000000006</v>
      </c>
      <c r="F103" s="141">
        <f ca="1">IFERROR(__xludf.DUMMYFUNCTION("""COMPUTED_VALUE"""),80.2)</f>
        <v>80.2</v>
      </c>
      <c r="G103" s="143">
        <f ca="1">IFERROR(__xludf.DUMMYFUNCTION("""COMPUTED_VALUE"""),53631282)</f>
        <v>53631282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IFERROR(__xludf.DUMMYFUNCTION("""COMPUTED_VALUE"""),80.08)</f>
        <v>80.08</v>
      </c>
      <c r="D104" s="141">
        <f ca="1">IFERROR(__xludf.DUMMYFUNCTION("""COMPUTED_VALUE"""),80.4)</f>
        <v>80.400000000000006</v>
      </c>
      <c r="E104" s="141">
        <f ca="1">IFERROR(__xludf.DUMMYFUNCTION("""COMPUTED_VALUE"""),80.08)</f>
        <v>80.08</v>
      </c>
      <c r="F104" s="141">
        <f ca="1">IFERROR(__xludf.DUMMYFUNCTION("""COMPUTED_VALUE"""),80.22)</f>
        <v>80.22</v>
      </c>
      <c r="G104" s="143">
        <f ca="1">IFERROR(__xludf.DUMMYFUNCTION("""COMPUTED_VALUE"""),40853458)</f>
        <v>40853458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IFERROR(__xludf.DUMMYFUNCTION("""COMPUTED_VALUE"""),80.19)</f>
        <v>80.19</v>
      </c>
      <c r="D105" s="141">
        <f ca="1">IFERROR(__xludf.DUMMYFUNCTION("""COMPUTED_VALUE"""),80.27)</f>
        <v>80.27</v>
      </c>
      <c r="E105" s="141">
        <f ca="1">IFERROR(__xludf.DUMMYFUNCTION("""COMPUTED_VALUE"""),80.04)</f>
        <v>80.040000000000006</v>
      </c>
      <c r="F105" s="141">
        <f ca="1">IFERROR(__xludf.DUMMYFUNCTION("""COMPUTED_VALUE"""),80.09)</f>
        <v>80.09</v>
      </c>
      <c r="G105" s="143">
        <f ca="1">IFERROR(__xludf.DUMMYFUNCTION("""COMPUTED_VALUE"""),42954243)</f>
        <v>42954243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IFERROR(__xludf.DUMMYFUNCTION("""COMPUTED_VALUE"""),80.02)</f>
        <v>80.02</v>
      </c>
      <c r="D106" s="141">
        <f ca="1">IFERROR(__xludf.DUMMYFUNCTION("""COMPUTED_VALUE"""),80.19)</f>
        <v>80.19</v>
      </c>
      <c r="E106" s="141">
        <f ca="1">IFERROR(__xludf.DUMMYFUNCTION("""COMPUTED_VALUE"""),79.99)</f>
        <v>79.989999999999995</v>
      </c>
      <c r="F106" s="141">
        <f ca="1">IFERROR(__xludf.DUMMYFUNCTION("""COMPUTED_VALUE"""),80.11)</f>
        <v>80.11</v>
      </c>
      <c r="G106" s="143">
        <f ca="1">IFERROR(__xludf.DUMMYFUNCTION("""COMPUTED_VALUE"""),44098862)</f>
        <v>44098862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IFERROR(__xludf.DUMMYFUNCTION("""COMPUTED_VALUE"""),80.14)</f>
        <v>80.14</v>
      </c>
      <c r="D107" s="141">
        <f ca="1">IFERROR(__xludf.DUMMYFUNCTION("""COMPUTED_VALUE"""),80.3)</f>
        <v>80.3</v>
      </c>
      <c r="E107" s="141">
        <f ca="1">IFERROR(__xludf.DUMMYFUNCTION("""COMPUTED_VALUE"""),80.09)</f>
        <v>80.09</v>
      </c>
      <c r="F107" s="141">
        <f ca="1">IFERROR(__xludf.DUMMYFUNCTION("""COMPUTED_VALUE"""),80.15)</f>
        <v>80.150000000000006</v>
      </c>
      <c r="G107" s="143">
        <f ca="1">IFERROR(__xludf.DUMMYFUNCTION("""COMPUTED_VALUE"""),33510527)</f>
        <v>33510527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IFERROR(__xludf.DUMMYFUNCTION("""COMPUTED_VALUE"""),80.41)</f>
        <v>80.41</v>
      </c>
      <c r="D108" s="141">
        <f ca="1">IFERROR(__xludf.DUMMYFUNCTION("""COMPUTED_VALUE"""),80.49)</f>
        <v>80.489999999999995</v>
      </c>
      <c r="E108" s="141">
        <f ca="1">IFERROR(__xludf.DUMMYFUNCTION("""COMPUTED_VALUE"""),80.1)</f>
        <v>80.099999999999994</v>
      </c>
      <c r="F108" s="141">
        <f ca="1">IFERROR(__xludf.DUMMYFUNCTION("""COMPUTED_VALUE"""),80.1)</f>
        <v>80.099999999999994</v>
      </c>
      <c r="G108" s="143">
        <f ca="1">IFERROR(__xludf.DUMMYFUNCTION("""COMPUTED_VALUE"""),65471162)</f>
        <v>65471162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IFERROR(__xludf.DUMMYFUNCTION("""COMPUTED_VALUE"""),80.26)</f>
        <v>80.260000000000005</v>
      </c>
      <c r="D109" s="141">
        <f ca="1">IFERROR(__xludf.DUMMYFUNCTION("""COMPUTED_VALUE"""),80.41)</f>
        <v>80.41</v>
      </c>
      <c r="E109" s="141">
        <f ca="1">IFERROR(__xludf.DUMMYFUNCTION("""COMPUTED_VALUE"""),80.13)</f>
        <v>80.13</v>
      </c>
      <c r="F109" s="141">
        <f ca="1">IFERROR(__xludf.DUMMYFUNCTION("""COMPUTED_VALUE"""),80.37)</f>
        <v>80.37</v>
      </c>
      <c r="G109" s="143">
        <f ca="1">IFERROR(__xludf.DUMMYFUNCTION("""COMPUTED_VALUE"""),62331715)</f>
        <v>62331715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IFERROR(__xludf.DUMMYFUNCTION("""COMPUTED_VALUE"""),80.42)</f>
        <v>80.42</v>
      </c>
      <c r="D110" s="141">
        <f ca="1">IFERROR(__xludf.DUMMYFUNCTION("""COMPUTED_VALUE"""),80.6)</f>
        <v>80.599999999999994</v>
      </c>
      <c r="E110" s="141">
        <f ca="1">IFERROR(__xludf.DUMMYFUNCTION("""COMPUTED_VALUE"""),80.4)</f>
        <v>80.400000000000006</v>
      </c>
      <c r="F110" s="141">
        <f ca="1">IFERROR(__xludf.DUMMYFUNCTION("""COMPUTED_VALUE"""),80.59)</f>
        <v>80.59</v>
      </c>
      <c r="G110" s="143">
        <f ca="1">IFERROR(__xludf.DUMMYFUNCTION("""COMPUTED_VALUE"""),38965019)</f>
        <v>38965019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IFERROR(__xludf.DUMMYFUNCTION("""COMPUTED_VALUE"""),80.57)</f>
        <v>80.569999999999993</v>
      </c>
      <c r="D111" s="141">
        <f ca="1">IFERROR(__xludf.DUMMYFUNCTION("""COMPUTED_VALUE"""),80.9)</f>
        <v>80.900000000000006</v>
      </c>
      <c r="E111" s="141">
        <f ca="1">IFERROR(__xludf.DUMMYFUNCTION("""COMPUTED_VALUE"""),80.54)</f>
        <v>80.540000000000006</v>
      </c>
      <c r="F111" s="141">
        <f ca="1">IFERROR(__xludf.DUMMYFUNCTION("""COMPUTED_VALUE"""),80.87)</f>
        <v>80.87</v>
      </c>
      <c r="G111" s="143">
        <f ca="1">IFERROR(__xludf.DUMMYFUNCTION("""COMPUTED_VALUE"""),56525065)</f>
        <v>56525065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IFERROR(__xludf.DUMMYFUNCTION("""COMPUTED_VALUE"""),80.83)</f>
        <v>80.83</v>
      </c>
      <c r="D112" s="141">
        <f ca="1">IFERROR(__xludf.DUMMYFUNCTION("""COMPUTED_VALUE"""),80.98)</f>
        <v>80.98</v>
      </c>
      <c r="E112" s="141">
        <f ca="1">IFERROR(__xludf.DUMMYFUNCTION("""COMPUTED_VALUE"""),80.79)</f>
        <v>80.790000000000006</v>
      </c>
      <c r="F112" s="141">
        <f ca="1">IFERROR(__xludf.DUMMYFUNCTION("""COMPUTED_VALUE"""),80.95)</f>
        <v>80.95</v>
      </c>
      <c r="G112" s="143">
        <f ca="1">IFERROR(__xludf.DUMMYFUNCTION("""COMPUTED_VALUE"""),27454958)</f>
        <v>27454958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IFERROR(__xludf.DUMMYFUNCTION("""COMPUTED_VALUE"""),80.99)</f>
        <v>80.989999999999995</v>
      </c>
      <c r="D113" s="141">
        <f ca="1">IFERROR(__xludf.DUMMYFUNCTION("""COMPUTED_VALUE"""),81.07)</f>
        <v>81.069999999999993</v>
      </c>
      <c r="E113" s="141">
        <f ca="1">IFERROR(__xludf.DUMMYFUNCTION("""COMPUTED_VALUE"""),80.94)</f>
        <v>80.94</v>
      </c>
      <c r="F113" s="141">
        <f ca="1">IFERROR(__xludf.DUMMYFUNCTION("""COMPUTED_VALUE"""),80.99)</f>
        <v>80.989999999999995</v>
      </c>
      <c r="G113" s="143">
        <f ca="1">IFERROR(__xludf.DUMMYFUNCTION("""COMPUTED_VALUE"""),29430777)</f>
        <v>29430777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IFERROR(__xludf.DUMMYFUNCTION("""COMPUTED_VALUE"""),80.4)</f>
        <v>80.400000000000006</v>
      </c>
      <c r="D114" s="141">
        <f ca="1">IFERROR(__xludf.DUMMYFUNCTION("""COMPUTED_VALUE"""),80.54)</f>
        <v>80.540000000000006</v>
      </c>
      <c r="E114" s="141">
        <f ca="1">IFERROR(__xludf.DUMMYFUNCTION("""COMPUTED_VALUE"""),80.38)</f>
        <v>80.38</v>
      </c>
      <c r="F114" s="141">
        <f ca="1">IFERROR(__xludf.DUMMYFUNCTION("""COMPUTED_VALUE"""),80.47)</f>
        <v>80.47</v>
      </c>
      <c r="G114" s="143">
        <f ca="1">IFERROR(__xludf.DUMMYFUNCTION("""COMPUTED_VALUE"""),45274945)</f>
        <v>45274945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IFERROR(__xludf.DUMMYFUNCTION("""COMPUTED_VALUE"""),80.54)</f>
        <v>80.540000000000006</v>
      </c>
      <c r="D115" s="141">
        <f ca="1">IFERROR(__xludf.DUMMYFUNCTION("""COMPUTED_VALUE"""),80.64)</f>
        <v>80.64</v>
      </c>
      <c r="E115" s="141">
        <f ca="1">IFERROR(__xludf.DUMMYFUNCTION("""COMPUTED_VALUE"""),80.47)</f>
        <v>80.47</v>
      </c>
      <c r="F115" s="141">
        <f ca="1">IFERROR(__xludf.DUMMYFUNCTION("""COMPUTED_VALUE"""),80.62)</f>
        <v>80.62</v>
      </c>
      <c r="G115" s="143">
        <f ca="1">IFERROR(__xludf.DUMMYFUNCTION("""COMPUTED_VALUE"""),38842599)</f>
        <v>38842599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IFERROR(__xludf.DUMMYFUNCTION("""COMPUTED_VALUE"""),80.61)</f>
        <v>80.61</v>
      </c>
      <c r="D116" s="141">
        <f ca="1">IFERROR(__xludf.DUMMYFUNCTION("""COMPUTED_VALUE"""),80.79)</f>
        <v>80.790000000000006</v>
      </c>
      <c r="E116" s="141">
        <f ca="1">IFERROR(__xludf.DUMMYFUNCTION("""COMPUTED_VALUE"""),80.57)</f>
        <v>80.569999999999993</v>
      </c>
      <c r="F116" s="141">
        <f ca="1">IFERROR(__xludf.DUMMYFUNCTION("""COMPUTED_VALUE"""),80.69)</f>
        <v>80.69</v>
      </c>
      <c r="G116" s="143">
        <f ca="1">IFERROR(__xludf.DUMMYFUNCTION("""COMPUTED_VALUE"""),35019075)</f>
        <v>35019075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IFERROR(__xludf.DUMMYFUNCTION("""COMPUTED_VALUE"""),80.7)</f>
        <v>80.7</v>
      </c>
      <c r="D117" s="141">
        <f ca="1">IFERROR(__xludf.DUMMYFUNCTION("""COMPUTED_VALUE"""),80.77)</f>
        <v>80.77</v>
      </c>
      <c r="E117" s="141">
        <f ca="1">IFERROR(__xludf.DUMMYFUNCTION("""COMPUTED_VALUE"""),80.57)</f>
        <v>80.569999999999993</v>
      </c>
      <c r="F117" s="141">
        <f ca="1">IFERROR(__xludf.DUMMYFUNCTION("""COMPUTED_VALUE"""),80.75)</f>
        <v>80.75</v>
      </c>
      <c r="G117" s="143">
        <f ca="1">IFERROR(__xludf.DUMMYFUNCTION("""COMPUTED_VALUE"""),34777386)</f>
        <v>34777386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IFERROR(__xludf.DUMMYFUNCTION("""COMPUTED_VALUE"""),80.73)</f>
        <v>80.73</v>
      </c>
      <c r="D118" s="141">
        <f ca="1">IFERROR(__xludf.DUMMYFUNCTION("""COMPUTED_VALUE"""),80.81)</f>
        <v>80.81</v>
      </c>
      <c r="E118" s="141">
        <f ca="1">IFERROR(__xludf.DUMMYFUNCTION("""COMPUTED_VALUE"""),80.67)</f>
        <v>80.67</v>
      </c>
      <c r="F118" s="141">
        <f ca="1">IFERROR(__xludf.DUMMYFUNCTION("""COMPUTED_VALUE"""),80.75)</f>
        <v>80.75</v>
      </c>
      <c r="G118" s="143">
        <f ca="1">IFERROR(__xludf.DUMMYFUNCTION("""COMPUTED_VALUE"""),30486777)</f>
        <v>30486777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IFERROR(__xludf.DUMMYFUNCTION("""COMPUTED_VALUE"""),80.72)</f>
        <v>80.72</v>
      </c>
      <c r="D119" s="141">
        <f ca="1">IFERROR(__xludf.DUMMYFUNCTION("""COMPUTED_VALUE"""),80.74)</f>
        <v>80.739999999999995</v>
      </c>
      <c r="E119" s="141">
        <f ca="1">IFERROR(__xludf.DUMMYFUNCTION("""COMPUTED_VALUE"""),80.49)</f>
        <v>80.489999999999995</v>
      </c>
      <c r="F119" s="141">
        <f ca="1">IFERROR(__xludf.DUMMYFUNCTION("""COMPUTED_VALUE"""),80.55)</f>
        <v>80.55</v>
      </c>
      <c r="G119" s="143">
        <f ca="1">IFERROR(__xludf.DUMMYFUNCTION("""COMPUTED_VALUE"""),43160808)</f>
        <v>43160808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IFERROR(__xludf.DUMMYFUNCTION("""COMPUTED_VALUE"""),80.55)</f>
        <v>80.55</v>
      </c>
      <c r="D120" s="141">
        <f ca="1">IFERROR(__xludf.DUMMYFUNCTION("""COMPUTED_VALUE"""),80.61)</f>
        <v>80.61</v>
      </c>
      <c r="E120" s="141">
        <f ca="1">IFERROR(__xludf.DUMMYFUNCTION("""COMPUTED_VALUE"""),80.44)</f>
        <v>80.44</v>
      </c>
      <c r="F120" s="141">
        <f ca="1">IFERROR(__xludf.DUMMYFUNCTION("""COMPUTED_VALUE"""),80.46)</f>
        <v>80.459999999999994</v>
      </c>
      <c r="G120" s="143">
        <f ca="1">IFERROR(__xludf.DUMMYFUNCTION("""COMPUTED_VALUE"""),30558830)</f>
        <v>30558830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IFERROR(__xludf.DUMMYFUNCTION("""COMPUTED_VALUE"""),80.43)</f>
        <v>80.430000000000007</v>
      </c>
      <c r="D121" s="141">
        <f ca="1">IFERROR(__xludf.DUMMYFUNCTION("""COMPUTED_VALUE"""),80.79)</f>
        <v>80.790000000000006</v>
      </c>
      <c r="E121" s="141">
        <f ca="1">IFERROR(__xludf.DUMMYFUNCTION("""COMPUTED_VALUE"""),80.42)</f>
        <v>80.42</v>
      </c>
      <c r="F121" s="141">
        <f ca="1">IFERROR(__xludf.DUMMYFUNCTION("""COMPUTED_VALUE"""),80.73)</f>
        <v>80.73</v>
      </c>
      <c r="G121" s="143">
        <f ca="1">IFERROR(__xludf.DUMMYFUNCTION("""COMPUTED_VALUE"""),53052238)</f>
        <v>53052238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IFERROR(__xludf.DUMMYFUNCTION("""COMPUTED_VALUE"""),80.74)</f>
        <v>80.739999999999995</v>
      </c>
      <c r="D122" s="141">
        <f ca="1">IFERROR(__xludf.DUMMYFUNCTION("""COMPUTED_VALUE"""),80.76)</f>
        <v>80.760000000000005</v>
      </c>
      <c r="E122" s="141">
        <f ca="1">IFERROR(__xludf.DUMMYFUNCTION("""COMPUTED_VALUE"""),80.66)</f>
        <v>80.66</v>
      </c>
      <c r="F122" s="141">
        <f ca="1">IFERROR(__xludf.DUMMYFUNCTION("""COMPUTED_VALUE"""),80.72)</f>
        <v>80.72</v>
      </c>
      <c r="G122" s="143">
        <f ca="1">IFERROR(__xludf.DUMMYFUNCTION("""COMPUTED_VALUE"""),44546381)</f>
        <v>44546381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IFERROR(__xludf.DUMMYFUNCTION("""COMPUTED_VALUE"""),80.69)</f>
        <v>80.69</v>
      </c>
      <c r="D123" s="141">
        <f ca="1">IFERROR(__xludf.DUMMYFUNCTION("""COMPUTED_VALUE"""),80.71)</f>
        <v>80.709999999999994</v>
      </c>
      <c r="E123" s="141">
        <f ca="1">IFERROR(__xludf.DUMMYFUNCTION("""COMPUTED_VALUE"""),80.53)</f>
        <v>80.53</v>
      </c>
      <c r="F123" s="141">
        <f ca="1">IFERROR(__xludf.DUMMYFUNCTION("""COMPUTED_VALUE"""),80.57)</f>
        <v>80.569999999999993</v>
      </c>
      <c r="G123" s="143">
        <f ca="1">IFERROR(__xludf.DUMMYFUNCTION("""COMPUTED_VALUE"""),45566142)</f>
        <v>45566142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IFERROR(__xludf.DUMMYFUNCTION("""COMPUTED_VALUE"""),80.67)</f>
        <v>80.67</v>
      </c>
      <c r="D124" s="141">
        <f ca="1">IFERROR(__xludf.DUMMYFUNCTION("""COMPUTED_VALUE"""),80.7)</f>
        <v>80.7</v>
      </c>
      <c r="E124" s="141">
        <f ca="1">IFERROR(__xludf.DUMMYFUNCTION("""COMPUTED_VALUE"""),80.57)</f>
        <v>80.569999999999993</v>
      </c>
      <c r="F124" s="141">
        <f ca="1">IFERROR(__xludf.DUMMYFUNCTION("""COMPUTED_VALUE"""),80.61)</f>
        <v>80.61</v>
      </c>
      <c r="G124" s="143">
        <f ca="1">IFERROR(__xludf.DUMMYFUNCTION("""COMPUTED_VALUE"""),28983574)</f>
        <v>28983574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IFERROR(__xludf.DUMMYFUNCTION("""COMPUTED_VALUE"""),80.61)</f>
        <v>80.61</v>
      </c>
      <c r="D125" s="141">
        <f ca="1">IFERROR(__xludf.DUMMYFUNCTION("""COMPUTED_VALUE"""),80.67)</f>
        <v>80.67</v>
      </c>
      <c r="E125" s="141">
        <f ca="1">IFERROR(__xludf.DUMMYFUNCTION("""COMPUTED_VALUE"""),80.56)</f>
        <v>80.56</v>
      </c>
      <c r="F125" s="141">
        <f ca="1">IFERROR(__xludf.DUMMYFUNCTION("""COMPUTED_VALUE"""),80.66)</f>
        <v>80.66</v>
      </c>
      <c r="G125" s="143">
        <f ca="1">IFERROR(__xludf.DUMMYFUNCTION("""COMPUTED_VALUE"""),27908039)</f>
        <v>27908039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IFERROR(__xludf.DUMMYFUNCTION("""COMPUTED_VALUE"""),80.65)</f>
        <v>80.650000000000006</v>
      </c>
      <c r="D126" s="141">
        <f ca="1">IFERROR(__xludf.DUMMYFUNCTION("""COMPUTED_VALUE"""),80.67)</f>
        <v>80.67</v>
      </c>
      <c r="E126" s="141">
        <f ca="1">IFERROR(__xludf.DUMMYFUNCTION("""COMPUTED_VALUE"""),80.51)</f>
        <v>80.510000000000005</v>
      </c>
      <c r="F126" s="141">
        <f ca="1">IFERROR(__xludf.DUMMYFUNCTION("""COMPUTED_VALUE"""),80.56)</f>
        <v>80.56</v>
      </c>
      <c r="G126" s="143">
        <f ca="1">IFERROR(__xludf.DUMMYFUNCTION("""COMPUTED_VALUE"""),36999671)</f>
        <v>36999671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IFERROR(__xludf.DUMMYFUNCTION("""COMPUTED_VALUE"""),80.78)</f>
        <v>80.78</v>
      </c>
      <c r="D127" s="141">
        <f ca="1">IFERROR(__xludf.DUMMYFUNCTION("""COMPUTED_VALUE"""),80.8)</f>
        <v>80.8</v>
      </c>
      <c r="E127" s="141">
        <f ca="1">IFERROR(__xludf.DUMMYFUNCTION("""COMPUTED_VALUE"""),80.67)</f>
        <v>80.67</v>
      </c>
      <c r="F127" s="141">
        <f ca="1">IFERROR(__xludf.DUMMYFUNCTION("""COMPUTED_VALUE"""),80.78)</f>
        <v>80.78</v>
      </c>
      <c r="G127" s="143">
        <f ca="1">IFERROR(__xludf.DUMMYFUNCTION("""COMPUTED_VALUE"""),52680468)</f>
        <v>52680468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IFERROR(__xludf.DUMMYFUNCTION("""COMPUTED_VALUE"""),80.43)</f>
        <v>80.430000000000007</v>
      </c>
      <c r="D128" s="141">
        <f ca="1">IFERROR(__xludf.DUMMYFUNCTION("""COMPUTED_VALUE"""),80.47)</f>
        <v>80.47</v>
      </c>
      <c r="E128" s="141">
        <f ca="1">IFERROR(__xludf.DUMMYFUNCTION("""COMPUTED_VALUE"""),80.33)</f>
        <v>80.33</v>
      </c>
      <c r="F128" s="141">
        <f ca="1">IFERROR(__xludf.DUMMYFUNCTION("""COMPUTED_VALUE"""),80.36)</f>
        <v>80.36</v>
      </c>
      <c r="G128" s="143">
        <f ca="1">IFERROR(__xludf.DUMMYFUNCTION("""COMPUTED_VALUE"""),34413339)</f>
        <v>34413339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IFERROR(__xludf.DUMMYFUNCTION("""COMPUTED_VALUE"""),80.46)</f>
        <v>80.459999999999994</v>
      </c>
      <c r="D129" s="141">
        <f ca="1">IFERROR(__xludf.DUMMYFUNCTION("""COMPUTED_VALUE"""),80.46)</f>
        <v>80.459999999999994</v>
      </c>
      <c r="E129" s="141">
        <f ca="1">IFERROR(__xludf.DUMMYFUNCTION("""COMPUTED_VALUE"""),80.29)</f>
        <v>80.290000000000006</v>
      </c>
      <c r="F129" s="141">
        <f ca="1">IFERROR(__xludf.DUMMYFUNCTION("""COMPUTED_VALUE"""),80.43)</f>
        <v>80.430000000000007</v>
      </c>
      <c r="G129" s="143">
        <f ca="1">IFERROR(__xludf.DUMMYFUNCTION("""COMPUTED_VALUE"""),37203854)</f>
        <v>37203854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IFERROR(__xludf.DUMMYFUNCTION("""COMPUTED_VALUE"""),80.37)</f>
        <v>80.37</v>
      </c>
      <c r="D130" s="141">
        <f ca="1">IFERROR(__xludf.DUMMYFUNCTION("""COMPUTED_VALUE"""),80.49)</f>
        <v>80.489999999999995</v>
      </c>
      <c r="E130" s="141">
        <f ca="1">IFERROR(__xludf.DUMMYFUNCTION("""COMPUTED_VALUE"""),80.35)</f>
        <v>80.349999999999994</v>
      </c>
      <c r="F130" s="141">
        <f ca="1">IFERROR(__xludf.DUMMYFUNCTION("""COMPUTED_VALUE"""),80.49)</f>
        <v>80.489999999999995</v>
      </c>
      <c r="G130" s="143">
        <f ca="1">IFERROR(__xludf.DUMMYFUNCTION("""COMPUTED_VALUE"""),24341795)</f>
        <v>24341795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IFERROR(__xludf.DUMMYFUNCTION("""COMPUTED_VALUE"""),80.51)</f>
        <v>80.510000000000005</v>
      </c>
      <c r="D131" s="141">
        <f ca="1">IFERROR(__xludf.DUMMYFUNCTION("""COMPUTED_VALUE"""),80.64)</f>
        <v>80.64</v>
      </c>
      <c r="E131" s="141">
        <f ca="1">IFERROR(__xludf.DUMMYFUNCTION("""COMPUTED_VALUE"""),80.47)</f>
        <v>80.47</v>
      </c>
      <c r="F131" s="141">
        <f ca="1">IFERROR(__xludf.DUMMYFUNCTION("""COMPUTED_VALUE"""),80.64)</f>
        <v>80.64</v>
      </c>
      <c r="G131" s="143">
        <f ca="1">IFERROR(__xludf.DUMMYFUNCTION("""COMPUTED_VALUE"""),10533489)</f>
        <v>10533489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IFERROR(__xludf.DUMMYFUNCTION("""COMPUTED_VALUE"""),80.64)</f>
        <v>80.64</v>
      </c>
      <c r="D132" s="141">
        <f ca="1">IFERROR(__xludf.DUMMYFUNCTION("""COMPUTED_VALUE"""),80.7)</f>
        <v>80.7</v>
      </c>
      <c r="E132" s="141">
        <f ca="1">IFERROR(__xludf.DUMMYFUNCTION("""COMPUTED_VALUE"""),80.59)</f>
        <v>80.59</v>
      </c>
      <c r="F132" s="141">
        <f ca="1">IFERROR(__xludf.DUMMYFUNCTION("""COMPUTED_VALUE"""),80.6)</f>
        <v>80.599999999999994</v>
      </c>
      <c r="G132" s="143">
        <f ca="1">IFERROR(__xludf.DUMMYFUNCTION("""COMPUTED_VALUE"""),10922908)</f>
        <v>10922908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IFERROR(__xludf.DUMMYFUNCTION("""COMPUTED_VALUE"""),80.56)</f>
        <v>80.56</v>
      </c>
      <c r="D133" s="141">
        <f ca="1">IFERROR(__xludf.DUMMYFUNCTION("""COMPUTED_VALUE"""),80.66)</f>
        <v>80.66</v>
      </c>
      <c r="E133" s="141">
        <f ca="1">IFERROR(__xludf.DUMMYFUNCTION("""COMPUTED_VALUE"""),80.55)</f>
        <v>80.55</v>
      </c>
      <c r="F133" s="141">
        <f ca="1">IFERROR(__xludf.DUMMYFUNCTION("""COMPUTED_VALUE"""),80.63)</f>
        <v>80.63</v>
      </c>
      <c r="G133" s="143">
        <f ca="1">IFERROR(__xludf.DUMMYFUNCTION("""COMPUTED_VALUE"""),22012766)</f>
        <v>22012766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IFERROR(__xludf.DUMMYFUNCTION("""COMPUTED_VALUE"""),80.64)</f>
        <v>80.64</v>
      </c>
      <c r="D134" s="141">
        <f ca="1">IFERROR(__xludf.DUMMYFUNCTION("""COMPUTED_VALUE"""),80.75)</f>
        <v>80.75</v>
      </c>
      <c r="E134" s="141">
        <f ca="1">IFERROR(__xludf.DUMMYFUNCTION("""COMPUTED_VALUE"""),80.61)</f>
        <v>80.61</v>
      </c>
      <c r="F134" s="141">
        <f ca="1">IFERROR(__xludf.DUMMYFUNCTION("""COMPUTED_VALUE"""),80.71)</f>
        <v>80.709999999999994</v>
      </c>
      <c r="G134" s="143">
        <f ca="1">IFERROR(__xludf.DUMMYFUNCTION("""COMPUTED_VALUE"""),20146744)</f>
        <v>20146744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IFERROR(__xludf.DUMMYFUNCTION("""COMPUTED_VALUE"""),80.72)</f>
        <v>80.72</v>
      </c>
      <c r="D135" s="141">
        <f ca="1">IFERROR(__xludf.DUMMYFUNCTION("""COMPUTED_VALUE"""),80.75)</f>
        <v>80.75</v>
      </c>
      <c r="E135" s="141">
        <f ca="1">IFERROR(__xludf.DUMMYFUNCTION("""COMPUTED_VALUE"""),80.63)</f>
        <v>80.63</v>
      </c>
      <c r="F135" s="141">
        <f ca="1">IFERROR(__xludf.DUMMYFUNCTION("""COMPUTED_VALUE"""),80.63)</f>
        <v>80.63</v>
      </c>
      <c r="G135" s="143">
        <f ca="1">IFERROR(__xludf.DUMMYFUNCTION("""COMPUTED_VALUE"""),17457063)</f>
        <v>17457063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IFERROR(__xludf.DUMMYFUNCTION("""COMPUTED_VALUE"""),80.72)</f>
        <v>80.72</v>
      </c>
      <c r="D136" s="141">
        <f ca="1">IFERROR(__xludf.DUMMYFUNCTION("""COMPUTED_VALUE"""),80.72)</f>
        <v>80.72</v>
      </c>
      <c r="E136" s="141">
        <f ca="1">IFERROR(__xludf.DUMMYFUNCTION("""COMPUTED_VALUE"""),80.59)</f>
        <v>80.59</v>
      </c>
      <c r="F136" s="141">
        <f ca="1">IFERROR(__xludf.DUMMYFUNCTION("""COMPUTED_VALUE"""),80.67)</f>
        <v>80.67</v>
      </c>
      <c r="G136" s="143">
        <f ca="1">IFERROR(__xludf.DUMMYFUNCTION("""COMPUTED_VALUE"""),28403304)</f>
        <v>28403304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IFERROR(__xludf.DUMMYFUNCTION("""COMPUTED_VALUE"""),80.74)</f>
        <v>80.739999999999995</v>
      </c>
      <c r="D137" s="141">
        <f ca="1">IFERROR(__xludf.DUMMYFUNCTION("""COMPUTED_VALUE"""),80.91)</f>
        <v>80.91</v>
      </c>
      <c r="E137" s="141">
        <f ca="1">IFERROR(__xludf.DUMMYFUNCTION("""COMPUTED_VALUE"""),80.7)</f>
        <v>80.7</v>
      </c>
      <c r="F137" s="141">
        <f ca="1">IFERROR(__xludf.DUMMYFUNCTION("""COMPUTED_VALUE"""),80.88)</f>
        <v>80.88</v>
      </c>
      <c r="G137" s="143">
        <f ca="1">IFERROR(__xludf.DUMMYFUNCTION("""COMPUTED_VALUE"""),38563219)</f>
        <v>38563219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IFERROR(__xludf.DUMMYFUNCTION("""COMPUTED_VALUE"""),80.9)</f>
        <v>80.900000000000006</v>
      </c>
      <c r="D138" s="141">
        <f ca="1">IFERROR(__xludf.DUMMYFUNCTION("""COMPUTED_VALUE"""),80.94)</f>
        <v>80.94</v>
      </c>
      <c r="E138" s="141">
        <f ca="1">IFERROR(__xludf.DUMMYFUNCTION("""COMPUTED_VALUE"""),80.82)</f>
        <v>80.819999999999993</v>
      </c>
      <c r="F138" s="141">
        <f ca="1">IFERROR(__xludf.DUMMYFUNCTION("""COMPUTED_VALUE"""),80.9)</f>
        <v>80.900000000000006</v>
      </c>
      <c r="G138" s="143">
        <f ca="1">IFERROR(__xludf.DUMMYFUNCTION("""COMPUTED_VALUE"""),31721461)</f>
        <v>31721461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IFERROR(__xludf.DUMMYFUNCTION("""COMPUTED_VALUE"""),80.96)</f>
        <v>80.959999999999994</v>
      </c>
      <c r="D139" s="141">
        <f ca="1">IFERROR(__xludf.DUMMYFUNCTION("""COMPUTED_VALUE"""),81)</f>
        <v>81</v>
      </c>
      <c r="E139" s="141">
        <f ca="1">IFERROR(__xludf.DUMMYFUNCTION("""COMPUTED_VALUE"""),80.83)</f>
        <v>80.83</v>
      </c>
      <c r="F139" s="141">
        <f ca="1">IFERROR(__xludf.DUMMYFUNCTION("""COMPUTED_VALUE"""),80.88)</f>
        <v>80.88</v>
      </c>
      <c r="G139" s="143">
        <f ca="1">IFERROR(__xludf.DUMMYFUNCTION("""COMPUTED_VALUE"""),27022770)</f>
        <v>27022770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IFERROR(__xludf.DUMMYFUNCTION("""COMPUTED_VALUE"""),80.84)</f>
        <v>80.84</v>
      </c>
      <c r="D140" s="141">
        <f ca="1">IFERROR(__xludf.DUMMYFUNCTION("""COMPUTED_VALUE"""),80.95)</f>
        <v>80.95</v>
      </c>
      <c r="E140" s="141">
        <f ca="1">IFERROR(__xludf.DUMMYFUNCTION("""COMPUTED_VALUE"""),80.8)</f>
        <v>80.8</v>
      </c>
      <c r="F140" s="141">
        <f ca="1">IFERROR(__xludf.DUMMYFUNCTION("""COMPUTED_VALUE"""),80.94)</f>
        <v>80.94</v>
      </c>
      <c r="G140" s="143">
        <f ca="1">IFERROR(__xludf.DUMMYFUNCTION("""COMPUTED_VALUE"""),33517025)</f>
        <v>33517025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IFERROR(__xludf.DUMMYFUNCTION("""COMPUTED_VALUE"""),80.95)</f>
        <v>80.95</v>
      </c>
      <c r="D141" s="141">
        <f ca="1">IFERROR(__xludf.DUMMYFUNCTION("""COMPUTED_VALUE"""),81.03)</f>
        <v>81.03</v>
      </c>
      <c r="E141" s="141">
        <f ca="1">IFERROR(__xludf.DUMMYFUNCTION("""COMPUTED_VALUE"""),80.95)</f>
        <v>80.95</v>
      </c>
      <c r="F141" s="141">
        <f ca="1">IFERROR(__xludf.DUMMYFUNCTION("""COMPUTED_VALUE"""),81)</f>
        <v>81</v>
      </c>
      <c r="G141" s="143">
        <f ca="1">IFERROR(__xludf.DUMMYFUNCTION("""COMPUTED_VALUE"""),31849182)</f>
        <v>31849182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IFERROR(__xludf.DUMMYFUNCTION("""COMPUTED_VALUE"""),80.91)</f>
        <v>80.91</v>
      </c>
      <c r="D142" s="141">
        <f ca="1">IFERROR(__xludf.DUMMYFUNCTION("""COMPUTED_VALUE"""),81.05)</f>
        <v>81.05</v>
      </c>
      <c r="E142" s="141">
        <f ca="1">IFERROR(__xludf.DUMMYFUNCTION("""COMPUTED_VALUE"""),80.9)</f>
        <v>80.900000000000006</v>
      </c>
      <c r="F142" s="141">
        <f ca="1">IFERROR(__xludf.DUMMYFUNCTION("""COMPUTED_VALUE"""),81.04)</f>
        <v>81.040000000000006</v>
      </c>
      <c r="G142" s="143">
        <f ca="1">IFERROR(__xludf.DUMMYFUNCTION("""COMPUTED_VALUE"""),23983604)</f>
        <v>23983604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IFERROR(__xludf.DUMMYFUNCTION("""COMPUTED_VALUE"""),81.07)</f>
        <v>81.069999999999993</v>
      </c>
      <c r="D143" s="141">
        <f ca="1">IFERROR(__xludf.DUMMYFUNCTION("""COMPUTED_VALUE"""),81.08)</f>
        <v>81.08</v>
      </c>
      <c r="E143" s="141">
        <f ca="1">IFERROR(__xludf.DUMMYFUNCTION("""COMPUTED_VALUE"""),80.97)</f>
        <v>80.97</v>
      </c>
      <c r="F143" s="141">
        <f ca="1">IFERROR(__xludf.DUMMYFUNCTION("""COMPUTED_VALUE"""),81.04)</f>
        <v>81.040000000000006</v>
      </c>
      <c r="G143" s="143">
        <f ca="1">IFERROR(__xludf.DUMMYFUNCTION("""COMPUTED_VALUE"""),27607690)</f>
        <v>27607690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IFERROR(__xludf.DUMMYFUNCTION("""COMPUTED_VALUE"""),81)</f>
        <v>81</v>
      </c>
      <c r="D144" s="141">
        <f ca="1">IFERROR(__xludf.DUMMYFUNCTION("""COMPUTED_VALUE"""),81.05)</f>
        <v>81.05</v>
      </c>
      <c r="E144" s="141">
        <f ca="1">IFERROR(__xludf.DUMMYFUNCTION("""COMPUTED_VALUE"""),80.93)</f>
        <v>80.930000000000007</v>
      </c>
      <c r="F144" s="141">
        <f ca="1">IFERROR(__xludf.DUMMYFUNCTION("""COMPUTED_VALUE"""),81.04)</f>
        <v>81.040000000000006</v>
      </c>
      <c r="G144" s="143">
        <f ca="1">IFERROR(__xludf.DUMMYFUNCTION("""COMPUTED_VALUE"""),42994019)</f>
        <v>42994019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IFERROR(__xludf.DUMMYFUNCTION("""COMPUTED_VALUE"""),81.1)</f>
        <v>81.099999999999994</v>
      </c>
      <c r="D145" s="141">
        <f ca="1">IFERROR(__xludf.DUMMYFUNCTION("""COMPUTED_VALUE"""),81.11)</f>
        <v>81.11</v>
      </c>
      <c r="E145" s="141">
        <f ca="1">IFERROR(__xludf.DUMMYFUNCTION("""COMPUTED_VALUE"""),81)</f>
        <v>81</v>
      </c>
      <c r="F145" s="141">
        <f ca="1">IFERROR(__xludf.DUMMYFUNCTION("""COMPUTED_VALUE"""),81.04)</f>
        <v>81.040000000000006</v>
      </c>
      <c r="G145" s="143">
        <f ca="1">IFERROR(__xludf.DUMMYFUNCTION("""COMPUTED_VALUE"""),30412385)</f>
        <v>30412385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IFERROR(__xludf.DUMMYFUNCTION("""COMPUTED_VALUE"""),81.08)</f>
        <v>81.08</v>
      </c>
      <c r="D146" s="141">
        <f ca="1">IFERROR(__xludf.DUMMYFUNCTION("""COMPUTED_VALUE"""),81.1)</f>
        <v>81.099999999999994</v>
      </c>
      <c r="E146" s="141">
        <f ca="1">IFERROR(__xludf.DUMMYFUNCTION("""COMPUTED_VALUE"""),80.99)</f>
        <v>80.989999999999995</v>
      </c>
      <c r="F146" s="141">
        <f ca="1">IFERROR(__xludf.DUMMYFUNCTION("""COMPUTED_VALUE"""),81.09)</f>
        <v>81.09</v>
      </c>
      <c r="G146" s="143">
        <f ca="1">IFERROR(__xludf.DUMMYFUNCTION("""COMPUTED_VALUE"""),52466258)</f>
        <v>52466258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IFERROR(__xludf.DUMMYFUNCTION("""COMPUTED_VALUE"""),80.74)</f>
        <v>80.739999999999995</v>
      </c>
      <c r="D147" s="141">
        <f ca="1">IFERROR(__xludf.DUMMYFUNCTION("""COMPUTED_VALUE"""),80.95)</f>
        <v>80.95</v>
      </c>
      <c r="E147" s="141">
        <f ca="1">IFERROR(__xludf.DUMMYFUNCTION("""COMPUTED_VALUE"""),80.67)</f>
        <v>80.67</v>
      </c>
      <c r="F147" s="141">
        <f ca="1">IFERROR(__xludf.DUMMYFUNCTION("""COMPUTED_VALUE"""),80.88)</f>
        <v>80.88</v>
      </c>
      <c r="G147" s="143">
        <f ca="1">IFERROR(__xludf.DUMMYFUNCTION("""COMPUTED_VALUE"""),38653396)</f>
        <v>38653396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IFERROR(__xludf.DUMMYFUNCTION("""COMPUTED_VALUE"""),80.98)</f>
        <v>80.98</v>
      </c>
      <c r="D148" s="141">
        <f ca="1">IFERROR(__xludf.DUMMYFUNCTION("""COMPUTED_VALUE"""),81.16)</f>
        <v>81.16</v>
      </c>
      <c r="E148" s="141">
        <f ca="1">IFERROR(__xludf.DUMMYFUNCTION("""COMPUTED_VALUE"""),80.96)</f>
        <v>80.959999999999994</v>
      </c>
      <c r="F148" s="141">
        <f ca="1">IFERROR(__xludf.DUMMYFUNCTION("""COMPUTED_VALUE"""),81.12)</f>
        <v>81.12</v>
      </c>
      <c r="G148" s="143">
        <f ca="1">IFERROR(__xludf.DUMMYFUNCTION("""COMPUTED_VALUE"""),42023456)</f>
        <v>42023456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IFERROR(__xludf.DUMMYFUNCTION("""COMPUTED_VALUE"""),81.19)</f>
        <v>81.19</v>
      </c>
      <c r="D149" s="141">
        <f ca="1">IFERROR(__xludf.DUMMYFUNCTION("""COMPUTED_VALUE"""),81.24)</f>
        <v>81.239999999999995</v>
      </c>
      <c r="E149" s="141">
        <f ca="1">IFERROR(__xludf.DUMMYFUNCTION("""COMPUTED_VALUE"""),81.13)</f>
        <v>81.13</v>
      </c>
      <c r="F149" s="141">
        <f ca="1">IFERROR(__xludf.DUMMYFUNCTION("""COMPUTED_VALUE"""),81.18)</f>
        <v>81.180000000000007</v>
      </c>
      <c r="G149" s="143">
        <f ca="1">IFERROR(__xludf.DUMMYFUNCTION("""COMPUTED_VALUE"""),35231903)</f>
        <v>35231903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IFERROR(__xludf.DUMMYFUNCTION("""COMPUTED_VALUE"""),81.18)</f>
        <v>81.180000000000007</v>
      </c>
      <c r="D150" s="141">
        <f ca="1">IFERROR(__xludf.DUMMYFUNCTION("""COMPUTED_VALUE"""),81.2)</f>
        <v>81.2</v>
      </c>
      <c r="E150" s="141">
        <f ca="1">IFERROR(__xludf.DUMMYFUNCTION("""COMPUTED_VALUE"""),81.04)</f>
        <v>81.040000000000006</v>
      </c>
      <c r="F150" s="141">
        <f ca="1">IFERROR(__xludf.DUMMYFUNCTION("""COMPUTED_VALUE"""),81.14)</f>
        <v>81.14</v>
      </c>
      <c r="G150" s="143">
        <f ca="1">IFERROR(__xludf.DUMMYFUNCTION("""COMPUTED_VALUE"""),38360521)</f>
        <v>38360521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IFERROR(__xludf.DUMMYFUNCTION("""COMPUTED_VALUE"""),81.19)</f>
        <v>81.19</v>
      </c>
      <c r="D151" s="141">
        <f ca="1">IFERROR(__xludf.DUMMYFUNCTION("""COMPUTED_VALUE"""),81.22)</f>
        <v>81.22</v>
      </c>
      <c r="E151" s="141">
        <f ca="1">IFERROR(__xludf.DUMMYFUNCTION("""COMPUTED_VALUE"""),81.12)</f>
        <v>81.12</v>
      </c>
      <c r="F151" s="141">
        <f ca="1">IFERROR(__xludf.DUMMYFUNCTION("""COMPUTED_VALUE"""),81.18)</f>
        <v>81.180000000000007</v>
      </c>
      <c r="G151" s="143">
        <f ca="1">IFERROR(__xludf.DUMMYFUNCTION("""COMPUTED_VALUE"""),27027543)</f>
        <v>27027543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IFERROR(__xludf.DUMMYFUNCTION("""COMPUTED_VALUE"""),81.18)</f>
        <v>81.180000000000007</v>
      </c>
      <c r="D152" s="141">
        <f ca="1">IFERROR(__xludf.DUMMYFUNCTION("""COMPUTED_VALUE"""),81.22)</f>
        <v>81.22</v>
      </c>
      <c r="E152" s="141">
        <f ca="1">IFERROR(__xludf.DUMMYFUNCTION("""COMPUTED_VALUE"""),81.14)</f>
        <v>81.14</v>
      </c>
      <c r="F152" s="141">
        <f ca="1">IFERROR(__xludf.DUMMYFUNCTION("""COMPUTED_VALUE"""),81.17)</f>
        <v>81.17</v>
      </c>
      <c r="G152" s="143">
        <f ca="1">IFERROR(__xludf.DUMMYFUNCTION("""COMPUTED_VALUE"""),22961496)</f>
        <v>22961496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IFERROR(__xludf.DUMMYFUNCTION("""COMPUTED_VALUE"""),81.17)</f>
        <v>81.17</v>
      </c>
      <c r="D153" s="141">
        <f ca="1">IFERROR(__xludf.DUMMYFUNCTION("""COMPUTED_VALUE"""),81.18)</f>
        <v>81.180000000000007</v>
      </c>
      <c r="E153" s="141">
        <f ca="1">IFERROR(__xludf.DUMMYFUNCTION("""COMPUTED_VALUE"""),81.03)</f>
        <v>81.03</v>
      </c>
      <c r="F153" s="141">
        <f ca="1">IFERROR(__xludf.DUMMYFUNCTION("""COMPUTED_VALUE"""),81.04)</f>
        <v>81.040000000000006</v>
      </c>
      <c r="G153" s="143">
        <f ca="1">IFERROR(__xludf.DUMMYFUNCTION("""COMPUTED_VALUE"""),35559176)</f>
        <v>35559176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IFERROR(__xludf.DUMMYFUNCTION("""COMPUTED_VALUE"""),81.05)</f>
        <v>81.05</v>
      </c>
      <c r="D154" s="141">
        <f ca="1">IFERROR(__xludf.DUMMYFUNCTION("""COMPUTED_VALUE"""),81.07)</f>
        <v>81.069999999999993</v>
      </c>
      <c r="E154" s="141">
        <f ca="1">IFERROR(__xludf.DUMMYFUNCTION("""COMPUTED_VALUE"""),80.9)</f>
        <v>80.900000000000006</v>
      </c>
      <c r="F154" s="141">
        <f ca="1">IFERROR(__xludf.DUMMYFUNCTION("""COMPUTED_VALUE"""),81.03)</f>
        <v>81.03</v>
      </c>
      <c r="G154" s="143">
        <f ca="1">IFERROR(__xludf.DUMMYFUNCTION("""COMPUTED_VALUE"""),38201563)</f>
        <v>38201563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IFERROR(__xludf.DUMMYFUNCTION("""COMPUTED_VALUE"""),80.92)</f>
        <v>80.92</v>
      </c>
      <c r="D155" s="141">
        <f ca="1">IFERROR(__xludf.DUMMYFUNCTION("""COMPUTED_VALUE"""),81.13)</f>
        <v>81.13</v>
      </c>
      <c r="E155" s="141">
        <f ca="1">IFERROR(__xludf.DUMMYFUNCTION("""COMPUTED_VALUE"""),80.92)</f>
        <v>80.92</v>
      </c>
      <c r="F155" s="141">
        <f ca="1">IFERROR(__xludf.DUMMYFUNCTION("""COMPUTED_VALUE"""),81.12)</f>
        <v>81.12</v>
      </c>
      <c r="G155" s="143">
        <f ca="1">IFERROR(__xludf.DUMMYFUNCTION("""COMPUTED_VALUE"""),59848044)</f>
        <v>59848044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IFERROR(__xludf.DUMMYFUNCTION("""COMPUTED_VALUE"""),80.67)</f>
        <v>80.67</v>
      </c>
      <c r="D156" s="141">
        <f ca="1">IFERROR(__xludf.DUMMYFUNCTION("""COMPUTED_VALUE"""),80.81)</f>
        <v>80.81</v>
      </c>
      <c r="E156" s="141">
        <f ca="1">IFERROR(__xludf.DUMMYFUNCTION("""COMPUTED_VALUE"""),80.64)</f>
        <v>80.64</v>
      </c>
      <c r="F156" s="141">
        <f ca="1">IFERROR(__xludf.DUMMYFUNCTION("""COMPUTED_VALUE"""),80.77)</f>
        <v>80.77</v>
      </c>
      <c r="G156" s="143">
        <f ca="1">IFERROR(__xludf.DUMMYFUNCTION("""COMPUTED_VALUE"""),42890695)</f>
        <v>42890695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IFERROR(__xludf.DUMMYFUNCTION("""COMPUTED_VALUE"""),80.76)</f>
        <v>80.760000000000005</v>
      </c>
      <c r="D157" s="141">
        <f ca="1">IFERROR(__xludf.DUMMYFUNCTION("""COMPUTED_VALUE"""),80.81)</f>
        <v>80.81</v>
      </c>
      <c r="E157" s="141">
        <f ca="1">IFERROR(__xludf.DUMMYFUNCTION("""COMPUTED_VALUE"""),80.53)</f>
        <v>80.53</v>
      </c>
      <c r="F157" s="141">
        <f ca="1">IFERROR(__xludf.DUMMYFUNCTION("""COMPUTED_VALUE"""),80.72)</f>
        <v>80.72</v>
      </c>
      <c r="G157" s="143">
        <f ca="1">IFERROR(__xludf.DUMMYFUNCTION("""COMPUTED_VALUE"""),49372754)</f>
        <v>49372754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IFERROR(__xludf.DUMMYFUNCTION("""COMPUTED_VALUE"""),80.7)</f>
        <v>80.7</v>
      </c>
      <c r="D158" s="141">
        <f ca="1">IFERROR(__xludf.DUMMYFUNCTION("""COMPUTED_VALUE"""),80.72)</f>
        <v>80.72</v>
      </c>
      <c r="E158" s="141">
        <f ca="1">IFERROR(__xludf.DUMMYFUNCTION("""COMPUTED_VALUE"""),80.54)</f>
        <v>80.540000000000006</v>
      </c>
      <c r="F158" s="141">
        <f ca="1">IFERROR(__xludf.DUMMYFUNCTION("""COMPUTED_VALUE"""),80.62)</f>
        <v>80.62</v>
      </c>
      <c r="G158" s="143">
        <f ca="1">IFERROR(__xludf.DUMMYFUNCTION("""COMPUTED_VALUE"""),42829381)</f>
        <v>42829381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IFERROR(__xludf.DUMMYFUNCTION("""COMPUTED_VALUE"""),80.56)</f>
        <v>80.56</v>
      </c>
      <c r="D159" s="141">
        <f ca="1">IFERROR(__xludf.DUMMYFUNCTION("""COMPUTED_VALUE"""),80.62)</f>
        <v>80.62</v>
      </c>
      <c r="E159" s="141">
        <f ca="1">IFERROR(__xludf.DUMMYFUNCTION("""COMPUTED_VALUE"""),80.45)</f>
        <v>80.45</v>
      </c>
      <c r="F159" s="141">
        <f ca="1">IFERROR(__xludf.DUMMYFUNCTION("""COMPUTED_VALUE"""),80.53)</f>
        <v>80.53</v>
      </c>
      <c r="G159" s="143">
        <f ca="1">IFERROR(__xludf.DUMMYFUNCTION("""COMPUTED_VALUE"""),75554165)</f>
        <v>75554165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IFERROR(__xludf.DUMMYFUNCTION("""COMPUTED_VALUE"""),80.67)</f>
        <v>80.67</v>
      </c>
      <c r="D160" s="141">
        <f ca="1">IFERROR(__xludf.DUMMYFUNCTION("""COMPUTED_VALUE"""),80.81)</f>
        <v>80.81</v>
      </c>
      <c r="E160" s="141">
        <f ca="1">IFERROR(__xludf.DUMMYFUNCTION("""COMPUTED_VALUE"""),80.62)</f>
        <v>80.62</v>
      </c>
      <c r="F160" s="141">
        <f ca="1">IFERROR(__xludf.DUMMYFUNCTION("""COMPUTED_VALUE"""),80.81)</f>
        <v>80.81</v>
      </c>
      <c r="G160" s="143">
        <f ca="1">IFERROR(__xludf.DUMMYFUNCTION("""COMPUTED_VALUE"""),40915944)</f>
        <v>40915944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IFERROR(__xludf.DUMMYFUNCTION("""COMPUTED_VALUE"""),80.76)</f>
        <v>80.760000000000005</v>
      </c>
      <c r="D161" s="141">
        <f ca="1">IFERROR(__xludf.DUMMYFUNCTION("""COMPUTED_VALUE"""),80.92)</f>
        <v>80.92</v>
      </c>
      <c r="E161" s="141">
        <f ca="1">IFERROR(__xludf.DUMMYFUNCTION("""COMPUTED_VALUE"""),80.76)</f>
        <v>80.760000000000005</v>
      </c>
      <c r="F161" s="141">
        <f ca="1">IFERROR(__xludf.DUMMYFUNCTION("""COMPUTED_VALUE"""),80.92)</f>
        <v>80.92</v>
      </c>
      <c r="G161" s="143">
        <f ca="1">IFERROR(__xludf.DUMMYFUNCTION("""COMPUTED_VALUE"""),33716914)</f>
        <v>33716914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IFERROR(__xludf.DUMMYFUNCTION("""COMPUTED_VALUE"""),80.95)</f>
        <v>80.95</v>
      </c>
      <c r="D162" s="141">
        <f ca="1">IFERROR(__xludf.DUMMYFUNCTION("""COMPUTED_VALUE"""),81.01)</f>
        <v>81.010000000000005</v>
      </c>
      <c r="E162" s="141">
        <f ca="1">IFERROR(__xludf.DUMMYFUNCTION("""COMPUTED_VALUE"""),80.84)</f>
        <v>80.84</v>
      </c>
      <c r="F162" s="141">
        <f ca="1">IFERROR(__xludf.DUMMYFUNCTION("""COMPUTED_VALUE"""),80.84)</f>
        <v>80.84</v>
      </c>
      <c r="G162" s="143">
        <f ca="1">IFERROR(__xludf.DUMMYFUNCTION("""COMPUTED_VALUE"""),37886149)</f>
        <v>37886149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IFERROR(__xludf.DUMMYFUNCTION("""COMPUTED_VALUE"""),80.9)</f>
        <v>80.900000000000006</v>
      </c>
      <c r="D163" s="141">
        <f ca="1">IFERROR(__xludf.DUMMYFUNCTION("""COMPUTED_VALUE"""),80.93)</f>
        <v>80.930000000000007</v>
      </c>
      <c r="E163" s="141">
        <f ca="1">IFERROR(__xludf.DUMMYFUNCTION("""COMPUTED_VALUE"""),80.72)</f>
        <v>80.72</v>
      </c>
      <c r="F163" s="141">
        <f ca="1">IFERROR(__xludf.DUMMYFUNCTION("""COMPUTED_VALUE"""),80.83)</f>
        <v>80.83</v>
      </c>
      <c r="G163" s="143">
        <f ca="1">IFERROR(__xludf.DUMMYFUNCTION("""COMPUTED_VALUE"""),27272717)</f>
        <v>27272717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IFERROR(__xludf.DUMMYFUNCTION("""COMPUTED_VALUE"""),80.91)</f>
        <v>80.91</v>
      </c>
      <c r="D164" s="141">
        <f ca="1">IFERROR(__xludf.DUMMYFUNCTION("""COMPUTED_VALUE"""),80.97)</f>
        <v>80.97</v>
      </c>
      <c r="E164" s="141">
        <f ca="1">IFERROR(__xludf.DUMMYFUNCTION("""COMPUTED_VALUE"""),80.75)</f>
        <v>80.75</v>
      </c>
      <c r="F164" s="141">
        <f ca="1">IFERROR(__xludf.DUMMYFUNCTION("""COMPUTED_VALUE"""),80.79)</f>
        <v>80.790000000000006</v>
      </c>
      <c r="G164" s="143">
        <f ca="1">IFERROR(__xludf.DUMMYFUNCTION("""COMPUTED_VALUE"""),48457026)</f>
        <v>48457026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IFERROR(__xludf.DUMMYFUNCTION("""COMPUTED_VALUE"""),80.83)</f>
        <v>80.83</v>
      </c>
      <c r="D165" s="141">
        <f ca="1">IFERROR(__xludf.DUMMYFUNCTION("""COMPUTED_VALUE"""),80.94)</f>
        <v>80.94</v>
      </c>
      <c r="E165" s="141">
        <f ca="1">IFERROR(__xludf.DUMMYFUNCTION("""COMPUTED_VALUE"""),80.82)</f>
        <v>80.819999999999993</v>
      </c>
      <c r="F165" s="141">
        <f ca="1">IFERROR(__xludf.DUMMYFUNCTION("""COMPUTED_VALUE"""),80.85)</f>
        <v>80.849999999999994</v>
      </c>
      <c r="G165" s="143">
        <f ca="1">IFERROR(__xludf.DUMMYFUNCTION("""COMPUTED_VALUE"""),36612388)</f>
        <v>36612388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IFERROR(__xludf.DUMMYFUNCTION("""COMPUTED_VALUE"""),80.81)</f>
        <v>80.81</v>
      </c>
      <c r="D166" s="141">
        <f ca="1">IFERROR(__xludf.DUMMYFUNCTION("""COMPUTED_VALUE"""),80.86)</f>
        <v>80.86</v>
      </c>
      <c r="E166" s="141">
        <f ca="1">IFERROR(__xludf.DUMMYFUNCTION("""COMPUTED_VALUE"""),80.74)</f>
        <v>80.739999999999995</v>
      </c>
      <c r="F166" s="141">
        <f ca="1">IFERROR(__xludf.DUMMYFUNCTION("""COMPUTED_VALUE"""),80.81)</f>
        <v>80.81</v>
      </c>
      <c r="G166" s="143">
        <f ca="1">IFERROR(__xludf.DUMMYFUNCTION("""COMPUTED_VALUE"""),35682018)</f>
        <v>35682018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IFERROR(__xludf.DUMMYFUNCTION("""COMPUTED_VALUE"""),80.84)</f>
        <v>80.84</v>
      </c>
      <c r="D167" s="141">
        <f ca="1">IFERROR(__xludf.DUMMYFUNCTION("""COMPUTED_VALUE"""),80.98)</f>
        <v>80.98</v>
      </c>
      <c r="E167" s="141">
        <f ca="1">IFERROR(__xludf.DUMMYFUNCTION("""COMPUTED_VALUE"""),80.81)</f>
        <v>80.81</v>
      </c>
      <c r="F167" s="141">
        <f ca="1">IFERROR(__xludf.DUMMYFUNCTION("""COMPUTED_VALUE"""),80.91)</f>
        <v>80.91</v>
      </c>
      <c r="G167" s="143">
        <f ca="1">IFERROR(__xludf.DUMMYFUNCTION("""COMPUTED_VALUE"""),33943076)</f>
        <v>33943076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IFERROR(__xludf.DUMMYFUNCTION("""COMPUTED_VALUE"""),80.88)</f>
        <v>80.88</v>
      </c>
      <c r="D168" s="141">
        <f ca="1">IFERROR(__xludf.DUMMYFUNCTION("""COMPUTED_VALUE"""),80.94)</f>
        <v>80.94</v>
      </c>
      <c r="E168" s="141">
        <f ca="1">IFERROR(__xludf.DUMMYFUNCTION("""COMPUTED_VALUE"""),80.83)</f>
        <v>80.83</v>
      </c>
      <c r="F168" s="141">
        <f ca="1">IFERROR(__xludf.DUMMYFUNCTION("""COMPUTED_VALUE"""),80.94)</f>
        <v>80.94</v>
      </c>
      <c r="G168" s="143">
        <f ca="1">IFERROR(__xludf.DUMMYFUNCTION("""COMPUTED_VALUE"""),29530978)</f>
        <v>29530978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IFERROR(__xludf.DUMMYFUNCTION("""COMPUTED_VALUE"""),80.93)</f>
        <v>80.930000000000007</v>
      </c>
      <c r="D169" s="141">
        <f ca="1">IFERROR(__xludf.DUMMYFUNCTION("""COMPUTED_VALUE"""),81)</f>
        <v>81</v>
      </c>
      <c r="E169" s="141">
        <f ca="1">IFERROR(__xludf.DUMMYFUNCTION("""COMPUTED_VALUE"""),80.87)</f>
        <v>80.87</v>
      </c>
      <c r="F169" s="141">
        <f ca="1">IFERROR(__xludf.DUMMYFUNCTION("""COMPUTED_VALUE"""),81)</f>
        <v>81</v>
      </c>
      <c r="G169" s="143">
        <f ca="1">IFERROR(__xludf.DUMMYFUNCTION("""COMPUTED_VALUE"""),37959980)</f>
        <v>37959980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IFERROR(__xludf.DUMMYFUNCTION("""COMPUTED_VALUE"""),80.96)</f>
        <v>80.959999999999994</v>
      </c>
      <c r="D170" s="141">
        <f ca="1">IFERROR(__xludf.DUMMYFUNCTION("""COMPUTED_VALUE"""),81.01)</f>
        <v>81.010000000000005</v>
      </c>
      <c r="E170" s="141">
        <f ca="1">IFERROR(__xludf.DUMMYFUNCTION("""COMPUTED_VALUE"""),80.84)</f>
        <v>80.84</v>
      </c>
      <c r="F170" s="141">
        <f ca="1">IFERROR(__xludf.DUMMYFUNCTION("""COMPUTED_VALUE"""),80.87)</f>
        <v>80.87</v>
      </c>
      <c r="G170" s="143">
        <f ca="1">IFERROR(__xludf.DUMMYFUNCTION("""COMPUTED_VALUE"""),32885613)</f>
        <v>32885613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IFERROR(__xludf.DUMMYFUNCTION("""COMPUTED_VALUE"""),80.85)</f>
        <v>80.849999999999994</v>
      </c>
      <c r="D171" s="141">
        <f ca="1">IFERROR(__xludf.DUMMYFUNCTION("""COMPUTED_VALUE"""),80.87)</f>
        <v>80.87</v>
      </c>
      <c r="E171" s="141">
        <f ca="1">IFERROR(__xludf.DUMMYFUNCTION("""COMPUTED_VALUE"""),80.65)</f>
        <v>80.650000000000006</v>
      </c>
      <c r="F171" s="141">
        <f ca="1">IFERROR(__xludf.DUMMYFUNCTION("""COMPUTED_VALUE"""),80.81)</f>
        <v>80.81</v>
      </c>
      <c r="G171" s="143">
        <f ca="1">IFERROR(__xludf.DUMMYFUNCTION("""COMPUTED_VALUE"""),54939904)</f>
        <v>54939904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IFERROR(__xludf.DUMMYFUNCTION("""COMPUTED_VALUE"""),80.82)</f>
        <v>80.819999999999993</v>
      </c>
      <c r="D172" s="141">
        <f ca="1">IFERROR(__xludf.DUMMYFUNCTION("""COMPUTED_VALUE"""),80.93)</f>
        <v>80.930000000000007</v>
      </c>
      <c r="E172" s="141">
        <f ca="1">IFERROR(__xludf.DUMMYFUNCTION("""COMPUTED_VALUE"""),80.82)</f>
        <v>80.819999999999993</v>
      </c>
      <c r="F172" s="141">
        <f ca="1">IFERROR(__xludf.DUMMYFUNCTION("""COMPUTED_VALUE"""),80.92)</f>
        <v>80.92</v>
      </c>
      <c r="G172" s="143">
        <f ca="1">IFERROR(__xludf.DUMMYFUNCTION("""COMPUTED_VALUE"""),28864477)</f>
        <v>28864477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IFERROR(__xludf.DUMMYFUNCTION("""COMPUTED_VALUE"""),80.89)</f>
        <v>80.89</v>
      </c>
      <c r="D173" s="141">
        <f ca="1">IFERROR(__xludf.DUMMYFUNCTION("""COMPUTED_VALUE"""),80.94)</f>
        <v>80.94</v>
      </c>
      <c r="E173" s="141">
        <f ca="1">IFERROR(__xludf.DUMMYFUNCTION("""COMPUTED_VALUE"""),80.76)</f>
        <v>80.760000000000005</v>
      </c>
      <c r="F173" s="141">
        <f ca="1">IFERROR(__xludf.DUMMYFUNCTION("""COMPUTED_VALUE"""),80.85)</f>
        <v>80.849999999999994</v>
      </c>
      <c r="G173" s="143">
        <f ca="1">IFERROR(__xludf.DUMMYFUNCTION("""COMPUTED_VALUE"""),54009952)</f>
        <v>54009952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IFERROR(__xludf.DUMMYFUNCTION("""COMPUTED_VALUE"""),80.75)</f>
        <v>80.75</v>
      </c>
      <c r="D174" s="141">
        <f ca="1">IFERROR(__xludf.DUMMYFUNCTION("""COMPUTED_VALUE"""),80.8)</f>
        <v>80.8</v>
      </c>
      <c r="E174" s="141">
        <f ca="1">IFERROR(__xludf.DUMMYFUNCTION("""COMPUTED_VALUE"""),80.65)</f>
        <v>80.650000000000006</v>
      </c>
      <c r="F174" s="141">
        <f ca="1">IFERROR(__xludf.DUMMYFUNCTION("""COMPUTED_VALUE"""),80.72)</f>
        <v>80.72</v>
      </c>
      <c r="G174" s="143">
        <f ca="1">IFERROR(__xludf.DUMMYFUNCTION("""COMPUTED_VALUE"""),61111450)</f>
        <v>61111450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IFERROR(__xludf.DUMMYFUNCTION("""COMPUTED_VALUE"""),80.06)</f>
        <v>80.06</v>
      </c>
      <c r="D175" s="141">
        <f ca="1">IFERROR(__xludf.DUMMYFUNCTION("""COMPUTED_VALUE"""),80.41)</f>
        <v>80.41</v>
      </c>
      <c r="E175" s="141">
        <f ca="1">IFERROR(__xludf.DUMMYFUNCTION("""COMPUTED_VALUE"""),80.03)</f>
        <v>80.03</v>
      </c>
      <c r="F175" s="141">
        <f ca="1">IFERROR(__xludf.DUMMYFUNCTION("""COMPUTED_VALUE"""),80.28)</f>
        <v>80.28</v>
      </c>
      <c r="G175" s="143">
        <f ca="1">IFERROR(__xludf.DUMMYFUNCTION("""COMPUTED_VALUE"""),74075599)</f>
        <v>74075599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IFERROR(__xludf.DUMMYFUNCTION("""COMPUTED_VALUE"""),79.94)</f>
        <v>79.94</v>
      </c>
      <c r="D176" s="141">
        <f ca="1">IFERROR(__xludf.DUMMYFUNCTION("""COMPUTED_VALUE"""),80.31)</f>
        <v>80.31</v>
      </c>
      <c r="E176" s="141">
        <f ca="1">IFERROR(__xludf.DUMMYFUNCTION("""COMPUTED_VALUE"""),79.84)</f>
        <v>79.84</v>
      </c>
      <c r="F176" s="141">
        <f ca="1">IFERROR(__xludf.DUMMYFUNCTION("""COMPUTED_VALUE"""),80.12)</f>
        <v>80.12</v>
      </c>
      <c r="G176" s="143">
        <f ca="1">IFERROR(__xludf.DUMMYFUNCTION("""COMPUTED_VALUE"""),117917176)</f>
        <v>117917176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IFERROR(__xludf.DUMMYFUNCTION("""COMPUTED_VALUE"""),80.23)</f>
        <v>80.23</v>
      </c>
      <c r="D177" s="141">
        <f ca="1">IFERROR(__xludf.DUMMYFUNCTION("""COMPUTED_VALUE"""),80.45)</f>
        <v>80.45</v>
      </c>
      <c r="E177" s="141">
        <f ca="1">IFERROR(__xludf.DUMMYFUNCTION("""COMPUTED_VALUE"""),80.19)</f>
        <v>80.19</v>
      </c>
      <c r="F177" s="141">
        <f ca="1">IFERROR(__xludf.DUMMYFUNCTION("""COMPUTED_VALUE"""),80.4)</f>
        <v>80.400000000000006</v>
      </c>
      <c r="G177" s="143">
        <f ca="1">IFERROR(__xludf.DUMMYFUNCTION("""COMPUTED_VALUE"""),56955583)</f>
        <v>56955583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IFERROR(__xludf.DUMMYFUNCTION("""COMPUTED_VALUE"""),80.27)</f>
        <v>80.27</v>
      </c>
      <c r="D178" s="141">
        <f ca="1">IFERROR(__xludf.DUMMYFUNCTION("""COMPUTED_VALUE"""),80.31)</f>
        <v>80.31</v>
      </c>
      <c r="E178" s="141">
        <f ca="1">IFERROR(__xludf.DUMMYFUNCTION("""COMPUTED_VALUE"""),80.02)</f>
        <v>80.02</v>
      </c>
      <c r="F178" s="141">
        <f ca="1">IFERROR(__xludf.DUMMYFUNCTION("""COMPUTED_VALUE"""),80.08)</f>
        <v>80.08</v>
      </c>
      <c r="G178" s="143">
        <f ca="1">IFERROR(__xludf.DUMMYFUNCTION("""COMPUTED_VALUE"""),77694155)</f>
        <v>77694155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IFERROR(__xludf.DUMMYFUNCTION("""COMPUTED_VALUE"""),79.75)</f>
        <v>79.75</v>
      </c>
      <c r="D179" s="141">
        <f ca="1">IFERROR(__xludf.DUMMYFUNCTION("""COMPUTED_VALUE"""),80)</f>
        <v>80</v>
      </c>
      <c r="E179" s="141">
        <f ca="1">IFERROR(__xludf.DUMMYFUNCTION("""COMPUTED_VALUE"""),79.65)</f>
        <v>79.650000000000006</v>
      </c>
      <c r="F179" s="141">
        <f ca="1">IFERROR(__xludf.DUMMYFUNCTION("""COMPUTED_VALUE"""),79.69)</f>
        <v>79.69</v>
      </c>
      <c r="G179" s="143">
        <f ca="1">IFERROR(__xludf.DUMMYFUNCTION("""COMPUTED_VALUE"""),81474162)</f>
        <v>81474162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IFERROR(__xludf.DUMMYFUNCTION("""COMPUTED_VALUE"""),79.59)</f>
        <v>79.59</v>
      </c>
      <c r="D180" s="141">
        <f ca="1">IFERROR(__xludf.DUMMYFUNCTION("""COMPUTED_VALUE"""),80.18)</f>
        <v>80.180000000000007</v>
      </c>
      <c r="E180" s="141">
        <f ca="1">IFERROR(__xludf.DUMMYFUNCTION("""COMPUTED_VALUE"""),79.54)</f>
        <v>79.540000000000006</v>
      </c>
      <c r="F180" s="141">
        <f ca="1">IFERROR(__xludf.DUMMYFUNCTION("""COMPUTED_VALUE"""),80.17)</f>
        <v>80.17</v>
      </c>
      <c r="G180" s="143">
        <f ca="1">IFERROR(__xludf.DUMMYFUNCTION("""COMPUTED_VALUE"""),87897685)</f>
        <v>87897685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IFERROR(__xludf.DUMMYFUNCTION("""COMPUTED_VALUE"""),80.05)</f>
        <v>80.05</v>
      </c>
      <c r="D181" s="141">
        <f ca="1">IFERROR(__xludf.DUMMYFUNCTION("""COMPUTED_VALUE"""),80.38)</f>
        <v>80.38</v>
      </c>
      <c r="E181" s="141">
        <f ca="1">IFERROR(__xludf.DUMMYFUNCTION("""COMPUTED_VALUE"""),80.03)</f>
        <v>80.03</v>
      </c>
      <c r="F181" s="141">
        <f ca="1">IFERROR(__xludf.DUMMYFUNCTION("""COMPUTED_VALUE"""),80.04)</f>
        <v>80.040000000000006</v>
      </c>
      <c r="G181" s="143">
        <f ca="1">IFERROR(__xludf.DUMMYFUNCTION("""COMPUTED_VALUE"""),66859034)</f>
        <v>66859034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IFERROR(__xludf.DUMMYFUNCTION("""COMPUTED_VALUE"""),80.01)</f>
        <v>80.010000000000005</v>
      </c>
      <c r="D182" s="141">
        <f ca="1">IFERROR(__xludf.DUMMYFUNCTION("""COMPUTED_VALUE"""),80.04)</f>
        <v>80.040000000000006</v>
      </c>
      <c r="E182" s="141">
        <f ca="1">IFERROR(__xludf.DUMMYFUNCTION("""COMPUTED_VALUE"""),79.81)</f>
        <v>79.81</v>
      </c>
      <c r="F182" s="141">
        <f ca="1">IFERROR(__xludf.DUMMYFUNCTION("""COMPUTED_VALUE"""),79.86)</f>
        <v>79.86</v>
      </c>
      <c r="G182" s="143">
        <f ca="1">IFERROR(__xludf.DUMMYFUNCTION("""COMPUTED_VALUE"""),59983501)</f>
        <v>59983501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IFERROR(__xludf.DUMMYFUNCTION("""COMPUTED_VALUE"""),79.71)</f>
        <v>79.709999999999994</v>
      </c>
      <c r="D183" s="141">
        <f ca="1">IFERROR(__xludf.DUMMYFUNCTION("""COMPUTED_VALUE"""),79.75)</f>
        <v>79.75</v>
      </c>
      <c r="E183" s="141">
        <f ca="1">IFERROR(__xludf.DUMMYFUNCTION("""COMPUTED_VALUE"""),79.32)</f>
        <v>79.319999999999993</v>
      </c>
      <c r="F183" s="141">
        <f ca="1">IFERROR(__xludf.DUMMYFUNCTION("""COMPUTED_VALUE"""),79.35)</f>
        <v>79.349999999999994</v>
      </c>
      <c r="G183" s="143">
        <f ca="1">IFERROR(__xludf.DUMMYFUNCTION("""COMPUTED_VALUE"""),68674396)</f>
        <v>68674396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IFERROR(__xludf.DUMMYFUNCTION("""COMPUTED_VALUE"""),79.51)</f>
        <v>79.510000000000005</v>
      </c>
      <c r="D184" s="141">
        <f ca="1">IFERROR(__xludf.DUMMYFUNCTION("""COMPUTED_VALUE"""),79.68)</f>
        <v>79.680000000000007</v>
      </c>
      <c r="E184" s="141">
        <f ca="1">IFERROR(__xludf.DUMMYFUNCTION("""COMPUTED_VALUE"""),79.12)</f>
        <v>79.12</v>
      </c>
      <c r="F184" s="141">
        <f ca="1">IFERROR(__xludf.DUMMYFUNCTION("""COMPUTED_VALUE"""),79.2)</f>
        <v>79.2</v>
      </c>
      <c r="G184" s="143">
        <f ca="1">IFERROR(__xludf.DUMMYFUNCTION("""COMPUTED_VALUE"""),68652883)</f>
        <v>68652883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IFERROR(__xludf.DUMMYFUNCTION("""COMPUTED_VALUE"""),79.5)</f>
        <v>79.5</v>
      </c>
      <c r="D185" s="141">
        <f ca="1">IFERROR(__xludf.DUMMYFUNCTION("""COMPUTED_VALUE"""),79.67)</f>
        <v>79.67</v>
      </c>
      <c r="E185" s="141">
        <f ca="1">IFERROR(__xludf.DUMMYFUNCTION("""COMPUTED_VALUE"""),79.45)</f>
        <v>79.45</v>
      </c>
      <c r="F185" s="141">
        <f ca="1">IFERROR(__xludf.DUMMYFUNCTION("""COMPUTED_VALUE"""),79.45)</f>
        <v>79.45</v>
      </c>
      <c r="G185" s="143">
        <f ca="1">IFERROR(__xludf.DUMMYFUNCTION("""COMPUTED_VALUE"""),57535581)</f>
        <v>57535581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IFERROR(__xludf.DUMMYFUNCTION("""COMPUTED_VALUE"""),79.6)</f>
        <v>79.599999999999994</v>
      </c>
      <c r="D186" s="141">
        <f ca="1">IFERROR(__xludf.DUMMYFUNCTION("""COMPUTED_VALUE"""),79.82)</f>
        <v>79.819999999999993</v>
      </c>
      <c r="E186" s="141">
        <f ca="1">IFERROR(__xludf.DUMMYFUNCTION("""COMPUTED_VALUE"""),79.57)</f>
        <v>79.569999999999993</v>
      </c>
      <c r="F186" s="141">
        <f ca="1">IFERROR(__xludf.DUMMYFUNCTION("""COMPUTED_VALUE"""),79.81)</f>
        <v>79.81</v>
      </c>
      <c r="G186" s="143">
        <f ca="1">IFERROR(__xludf.DUMMYFUNCTION("""COMPUTED_VALUE"""),47967819)</f>
        <v>47967819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IFERROR(__xludf.DUMMYFUNCTION("""COMPUTED_VALUE"""),79.7)</f>
        <v>79.7</v>
      </c>
      <c r="D187" s="141">
        <f ca="1">IFERROR(__xludf.DUMMYFUNCTION("""COMPUTED_VALUE"""),79.75)</f>
        <v>79.75</v>
      </c>
      <c r="E187" s="141">
        <f ca="1">IFERROR(__xludf.DUMMYFUNCTION("""COMPUTED_VALUE"""),79.39)</f>
        <v>79.39</v>
      </c>
      <c r="F187" s="141">
        <f ca="1">IFERROR(__xludf.DUMMYFUNCTION("""COMPUTED_VALUE"""),79.4)</f>
        <v>79.400000000000006</v>
      </c>
      <c r="G187" s="143">
        <f ca="1">IFERROR(__xludf.DUMMYFUNCTION("""COMPUTED_VALUE"""),50281901)</f>
        <v>50281901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IFERROR(__xludf.DUMMYFUNCTION("""COMPUTED_VALUE"""),79)</f>
        <v>79</v>
      </c>
      <c r="D188" s="141">
        <f ca="1">IFERROR(__xludf.DUMMYFUNCTION("""COMPUTED_VALUE"""),79.69)</f>
        <v>79.69</v>
      </c>
      <c r="E188" s="141">
        <f ca="1">IFERROR(__xludf.DUMMYFUNCTION("""COMPUTED_VALUE"""),78.99)</f>
        <v>78.989999999999995</v>
      </c>
      <c r="F188" s="141">
        <f ca="1">IFERROR(__xludf.DUMMYFUNCTION("""COMPUTED_VALUE"""),79.66)</f>
        <v>79.66</v>
      </c>
      <c r="G188" s="143">
        <f ca="1">IFERROR(__xludf.DUMMYFUNCTION("""COMPUTED_VALUE"""),103981597)</f>
        <v>103981597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IFERROR(__xludf.DUMMYFUNCTION("""COMPUTED_VALUE"""),79.49)</f>
        <v>79.489999999999995</v>
      </c>
      <c r="D189" s="141">
        <f ca="1">IFERROR(__xludf.DUMMYFUNCTION("""COMPUTED_VALUE"""),79.53)</f>
        <v>79.53</v>
      </c>
      <c r="E189" s="141">
        <f ca="1">IFERROR(__xludf.DUMMYFUNCTION("""COMPUTED_VALUE"""),78.85)</f>
        <v>78.849999999999994</v>
      </c>
      <c r="F189" s="141">
        <f ca="1">IFERROR(__xludf.DUMMYFUNCTION("""COMPUTED_VALUE"""),78.92)</f>
        <v>78.92</v>
      </c>
      <c r="G189" s="143">
        <f ca="1">IFERROR(__xludf.DUMMYFUNCTION("""COMPUTED_VALUE"""),109084829)</f>
        <v>109084829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IFERROR(__xludf.DUMMYFUNCTION("""COMPUTED_VALUE"""),79.3)</f>
        <v>79.3</v>
      </c>
      <c r="D190" s="141">
        <f ca="1">IFERROR(__xludf.DUMMYFUNCTION("""COMPUTED_VALUE"""),79.7)</f>
        <v>79.7</v>
      </c>
      <c r="E190" s="141">
        <f ca="1">IFERROR(__xludf.DUMMYFUNCTION("""COMPUTED_VALUE"""),79.17)</f>
        <v>79.17</v>
      </c>
      <c r="F190" s="141">
        <f ca="1">IFERROR(__xludf.DUMMYFUNCTION("""COMPUTED_VALUE"""),79.44)</f>
        <v>79.44</v>
      </c>
      <c r="G190" s="143">
        <f ca="1">IFERROR(__xludf.DUMMYFUNCTION("""COMPUTED_VALUE"""),79015758)</f>
        <v>79015758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IFERROR(__xludf.DUMMYFUNCTION("""COMPUTED_VALUE"""),79.26)</f>
        <v>79.260000000000005</v>
      </c>
      <c r="D191" s="141">
        <f ca="1">IFERROR(__xludf.DUMMYFUNCTION("""COMPUTED_VALUE"""),79.41)</f>
        <v>79.41</v>
      </c>
      <c r="E191" s="141">
        <f ca="1">IFERROR(__xludf.DUMMYFUNCTION("""COMPUTED_VALUE"""),79.06)</f>
        <v>79.06</v>
      </c>
      <c r="F191" s="141">
        <f ca="1">IFERROR(__xludf.DUMMYFUNCTION("""COMPUTED_VALUE"""),79.17)</f>
        <v>79.17</v>
      </c>
      <c r="G191" s="143">
        <f ca="1">IFERROR(__xludf.DUMMYFUNCTION("""COMPUTED_VALUE"""),71941579)</f>
        <v>71941579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IFERROR(__xludf.DUMMYFUNCTION("""COMPUTED_VALUE"""),79.46)</f>
        <v>79.459999999999994</v>
      </c>
      <c r="D192" s="141">
        <f ca="1">IFERROR(__xludf.DUMMYFUNCTION("""COMPUTED_VALUE"""),79.58)</f>
        <v>79.58</v>
      </c>
      <c r="E192" s="141">
        <f ca="1">IFERROR(__xludf.DUMMYFUNCTION("""COMPUTED_VALUE"""),79.35)</f>
        <v>79.349999999999994</v>
      </c>
      <c r="F192" s="141">
        <f ca="1">IFERROR(__xludf.DUMMYFUNCTION("""COMPUTED_VALUE"""),79.42)</f>
        <v>79.42</v>
      </c>
      <c r="G192" s="143">
        <f ca="1">IFERROR(__xludf.DUMMYFUNCTION("""COMPUTED_VALUE"""),49917692)</f>
        <v>49917692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IFERROR(__xludf.DUMMYFUNCTION("""COMPUTED_VALUE"""),79.25)</f>
        <v>79.25</v>
      </c>
      <c r="D193" s="141">
        <f ca="1">IFERROR(__xludf.DUMMYFUNCTION("""COMPUTED_VALUE"""),79.33)</f>
        <v>79.33</v>
      </c>
      <c r="E193" s="141">
        <f ca="1">IFERROR(__xludf.DUMMYFUNCTION("""COMPUTED_VALUE"""),78.8)</f>
        <v>78.8</v>
      </c>
      <c r="F193" s="141">
        <f ca="1">IFERROR(__xludf.DUMMYFUNCTION("""COMPUTED_VALUE"""),78.92)</f>
        <v>78.92</v>
      </c>
      <c r="G193" s="143">
        <f ca="1">IFERROR(__xludf.DUMMYFUNCTION("""COMPUTED_VALUE"""),74979324)</f>
        <v>74979324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IFERROR(__xludf.DUMMYFUNCTION("""COMPUTED_VALUE"""),78.83)</f>
        <v>78.83</v>
      </c>
      <c r="D194" s="141">
        <f ca="1">IFERROR(__xludf.DUMMYFUNCTION("""COMPUTED_VALUE"""),78.83)</f>
        <v>78.83</v>
      </c>
      <c r="E194" s="141">
        <f ca="1">IFERROR(__xludf.DUMMYFUNCTION("""COMPUTED_VALUE"""),78.57)</f>
        <v>78.569999999999993</v>
      </c>
      <c r="F194" s="141">
        <f ca="1">IFERROR(__xludf.DUMMYFUNCTION("""COMPUTED_VALUE"""),78.72)</f>
        <v>78.72</v>
      </c>
      <c r="G194" s="143">
        <f ca="1">IFERROR(__xludf.DUMMYFUNCTION("""COMPUTED_VALUE"""),68174284)</f>
        <v>68174284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IFERROR(__xludf.DUMMYFUNCTION("""COMPUTED_VALUE"""),79.02)</f>
        <v>79.02</v>
      </c>
      <c r="D195" s="141">
        <f ca="1">IFERROR(__xludf.DUMMYFUNCTION("""COMPUTED_VALUE"""),79.1)</f>
        <v>79.099999999999994</v>
      </c>
      <c r="E195" s="141">
        <f ca="1">IFERROR(__xludf.DUMMYFUNCTION("""COMPUTED_VALUE"""),78.76)</f>
        <v>78.760000000000005</v>
      </c>
      <c r="F195" s="141">
        <f ca="1">IFERROR(__xludf.DUMMYFUNCTION("""COMPUTED_VALUE"""),78.81)</f>
        <v>78.81</v>
      </c>
      <c r="G195" s="143">
        <f ca="1">IFERROR(__xludf.DUMMYFUNCTION("""COMPUTED_VALUE"""),55210749)</f>
        <v>55210749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IFERROR(__xludf.DUMMYFUNCTION("""COMPUTED_VALUE"""),79.16)</f>
        <v>79.16</v>
      </c>
      <c r="D196" s="141">
        <f ca="1">IFERROR(__xludf.DUMMYFUNCTION("""COMPUTED_VALUE"""),79.61)</f>
        <v>79.61</v>
      </c>
      <c r="E196" s="141">
        <f ca="1">IFERROR(__xludf.DUMMYFUNCTION("""COMPUTED_VALUE"""),79.12)</f>
        <v>79.12</v>
      </c>
      <c r="F196" s="141">
        <f ca="1">IFERROR(__xludf.DUMMYFUNCTION("""COMPUTED_VALUE"""),79.56)</f>
        <v>79.56</v>
      </c>
      <c r="G196" s="143">
        <f ca="1">IFERROR(__xludf.DUMMYFUNCTION("""COMPUTED_VALUE"""),101521289)</f>
        <v>101521289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IFERROR(__xludf.DUMMYFUNCTION("""COMPUTED_VALUE"""),79.35)</f>
        <v>79.349999999999994</v>
      </c>
      <c r="D197" s="141">
        <f ca="1">IFERROR(__xludf.DUMMYFUNCTION("""COMPUTED_VALUE"""),79.46)</f>
        <v>79.459999999999994</v>
      </c>
      <c r="E197" s="141">
        <f ca="1">IFERROR(__xludf.DUMMYFUNCTION("""COMPUTED_VALUE"""),79.24)</f>
        <v>79.239999999999995</v>
      </c>
      <c r="F197" s="141">
        <f ca="1">IFERROR(__xludf.DUMMYFUNCTION("""COMPUTED_VALUE"""),79.37)</f>
        <v>79.37</v>
      </c>
      <c r="G197" s="143">
        <f ca="1">IFERROR(__xludf.DUMMYFUNCTION("""COMPUTED_VALUE"""),69789240)</f>
        <v>69789240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IFERROR(__xludf.DUMMYFUNCTION("""COMPUTED_VALUE"""),79.08)</f>
        <v>79.08</v>
      </c>
      <c r="D198" s="141">
        <f ca="1">IFERROR(__xludf.DUMMYFUNCTION("""COMPUTED_VALUE"""),79.63)</f>
        <v>79.63</v>
      </c>
      <c r="E198" s="141">
        <f ca="1">IFERROR(__xludf.DUMMYFUNCTION("""COMPUTED_VALUE"""),79.08)</f>
        <v>79.08</v>
      </c>
      <c r="F198" s="141">
        <f ca="1">IFERROR(__xludf.DUMMYFUNCTION("""COMPUTED_VALUE"""),79.56)</f>
        <v>79.56</v>
      </c>
      <c r="G198" s="143">
        <f ca="1">IFERROR(__xludf.DUMMYFUNCTION("""COMPUTED_VALUE"""),53828180)</f>
        <v>53828180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IFERROR(__xludf.DUMMYFUNCTION("""COMPUTED_VALUE"""),79.51)</f>
        <v>79.510000000000005</v>
      </c>
      <c r="D199" s="141">
        <f ca="1">IFERROR(__xludf.DUMMYFUNCTION("""COMPUTED_VALUE"""),79.71)</f>
        <v>79.709999999999994</v>
      </c>
      <c r="E199" s="141">
        <f ca="1">IFERROR(__xludf.DUMMYFUNCTION("""COMPUTED_VALUE"""),79.5)</f>
        <v>79.5</v>
      </c>
      <c r="F199" s="141">
        <f ca="1">IFERROR(__xludf.DUMMYFUNCTION("""COMPUTED_VALUE"""),79.7)</f>
        <v>79.7</v>
      </c>
      <c r="G199" s="143">
        <f ca="1">IFERROR(__xludf.DUMMYFUNCTION("""COMPUTED_VALUE"""),37098344)</f>
        <v>37098344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IFERROR(__xludf.DUMMYFUNCTION("""COMPUTED_VALUE"""),79.67)</f>
        <v>79.67</v>
      </c>
      <c r="D200" s="141">
        <f ca="1">IFERROR(__xludf.DUMMYFUNCTION("""COMPUTED_VALUE"""),79.74)</f>
        <v>79.739999999999995</v>
      </c>
      <c r="E200" s="141">
        <f ca="1">IFERROR(__xludf.DUMMYFUNCTION("""COMPUTED_VALUE"""),79.32)</f>
        <v>79.319999999999993</v>
      </c>
      <c r="F200" s="141">
        <f ca="1">IFERROR(__xludf.DUMMYFUNCTION("""COMPUTED_VALUE"""),79.72)</f>
        <v>79.72</v>
      </c>
      <c r="G200" s="143">
        <f ca="1">IFERROR(__xludf.DUMMYFUNCTION("""COMPUTED_VALUE"""),47264067)</f>
        <v>47264067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IFERROR(__xludf.DUMMYFUNCTION("""COMPUTED_VALUE"""),80.47)</f>
        <v>80.47</v>
      </c>
      <c r="D201" s="141">
        <f ca="1">IFERROR(__xludf.DUMMYFUNCTION("""COMPUTED_VALUE"""),80.52)</f>
        <v>80.52</v>
      </c>
      <c r="E201" s="141">
        <f ca="1">IFERROR(__xludf.DUMMYFUNCTION("""COMPUTED_VALUE"""),80.03)</f>
        <v>80.03</v>
      </c>
      <c r="F201" s="141">
        <f ca="1">IFERROR(__xludf.DUMMYFUNCTION("""COMPUTED_VALUE"""),80.19)</f>
        <v>80.19</v>
      </c>
      <c r="G201" s="143">
        <f ca="1">IFERROR(__xludf.DUMMYFUNCTION("""COMPUTED_VALUE"""),58556402)</f>
        <v>58556402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IFERROR(__xludf.DUMMYFUNCTION("""COMPUTED_VALUE"""),80.15)</f>
        <v>80.150000000000006</v>
      </c>
      <c r="D202" s="141">
        <f ca="1">IFERROR(__xludf.DUMMYFUNCTION("""COMPUTED_VALUE"""),80.39)</f>
        <v>80.39</v>
      </c>
      <c r="E202" s="141">
        <f ca="1">IFERROR(__xludf.DUMMYFUNCTION("""COMPUTED_VALUE"""),80)</f>
        <v>80</v>
      </c>
      <c r="F202" s="141">
        <f ca="1">IFERROR(__xludf.DUMMYFUNCTION("""COMPUTED_VALUE"""),80.28)</f>
        <v>80.28</v>
      </c>
      <c r="G202" s="143">
        <f ca="1">IFERROR(__xludf.DUMMYFUNCTION("""COMPUTED_VALUE"""),45207498)</f>
        <v>45207498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IFERROR(__xludf.DUMMYFUNCTION("""COMPUTED_VALUE"""),80.34)</f>
        <v>80.34</v>
      </c>
      <c r="D203" s="141">
        <f ca="1">IFERROR(__xludf.DUMMYFUNCTION("""COMPUTED_VALUE"""),80.34)</f>
        <v>80.34</v>
      </c>
      <c r="E203" s="141">
        <f ca="1">IFERROR(__xludf.DUMMYFUNCTION("""COMPUTED_VALUE"""),79.95)</f>
        <v>79.95</v>
      </c>
      <c r="F203" s="141">
        <f ca="1">IFERROR(__xludf.DUMMYFUNCTION("""COMPUTED_VALUE"""),79.96)</f>
        <v>79.959999999999994</v>
      </c>
      <c r="G203" s="143">
        <f ca="1">IFERROR(__xludf.DUMMYFUNCTION("""COMPUTED_VALUE"""),33005616)</f>
        <v>33005616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IFERROR(__xludf.DUMMYFUNCTION("""COMPUTED_VALUE"""),79.88)</f>
        <v>79.88</v>
      </c>
      <c r="D204" s="141">
        <f ca="1">IFERROR(__xludf.DUMMYFUNCTION("""COMPUTED_VALUE"""),80.27)</f>
        <v>80.27</v>
      </c>
      <c r="E204" s="141">
        <f ca="1">IFERROR(__xludf.DUMMYFUNCTION("""COMPUTED_VALUE"""),79.88)</f>
        <v>79.88</v>
      </c>
      <c r="F204" s="141">
        <f ca="1">IFERROR(__xludf.DUMMYFUNCTION("""COMPUTED_VALUE"""),80.26)</f>
        <v>80.260000000000005</v>
      </c>
      <c r="G204" s="143">
        <f ca="1">IFERROR(__xludf.DUMMYFUNCTION("""COMPUTED_VALUE"""),38561390)</f>
        <v>38561390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IFERROR(__xludf.DUMMYFUNCTION("""COMPUTED_VALUE"""),80.34)</f>
        <v>80.34</v>
      </c>
      <c r="D205" s="141">
        <f ca="1">IFERROR(__xludf.DUMMYFUNCTION("""COMPUTED_VALUE"""),80.56)</f>
        <v>80.56</v>
      </c>
      <c r="E205" s="141">
        <f ca="1">IFERROR(__xludf.DUMMYFUNCTION("""COMPUTED_VALUE"""),80.29)</f>
        <v>80.290000000000006</v>
      </c>
      <c r="F205" s="141">
        <f ca="1">IFERROR(__xludf.DUMMYFUNCTION("""COMPUTED_VALUE"""),80.5)</f>
        <v>80.5</v>
      </c>
      <c r="G205" s="143">
        <f ca="1">IFERROR(__xludf.DUMMYFUNCTION("""COMPUTED_VALUE"""),42037974)</f>
        <v>42037974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IFERROR(__xludf.DUMMYFUNCTION("""COMPUTED_VALUE"""),80.45)</f>
        <v>80.45</v>
      </c>
      <c r="D206" s="141">
        <f ca="1">IFERROR(__xludf.DUMMYFUNCTION("""COMPUTED_VALUE"""),80.49)</f>
        <v>80.489999999999995</v>
      </c>
      <c r="E206" s="141">
        <f ca="1">IFERROR(__xludf.DUMMYFUNCTION("""COMPUTED_VALUE"""),80.35)</f>
        <v>80.349999999999994</v>
      </c>
      <c r="F206" s="141">
        <f ca="1">IFERROR(__xludf.DUMMYFUNCTION("""COMPUTED_VALUE"""),80.46)</f>
        <v>80.459999999999994</v>
      </c>
      <c r="G206" s="143">
        <f ca="1">IFERROR(__xludf.DUMMYFUNCTION("""COMPUTED_VALUE"""),47834907)</f>
        <v>47834907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IFERROR(__xludf.DUMMYFUNCTION("""COMPUTED_VALUE"""),80.53)</f>
        <v>80.53</v>
      </c>
      <c r="D207" s="141">
        <f ca="1">IFERROR(__xludf.DUMMYFUNCTION("""COMPUTED_VALUE"""),80.53)</f>
        <v>80.53</v>
      </c>
      <c r="E207" s="141">
        <f ca="1">IFERROR(__xludf.DUMMYFUNCTION("""COMPUTED_VALUE"""),80.26)</f>
        <v>80.260000000000005</v>
      </c>
      <c r="F207" s="141">
        <f ca="1">IFERROR(__xludf.DUMMYFUNCTION("""COMPUTED_VALUE"""),80.35)</f>
        <v>80.349999999999994</v>
      </c>
      <c r="G207" s="143">
        <f ca="1">IFERROR(__xludf.DUMMYFUNCTION("""COMPUTED_VALUE"""),37743430)</f>
        <v>37743430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IFERROR(__xludf.DUMMYFUNCTION("""COMPUTED_VALUE"""),80.6)</f>
        <v>80.599999999999994</v>
      </c>
      <c r="D208" s="141">
        <f ca="1">IFERROR(__xludf.DUMMYFUNCTION("""COMPUTED_VALUE"""),80.76)</f>
        <v>80.760000000000005</v>
      </c>
      <c r="E208" s="141">
        <f ca="1">IFERROR(__xludf.DUMMYFUNCTION("""COMPUTED_VALUE"""),80.56)</f>
        <v>80.56</v>
      </c>
      <c r="F208" s="141">
        <f ca="1">IFERROR(__xludf.DUMMYFUNCTION("""COMPUTED_VALUE"""),80.65)</f>
        <v>80.650000000000006</v>
      </c>
      <c r="G208" s="143">
        <f ca="1">IFERROR(__xludf.DUMMYFUNCTION("""COMPUTED_VALUE"""),61651591)</f>
        <v>61651591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IFERROR(__xludf.DUMMYFUNCTION("""COMPUTED_VALUE"""),80.63)</f>
        <v>80.63</v>
      </c>
      <c r="D209" s="141">
        <f ca="1">IFERROR(__xludf.DUMMYFUNCTION("""COMPUTED_VALUE"""),80.67)</f>
        <v>80.67</v>
      </c>
      <c r="E209" s="141">
        <f ca="1">IFERROR(__xludf.DUMMYFUNCTION("""COMPUTED_VALUE"""),80.5)</f>
        <v>80.5</v>
      </c>
      <c r="F209" s="141">
        <f ca="1">IFERROR(__xludf.DUMMYFUNCTION("""COMPUTED_VALUE"""),80.58)</f>
        <v>80.58</v>
      </c>
      <c r="G209" s="143">
        <f ca="1">IFERROR(__xludf.DUMMYFUNCTION("""COMPUTED_VALUE"""),21104436)</f>
        <v>21104436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IFERROR(__xludf.DUMMYFUNCTION("""COMPUTED_VALUE"""),80.55)</f>
        <v>80.55</v>
      </c>
      <c r="D210" s="141">
        <f ca="1">IFERROR(__xludf.DUMMYFUNCTION("""COMPUTED_VALUE"""),80.58)</f>
        <v>80.58</v>
      </c>
      <c r="E210" s="141">
        <f ca="1">IFERROR(__xludf.DUMMYFUNCTION("""COMPUTED_VALUE"""),80.31)</f>
        <v>80.31</v>
      </c>
      <c r="F210" s="141">
        <f ca="1">IFERROR(__xludf.DUMMYFUNCTION("""COMPUTED_VALUE"""),80.37)</f>
        <v>80.37</v>
      </c>
      <c r="G210" s="143">
        <f ca="1">IFERROR(__xludf.DUMMYFUNCTION("""COMPUTED_VALUE"""),58623602)</f>
        <v>58623602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IFERROR(__xludf.DUMMYFUNCTION("""COMPUTED_VALUE"""),80.5)</f>
        <v>80.5</v>
      </c>
      <c r="D211" s="141">
        <f ca="1">IFERROR(__xludf.DUMMYFUNCTION("""COMPUTED_VALUE"""),80.57)</f>
        <v>80.569999999999993</v>
      </c>
      <c r="E211" s="141">
        <f ca="1">IFERROR(__xludf.DUMMYFUNCTION("""COMPUTED_VALUE"""),80.42)</f>
        <v>80.42</v>
      </c>
      <c r="F211" s="141">
        <f ca="1">IFERROR(__xludf.DUMMYFUNCTION("""COMPUTED_VALUE"""),80.5)</f>
        <v>80.5</v>
      </c>
      <c r="G211" s="143">
        <f ca="1">IFERROR(__xludf.DUMMYFUNCTION("""COMPUTED_VALUE"""),28004652)</f>
        <v>28004652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IFERROR(__xludf.DUMMYFUNCTION("""COMPUTED_VALUE"""),80.46)</f>
        <v>80.459999999999994</v>
      </c>
      <c r="D212" s="141">
        <f ca="1">IFERROR(__xludf.DUMMYFUNCTION("""COMPUTED_VALUE"""),80.55)</f>
        <v>80.55</v>
      </c>
      <c r="E212" s="141">
        <f ca="1">IFERROR(__xludf.DUMMYFUNCTION("""COMPUTED_VALUE"""),80.16)</f>
        <v>80.16</v>
      </c>
      <c r="F212" s="141">
        <f ca="1">IFERROR(__xludf.DUMMYFUNCTION("""COMPUTED_VALUE"""),80.37)</f>
        <v>80.37</v>
      </c>
      <c r="G212" s="143">
        <f ca="1">IFERROR(__xludf.DUMMYFUNCTION("""COMPUTED_VALUE"""),49921724)</f>
        <v>49921724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IFERROR(__xludf.DUMMYFUNCTION("""COMPUTED_VALUE"""),80.44)</f>
        <v>80.44</v>
      </c>
      <c r="D213" s="141">
        <f ca="1">IFERROR(__xludf.DUMMYFUNCTION("""COMPUTED_VALUE"""),80.53)</f>
        <v>80.53</v>
      </c>
      <c r="E213" s="141">
        <f ca="1">IFERROR(__xludf.DUMMYFUNCTION("""COMPUTED_VALUE"""),80.3)</f>
        <v>80.3</v>
      </c>
      <c r="F213" s="141">
        <f ca="1">IFERROR(__xludf.DUMMYFUNCTION("""COMPUTED_VALUE"""),80.48)</f>
        <v>80.48</v>
      </c>
      <c r="G213" s="143">
        <f ca="1">IFERROR(__xludf.DUMMYFUNCTION("""COMPUTED_VALUE"""),33626256)</f>
        <v>33626256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IFERROR(__xludf.DUMMYFUNCTION("""COMPUTED_VALUE"""),80.44)</f>
        <v>80.44</v>
      </c>
      <c r="D214" s="141">
        <f ca="1">IFERROR(__xludf.DUMMYFUNCTION("""COMPUTED_VALUE"""),80.54)</f>
        <v>80.540000000000006</v>
      </c>
      <c r="E214" s="141">
        <f ca="1">IFERROR(__xludf.DUMMYFUNCTION("""COMPUTED_VALUE"""),80.42)</f>
        <v>80.42</v>
      </c>
      <c r="F214" s="141">
        <f ca="1">IFERROR(__xludf.DUMMYFUNCTION("""COMPUTED_VALUE"""),80.51)</f>
        <v>80.510000000000005</v>
      </c>
      <c r="G214" s="143">
        <f ca="1">IFERROR(__xludf.DUMMYFUNCTION("""COMPUTED_VALUE"""),24643719)</f>
        <v>24643719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IFERROR(__xludf.DUMMYFUNCTION("""COMPUTED_VALUE"""),80.35)</f>
        <v>80.349999999999994</v>
      </c>
      <c r="D215" s="141">
        <f ca="1">IFERROR(__xludf.DUMMYFUNCTION("""COMPUTED_VALUE"""),80.43)</f>
        <v>80.430000000000007</v>
      </c>
      <c r="E215" s="141">
        <f ca="1">IFERROR(__xludf.DUMMYFUNCTION("""COMPUTED_VALUE"""),80.33)</f>
        <v>80.33</v>
      </c>
      <c r="F215" s="141">
        <f ca="1">IFERROR(__xludf.DUMMYFUNCTION("""COMPUTED_VALUE"""),80.4)</f>
        <v>80.400000000000006</v>
      </c>
      <c r="G215" s="143">
        <f ca="1">IFERROR(__xludf.DUMMYFUNCTION("""COMPUTED_VALUE"""),36382406)</f>
        <v>36382406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IFERROR(__xludf.DUMMYFUNCTION("""COMPUTED_VALUE"""),80.32)</f>
        <v>80.319999999999993</v>
      </c>
      <c r="D216" s="141">
        <f ca="1">IFERROR(__xludf.DUMMYFUNCTION("""COMPUTED_VALUE"""),80.34)</f>
        <v>80.34</v>
      </c>
      <c r="E216" s="141">
        <f ca="1">IFERROR(__xludf.DUMMYFUNCTION("""COMPUTED_VALUE"""),79.98)</f>
        <v>79.98</v>
      </c>
      <c r="F216" s="141">
        <f ca="1">IFERROR(__xludf.DUMMYFUNCTION("""COMPUTED_VALUE"""),80.13)</f>
        <v>80.13</v>
      </c>
      <c r="G216" s="143">
        <f ca="1">IFERROR(__xludf.DUMMYFUNCTION("""COMPUTED_VALUE"""),56809354)</f>
        <v>56809354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IFERROR(__xludf.DUMMYFUNCTION("""COMPUTED_VALUE"""),80.18)</f>
        <v>80.180000000000007</v>
      </c>
      <c r="D217" s="141">
        <f ca="1">IFERROR(__xludf.DUMMYFUNCTION("""COMPUTED_VALUE"""),80.42)</f>
        <v>80.42</v>
      </c>
      <c r="E217" s="141">
        <f ca="1">IFERROR(__xludf.DUMMYFUNCTION("""COMPUTED_VALUE"""),80.17)</f>
        <v>80.17</v>
      </c>
      <c r="F217" s="141">
        <f ca="1">IFERROR(__xludf.DUMMYFUNCTION("""COMPUTED_VALUE"""),80.38)</f>
        <v>80.38</v>
      </c>
      <c r="G217" s="143">
        <f ca="1">IFERROR(__xludf.DUMMYFUNCTION("""COMPUTED_VALUE"""),51626062)</f>
        <v>51626062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IFERROR(__xludf.DUMMYFUNCTION("""COMPUTED_VALUE"""),80.06)</f>
        <v>80.06</v>
      </c>
      <c r="D218" s="141">
        <f ca="1">IFERROR(__xludf.DUMMYFUNCTION("""COMPUTED_VALUE"""),80.23)</f>
        <v>80.23</v>
      </c>
      <c r="E218" s="141">
        <f ca="1">IFERROR(__xludf.DUMMYFUNCTION("""COMPUTED_VALUE"""),80.03)</f>
        <v>80.03</v>
      </c>
      <c r="F218" s="141">
        <f ca="1">IFERROR(__xludf.DUMMYFUNCTION("""COMPUTED_VALUE"""),80.06)</f>
        <v>80.06</v>
      </c>
      <c r="G218" s="143">
        <f ca="1">IFERROR(__xludf.DUMMYFUNCTION("""COMPUTED_VALUE"""),43740437)</f>
        <v>43740437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IFERROR(__xludf.DUMMYFUNCTION("""COMPUTED_VALUE"""),80.02)</f>
        <v>80.02</v>
      </c>
      <c r="D219" s="141">
        <f ca="1">IFERROR(__xludf.DUMMYFUNCTION("""COMPUTED_VALUE"""),80.02)</f>
        <v>80.02</v>
      </c>
      <c r="E219" s="141">
        <f ca="1">IFERROR(__xludf.DUMMYFUNCTION("""COMPUTED_VALUE"""),79.69)</f>
        <v>79.69</v>
      </c>
      <c r="F219" s="141">
        <f ca="1">IFERROR(__xludf.DUMMYFUNCTION("""COMPUTED_VALUE"""),79.8)</f>
        <v>79.8</v>
      </c>
      <c r="G219" s="143">
        <f ca="1">IFERROR(__xludf.DUMMYFUNCTION("""COMPUTED_VALUE"""),35069330)</f>
        <v>35069330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IFERROR(__xludf.DUMMYFUNCTION("""COMPUTED_VALUE"""),79.89)</f>
        <v>79.89</v>
      </c>
      <c r="D220" s="141">
        <f ca="1">IFERROR(__xludf.DUMMYFUNCTION("""COMPUTED_VALUE"""),80.02)</f>
        <v>80.02</v>
      </c>
      <c r="E220" s="141">
        <f ca="1">IFERROR(__xludf.DUMMYFUNCTION("""COMPUTED_VALUE"""),79.89)</f>
        <v>79.89</v>
      </c>
      <c r="F220" s="141">
        <f ca="1">IFERROR(__xludf.DUMMYFUNCTION("""COMPUTED_VALUE"""),79.92)</f>
        <v>79.92</v>
      </c>
      <c r="G220" s="143">
        <f ca="1">IFERROR(__xludf.DUMMYFUNCTION("""COMPUTED_VALUE"""),26357878)</f>
        <v>26357878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IFERROR(__xludf.DUMMYFUNCTION("""COMPUTED_VALUE"""),80.09)</f>
        <v>80.09</v>
      </c>
      <c r="D221" s="141">
        <f ca="1">IFERROR(__xludf.DUMMYFUNCTION("""COMPUTED_VALUE"""),80.24)</f>
        <v>80.239999999999995</v>
      </c>
      <c r="E221" s="141">
        <f ca="1">IFERROR(__xludf.DUMMYFUNCTION("""COMPUTED_VALUE"""),80.08)</f>
        <v>80.08</v>
      </c>
      <c r="F221" s="141">
        <f ca="1">IFERROR(__xludf.DUMMYFUNCTION("""COMPUTED_VALUE"""),80.16)</f>
        <v>80.16</v>
      </c>
      <c r="G221" s="143">
        <f ca="1">IFERROR(__xludf.DUMMYFUNCTION("""COMPUTED_VALUE"""),38323120)</f>
        <v>38323120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IFERROR(__xludf.DUMMYFUNCTION("""COMPUTED_VALUE"""),80.22)</f>
        <v>80.22</v>
      </c>
      <c r="D222" s="141">
        <f ca="1">IFERROR(__xludf.DUMMYFUNCTION("""COMPUTED_VALUE"""),80.24)</f>
        <v>80.239999999999995</v>
      </c>
      <c r="E222" s="141">
        <f ca="1">IFERROR(__xludf.DUMMYFUNCTION("""COMPUTED_VALUE"""),79.86)</f>
        <v>79.86</v>
      </c>
      <c r="F222" s="141">
        <f ca="1">IFERROR(__xludf.DUMMYFUNCTION("""COMPUTED_VALUE"""),79.86)</f>
        <v>79.86</v>
      </c>
      <c r="G222" s="143">
        <f ca="1">IFERROR(__xludf.DUMMYFUNCTION("""COMPUTED_VALUE"""),44772982)</f>
        <v>44772982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IFERROR(__xludf.DUMMYFUNCTION("""COMPUTED_VALUE"""),80.01)</f>
        <v>80.010000000000005</v>
      </c>
      <c r="D223" s="141">
        <f ca="1">IFERROR(__xludf.DUMMYFUNCTION("""COMPUTED_VALUE"""),80.15)</f>
        <v>80.150000000000006</v>
      </c>
      <c r="E223" s="141">
        <f ca="1">IFERROR(__xludf.DUMMYFUNCTION("""COMPUTED_VALUE"""),80)</f>
        <v>80</v>
      </c>
      <c r="F223" s="141">
        <f ca="1">IFERROR(__xludf.DUMMYFUNCTION("""COMPUTED_VALUE"""),80.14)</f>
        <v>80.14</v>
      </c>
      <c r="G223" s="143">
        <f ca="1">IFERROR(__xludf.DUMMYFUNCTION("""COMPUTED_VALUE"""),29715369)</f>
        <v>29715369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IFERROR(__xludf.DUMMYFUNCTION("""COMPUTED_VALUE"""),80.08)</f>
        <v>80.08</v>
      </c>
      <c r="D224" s="141">
        <f ca="1">IFERROR(__xludf.DUMMYFUNCTION("""COMPUTED_VALUE"""),80.15)</f>
        <v>80.150000000000006</v>
      </c>
      <c r="E224" s="141">
        <f ca="1">IFERROR(__xludf.DUMMYFUNCTION("""COMPUTED_VALUE"""),79.98)</f>
        <v>79.98</v>
      </c>
      <c r="F224" s="141">
        <f ca="1">IFERROR(__xludf.DUMMYFUNCTION("""COMPUTED_VALUE"""),79.98)</f>
        <v>79.98</v>
      </c>
      <c r="G224" s="143">
        <f ca="1">IFERROR(__xludf.DUMMYFUNCTION("""COMPUTED_VALUE"""),34366646)</f>
        <v>34366646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IFERROR(__xludf.DUMMYFUNCTION("""COMPUTED_VALUE"""),79.82)</f>
        <v>79.819999999999993</v>
      </c>
      <c r="D225" s="141">
        <f ca="1">IFERROR(__xludf.DUMMYFUNCTION("""COMPUTED_VALUE"""),79.89)</f>
        <v>79.89</v>
      </c>
      <c r="E225" s="141">
        <f ca="1">IFERROR(__xludf.DUMMYFUNCTION("""COMPUTED_VALUE"""),79.7)</f>
        <v>79.7</v>
      </c>
      <c r="F225" s="141">
        <f ca="1">IFERROR(__xludf.DUMMYFUNCTION("""COMPUTED_VALUE"""),79.87)</f>
        <v>79.87</v>
      </c>
      <c r="G225" s="143">
        <f ca="1">IFERROR(__xludf.DUMMYFUNCTION("""COMPUTED_VALUE"""),37418937)</f>
        <v>37418937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IFERROR(__xludf.DUMMYFUNCTION("""COMPUTED_VALUE"""),79.84)</f>
        <v>79.84</v>
      </c>
      <c r="D226" s="141">
        <f ca="1">IFERROR(__xludf.DUMMYFUNCTION("""COMPUTED_VALUE"""),79.95)</f>
        <v>79.95</v>
      </c>
      <c r="E226" s="141">
        <f ca="1">IFERROR(__xludf.DUMMYFUNCTION("""COMPUTED_VALUE"""),79.79)</f>
        <v>79.790000000000006</v>
      </c>
      <c r="F226" s="141">
        <f ca="1">IFERROR(__xludf.DUMMYFUNCTION("""COMPUTED_VALUE"""),79.91)</f>
        <v>79.91</v>
      </c>
      <c r="G226" s="143">
        <f ca="1">IFERROR(__xludf.DUMMYFUNCTION("""COMPUTED_VALUE"""),33257270)</f>
        <v>33257270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IFERROR(__xludf.DUMMYFUNCTION("""COMPUTED_VALUE"""),79.97)</f>
        <v>79.97</v>
      </c>
      <c r="D227" s="141">
        <f ca="1">IFERROR(__xludf.DUMMYFUNCTION("""COMPUTED_VALUE"""),80.05)</f>
        <v>80.05</v>
      </c>
      <c r="E227" s="141">
        <f ca="1">IFERROR(__xludf.DUMMYFUNCTION("""COMPUTED_VALUE"""),79.85)</f>
        <v>79.849999999999994</v>
      </c>
      <c r="F227" s="141">
        <f ca="1">IFERROR(__xludf.DUMMYFUNCTION("""COMPUTED_VALUE"""),79.85)</f>
        <v>79.849999999999994</v>
      </c>
      <c r="G227" s="143">
        <f ca="1">IFERROR(__xludf.DUMMYFUNCTION("""COMPUTED_VALUE"""),27235559)</f>
        <v>27235559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IFERROR(__xludf.DUMMYFUNCTION("""COMPUTED_VALUE"""),79.64)</f>
        <v>79.64</v>
      </c>
      <c r="D228" s="141">
        <f ca="1">IFERROR(__xludf.DUMMYFUNCTION("""COMPUTED_VALUE"""),79.69)</f>
        <v>79.69</v>
      </c>
      <c r="E228" s="141">
        <f ca="1">IFERROR(__xludf.DUMMYFUNCTION("""COMPUTED_VALUE"""),79.46)</f>
        <v>79.459999999999994</v>
      </c>
      <c r="F228" s="141">
        <f ca="1">IFERROR(__xludf.DUMMYFUNCTION("""COMPUTED_VALUE"""),79.46)</f>
        <v>79.459999999999994</v>
      </c>
      <c r="G228" s="143">
        <f ca="1">IFERROR(__xludf.DUMMYFUNCTION("""COMPUTED_VALUE"""),54466047)</f>
        <v>54466047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IFERROR(__xludf.DUMMYFUNCTION("""COMPUTED_VALUE"""),79.63)</f>
        <v>79.63</v>
      </c>
      <c r="D229" s="141">
        <f ca="1">IFERROR(__xludf.DUMMYFUNCTION("""COMPUTED_VALUE"""),79.7)</f>
        <v>79.7</v>
      </c>
      <c r="E229" s="141">
        <f ca="1">IFERROR(__xludf.DUMMYFUNCTION("""COMPUTED_VALUE"""),79.44)</f>
        <v>79.44</v>
      </c>
      <c r="F229" s="141">
        <f ca="1">IFERROR(__xludf.DUMMYFUNCTION("""COMPUTED_VALUE"""),79.54)</f>
        <v>79.540000000000006</v>
      </c>
      <c r="G229" s="143">
        <f ca="1">IFERROR(__xludf.DUMMYFUNCTION("""COMPUTED_VALUE"""),38596132)</f>
        <v>38596132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IFERROR(__xludf.DUMMYFUNCTION("""COMPUTED_VALUE"""),79.41)</f>
        <v>79.41</v>
      </c>
      <c r="D230" s="141">
        <f ca="1">IFERROR(__xludf.DUMMYFUNCTION("""COMPUTED_VALUE"""),79.45)</f>
        <v>79.45</v>
      </c>
      <c r="E230" s="141">
        <f ca="1">IFERROR(__xludf.DUMMYFUNCTION("""COMPUTED_VALUE"""),79.23)</f>
        <v>79.23</v>
      </c>
      <c r="F230" s="141">
        <f ca="1">IFERROR(__xludf.DUMMYFUNCTION("""COMPUTED_VALUE"""),79.35)</f>
        <v>79.349999999999994</v>
      </c>
      <c r="G230" s="143">
        <f ca="1">IFERROR(__xludf.DUMMYFUNCTION("""COMPUTED_VALUE"""),42904719)</f>
        <v>42904719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IFERROR(__xludf.DUMMYFUNCTION("""COMPUTED_VALUE"""),79.5)</f>
        <v>79.5</v>
      </c>
      <c r="D231" s="141">
        <f ca="1">IFERROR(__xludf.DUMMYFUNCTION("""COMPUTED_VALUE"""),79.87)</f>
        <v>79.87</v>
      </c>
      <c r="E231" s="141">
        <f ca="1">IFERROR(__xludf.DUMMYFUNCTION("""COMPUTED_VALUE"""),79.4)</f>
        <v>79.400000000000006</v>
      </c>
      <c r="F231" s="141">
        <f ca="1">IFERROR(__xludf.DUMMYFUNCTION("""COMPUTED_VALUE"""),79.86)</f>
        <v>79.86</v>
      </c>
      <c r="G231" s="143">
        <f ca="1">IFERROR(__xludf.DUMMYFUNCTION("""COMPUTED_VALUE"""),58906257)</f>
        <v>58906257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IFERROR(__xludf.DUMMYFUNCTION("""COMPUTED_VALUE"""),79.75)</f>
        <v>79.75</v>
      </c>
      <c r="D232" s="141">
        <f ca="1">IFERROR(__xludf.DUMMYFUNCTION("""COMPUTED_VALUE"""),79.99)</f>
        <v>79.989999999999995</v>
      </c>
      <c r="E232" s="141">
        <f ca="1">IFERROR(__xludf.DUMMYFUNCTION("""COMPUTED_VALUE"""),79.65)</f>
        <v>79.650000000000006</v>
      </c>
      <c r="F232" s="141">
        <f ca="1">IFERROR(__xludf.DUMMYFUNCTION("""COMPUTED_VALUE"""),79.9)</f>
        <v>79.900000000000006</v>
      </c>
      <c r="G232" s="143">
        <f ca="1">IFERROR(__xludf.DUMMYFUNCTION("""COMPUTED_VALUE"""),37584581)</f>
        <v>37584581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IFERROR(__xludf.DUMMYFUNCTION("""COMPUTED_VALUE"""),80.01)</f>
        <v>80.010000000000005</v>
      </c>
      <c r="D233" s="141">
        <f ca="1">IFERROR(__xludf.DUMMYFUNCTION("""COMPUTED_VALUE"""),80.02)</f>
        <v>80.02</v>
      </c>
      <c r="E233" s="141">
        <f ca="1">IFERROR(__xludf.DUMMYFUNCTION("""COMPUTED_VALUE"""),79.84)</f>
        <v>79.84</v>
      </c>
      <c r="F233" s="141">
        <f ca="1">IFERROR(__xludf.DUMMYFUNCTION("""COMPUTED_VALUE"""),79.91)</f>
        <v>79.91</v>
      </c>
      <c r="G233" s="143">
        <f ca="1">IFERROR(__xludf.DUMMYFUNCTION("""COMPUTED_VALUE"""),22429426)</f>
        <v>22429426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IFERROR(__xludf.DUMMYFUNCTION("""COMPUTED_VALUE"""),80.14)</f>
        <v>80.14</v>
      </c>
      <c r="D234" s="141">
        <f ca="1">IFERROR(__xludf.DUMMYFUNCTION("""COMPUTED_VALUE"""),80.19)</f>
        <v>80.19</v>
      </c>
      <c r="E234" s="141">
        <f ca="1">IFERROR(__xludf.DUMMYFUNCTION("""COMPUTED_VALUE"""),80.04)</f>
        <v>80.040000000000006</v>
      </c>
      <c r="F234" s="141">
        <f ca="1">IFERROR(__xludf.DUMMYFUNCTION("""COMPUTED_VALUE"""),80.18)</f>
        <v>80.180000000000007</v>
      </c>
      <c r="G234" s="143">
        <f ca="1">IFERROR(__xludf.DUMMYFUNCTION("""COMPUTED_VALUE"""),30406123)</f>
        <v>30406123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IFERROR(__xludf.DUMMYFUNCTION("""COMPUTED_VALUE"""),80.17)</f>
        <v>80.17</v>
      </c>
      <c r="D235" s="141">
        <f ca="1">IFERROR(__xludf.DUMMYFUNCTION("""COMPUTED_VALUE"""),80.21)</f>
        <v>80.209999999999994</v>
      </c>
      <c r="E235" s="141">
        <f ca="1">IFERROR(__xludf.DUMMYFUNCTION("""COMPUTED_VALUE"""),80.08)</f>
        <v>80.08</v>
      </c>
      <c r="F235" s="141">
        <f ca="1">IFERROR(__xludf.DUMMYFUNCTION("""COMPUTED_VALUE"""),80.13)</f>
        <v>80.13</v>
      </c>
      <c r="G235" s="143">
        <f ca="1">IFERROR(__xludf.DUMMYFUNCTION("""COMPUTED_VALUE"""),22525539)</f>
        <v>22525539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IFERROR(__xludf.DUMMYFUNCTION("""COMPUTED_VALUE"""),80.08)</f>
        <v>80.08</v>
      </c>
      <c r="D236" s="141">
        <f ca="1">IFERROR(__xludf.DUMMYFUNCTION("""COMPUTED_VALUE"""),80.27)</f>
        <v>80.27</v>
      </c>
      <c r="E236" s="141">
        <f ca="1">IFERROR(__xludf.DUMMYFUNCTION("""COMPUTED_VALUE"""),80.04)</f>
        <v>80.040000000000006</v>
      </c>
      <c r="F236" s="141">
        <f ca="1">IFERROR(__xludf.DUMMYFUNCTION("""COMPUTED_VALUE"""),80.23)</f>
        <v>80.23</v>
      </c>
      <c r="G236" s="143">
        <f ca="1">IFERROR(__xludf.DUMMYFUNCTION("""COMPUTED_VALUE"""),32001607)</f>
        <v>32001607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IFERROR(__xludf.DUMMYFUNCTION("""COMPUTED_VALUE"""),80.26)</f>
        <v>80.260000000000005</v>
      </c>
      <c r="D237" s="141">
        <f ca="1">IFERROR(__xludf.DUMMYFUNCTION("""COMPUTED_VALUE"""),80.36)</f>
        <v>80.36</v>
      </c>
      <c r="E237" s="141">
        <f ca="1">IFERROR(__xludf.DUMMYFUNCTION("""COMPUTED_VALUE"""),80.21)</f>
        <v>80.209999999999994</v>
      </c>
      <c r="F237" s="141">
        <f ca="1">IFERROR(__xludf.DUMMYFUNCTION("""COMPUTED_VALUE"""),80.31)</f>
        <v>80.31</v>
      </c>
      <c r="G237" s="143">
        <f ca="1">IFERROR(__xludf.DUMMYFUNCTION("""COMPUTED_VALUE"""),39149257)</f>
        <v>39149257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IFERROR(__xludf.DUMMYFUNCTION("""COMPUTED_VALUE"""),79.79)</f>
        <v>79.790000000000006</v>
      </c>
      <c r="D238" s="141">
        <f ca="1">IFERROR(__xludf.DUMMYFUNCTION("""COMPUTED_VALUE"""),79.88)</f>
        <v>79.88</v>
      </c>
      <c r="E238" s="141">
        <f ca="1">IFERROR(__xludf.DUMMYFUNCTION("""COMPUTED_VALUE"""),79.64)</f>
        <v>79.64</v>
      </c>
      <c r="F238" s="141">
        <f ca="1">IFERROR(__xludf.DUMMYFUNCTION("""COMPUTED_VALUE"""),79.84)</f>
        <v>79.84</v>
      </c>
      <c r="G238" s="143">
        <f ca="1">IFERROR(__xludf.DUMMYFUNCTION("""COMPUTED_VALUE"""),32671014)</f>
        <v>32671014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IFERROR(__xludf.DUMMYFUNCTION("""COMPUTED_VALUE"""),79.84)</f>
        <v>79.84</v>
      </c>
      <c r="D239" s="141">
        <f ca="1">IFERROR(__xludf.DUMMYFUNCTION("""COMPUTED_VALUE"""),79.9)</f>
        <v>79.900000000000006</v>
      </c>
      <c r="E239" s="141">
        <f ca="1">IFERROR(__xludf.DUMMYFUNCTION("""COMPUTED_VALUE"""),79.79)</f>
        <v>79.790000000000006</v>
      </c>
      <c r="F239" s="141">
        <f ca="1">IFERROR(__xludf.DUMMYFUNCTION("""COMPUTED_VALUE"""),79.9)</f>
        <v>79.900000000000006</v>
      </c>
      <c r="G239" s="143">
        <f ca="1">IFERROR(__xludf.DUMMYFUNCTION("""COMPUTED_VALUE"""),25237730)</f>
        <v>25237730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IFERROR(__xludf.DUMMYFUNCTION("""COMPUTED_VALUE"""),79.75)</f>
        <v>79.75</v>
      </c>
      <c r="D240" s="141">
        <f ca="1">IFERROR(__xludf.DUMMYFUNCTION("""COMPUTED_VALUE"""),79.78)</f>
        <v>79.78</v>
      </c>
      <c r="E240" s="141">
        <f ca="1">IFERROR(__xludf.DUMMYFUNCTION("""COMPUTED_VALUE"""),79.63)</f>
        <v>79.63</v>
      </c>
      <c r="F240" s="141">
        <f ca="1">IFERROR(__xludf.DUMMYFUNCTION("""COMPUTED_VALUE"""),79.68)</f>
        <v>79.680000000000007</v>
      </c>
      <c r="G240" s="143">
        <f ca="1">IFERROR(__xludf.DUMMYFUNCTION("""COMPUTED_VALUE"""),28203411)</f>
        <v>28203411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IFERROR(__xludf.DUMMYFUNCTION("""COMPUTED_VALUE"""),79.75)</f>
        <v>79.75</v>
      </c>
      <c r="D241" s="141">
        <f ca="1">IFERROR(__xludf.DUMMYFUNCTION("""COMPUTED_VALUE"""),79.85)</f>
        <v>79.849999999999994</v>
      </c>
      <c r="E241" s="141">
        <f ca="1">IFERROR(__xludf.DUMMYFUNCTION("""COMPUTED_VALUE"""),79.75)</f>
        <v>79.75</v>
      </c>
      <c r="F241" s="141">
        <f ca="1">IFERROR(__xludf.DUMMYFUNCTION("""COMPUTED_VALUE"""),79.83)</f>
        <v>79.83</v>
      </c>
      <c r="G241" s="143">
        <f ca="1">IFERROR(__xludf.DUMMYFUNCTION("""COMPUTED_VALUE"""),22697931)</f>
        <v>22697931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IFERROR(__xludf.DUMMYFUNCTION("""COMPUTED_VALUE"""),79.7)</f>
        <v>79.7</v>
      </c>
      <c r="D242" s="141">
        <f ca="1">IFERROR(__xludf.DUMMYFUNCTION("""COMPUTED_VALUE"""),79.72)</f>
        <v>79.72</v>
      </c>
      <c r="E242" s="141">
        <f ca="1">IFERROR(__xludf.DUMMYFUNCTION("""COMPUTED_VALUE"""),79.35)</f>
        <v>79.349999999999994</v>
      </c>
      <c r="F242" s="141">
        <f ca="1">IFERROR(__xludf.DUMMYFUNCTION("""COMPUTED_VALUE"""),79.43)</f>
        <v>79.430000000000007</v>
      </c>
      <c r="G242" s="143">
        <f ca="1">IFERROR(__xludf.DUMMYFUNCTION("""COMPUTED_VALUE"""),46035764)</f>
        <v>46035764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IFERROR(__xludf.DUMMYFUNCTION("""COMPUTED_VALUE"""),79.6)</f>
        <v>79.599999999999994</v>
      </c>
      <c r="D243" s="141">
        <f ca="1">IFERROR(__xludf.DUMMYFUNCTION("""COMPUTED_VALUE"""),79.65)</f>
        <v>79.650000000000006</v>
      </c>
      <c r="E243" s="141">
        <f ca="1">IFERROR(__xludf.DUMMYFUNCTION("""COMPUTED_VALUE"""),79.48)</f>
        <v>79.48</v>
      </c>
      <c r="F243" s="141">
        <f ca="1">IFERROR(__xludf.DUMMYFUNCTION("""COMPUTED_VALUE"""),79.54)</f>
        <v>79.540000000000006</v>
      </c>
      <c r="G243" s="143">
        <f ca="1">IFERROR(__xludf.DUMMYFUNCTION("""COMPUTED_VALUE"""),25217806)</f>
        <v>25217806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IFERROR(__xludf.DUMMYFUNCTION("""COMPUTED_VALUE"""),79.65)</f>
        <v>79.650000000000006</v>
      </c>
      <c r="D244" s="141">
        <f ca="1">IFERROR(__xludf.DUMMYFUNCTION("""COMPUTED_VALUE"""),79.79)</f>
        <v>79.790000000000006</v>
      </c>
      <c r="E244" s="141">
        <f ca="1">IFERROR(__xludf.DUMMYFUNCTION("""COMPUTED_VALUE"""),79.42)</f>
        <v>79.42</v>
      </c>
      <c r="F244" s="141">
        <f ca="1">IFERROR(__xludf.DUMMYFUNCTION("""COMPUTED_VALUE"""),79.62)</f>
        <v>79.62</v>
      </c>
      <c r="G244" s="143">
        <f ca="1">IFERROR(__xludf.DUMMYFUNCTION("""COMPUTED_VALUE"""),34705837)</f>
        <v>34705837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IFERROR(__xludf.DUMMYFUNCTION("""COMPUTED_VALUE"""),79.56)</f>
        <v>79.56</v>
      </c>
      <c r="D245" s="141">
        <f ca="1">IFERROR(__xludf.DUMMYFUNCTION("""COMPUTED_VALUE"""),79.64)</f>
        <v>79.64</v>
      </c>
      <c r="E245" s="141">
        <f ca="1">IFERROR(__xludf.DUMMYFUNCTION("""COMPUTED_VALUE"""),79.44)</f>
        <v>79.44</v>
      </c>
      <c r="F245" s="141">
        <f ca="1">IFERROR(__xludf.DUMMYFUNCTION("""COMPUTED_VALUE"""),79.47)</f>
        <v>79.47</v>
      </c>
      <c r="G245" s="143">
        <f ca="1">IFERROR(__xludf.DUMMYFUNCTION("""COMPUTED_VALUE"""),30345151)</f>
        <v>30345151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IFERROR(__xludf.DUMMYFUNCTION("""COMPUTED_VALUE"""),79.57)</f>
        <v>79.569999999999993</v>
      </c>
      <c r="D246" s="141">
        <f ca="1">IFERROR(__xludf.DUMMYFUNCTION("""COMPUTED_VALUE"""),79.97)</f>
        <v>79.97</v>
      </c>
      <c r="E246" s="141">
        <f ca="1">IFERROR(__xludf.DUMMYFUNCTION("""COMPUTED_VALUE"""),79.52)</f>
        <v>79.52</v>
      </c>
      <c r="F246" s="141">
        <f ca="1">IFERROR(__xludf.DUMMYFUNCTION("""COMPUTED_VALUE"""),79.94)</f>
        <v>79.94</v>
      </c>
      <c r="G246" s="143">
        <f ca="1">IFERROR(__xludf.DUMMYFUNCTION("""COMPUTED_VALUE"""),55089550)</f>
        <v>55089550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IFERROR(__xludf.DUMMYFUNCTION("""COMPUTED_VALUE"""),79.94)</f>
        <v>79.94</v>
      </c>
      <c r="D247" s="141">
        <f ca="1">IFERROR(__xludf.DUMMYFUNCTION("""COMPUTED_VALUE"""),80)</f>
        <v>80</v>
      </c>
      <c r="E247" s="141">
        <f ca="1">IFERROR(__xludf.DUMMYFUNCTION("""COMPUTED_VALUE"""),79.8)</f>
        <v>79.8</v>
      </c>
      <c r="F247" s="141">
        <f ca="1">IFERROR(__xludf.DUMMYFUNCTION("""COMPUTED_VALUE"""),79.94)</f>
        <v>79.94</v>
      </c>
      <c r="G247" s="143">
        <f ca="1">IFERROR(__xludf.DUMMYFUNCTION("""COMPUTED_VALUE"""),29873324)</f>
        <v>29873324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IFERROR(__xludf.DUMMYFUNCTION("""COMPUTED_VALUE"""),80.14)</f>
        <v>80.14</v>
      </c>
      <c r="D248" s="141">
        <f ca="1">IFERROR(__xludf.DUMMYFUNCTION("""COMPUTED_VALUE"""),80.17)</f>
        <v>80.17</v>
      </c>
      <c r="E248" s="141">
        <f ca="1">IFERROR(__xludf.DUMMYFUNCTION("""COMPUTED_VALUE"""),80.03)</f>
        <v>80.03</v>
      </c>
      <c r="F248" s="141">
        <f ca="1">IFERROR(__xludf.DUMMYFUNCTION("""COMPUTED_VALUE"""),80.04)</f>
        <v>80.040000000000006</v>
      </c>
      <c r="G248" s="143">
        <f ca="1">IFERROR(__xludf.DUMMYFUNCTION("""COMPUTED_VALUE"""),32019558)</f>
        <v>32019558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IFERROR(__xludf.DUMMYFUNCTION("""COMPUTED_VALUE"""),80.03)</f>
        <v>80.03</v>
      </c>
      <c r="D249" s="141">
        <f ca="1">IFERROR(__xludf.DUMMYFUNCTION("""COMPUTED_VALUE"""),80.11)</f>
        <v>80.11</v>
      </c>
      <c r="E249" s="141">
        <f ca="1">IFERROR(__xludf.DUMMYFUNCTION("""COMPUTED_VALUE"""),79.96)</f>
        <v>79.959999999999994</v>
      </c>
      <c r="F249" s="141">
        <f ca="1">IFERROR(__xludf.DUMMYFUNCTION("""COMPUTED_VALUE"""),80.03)</f>
        <v>80.03</v>
      </c>
      <c r="G249" s="143">
        <f ca="1">IFERROR(__xludf.DUMMYFUNCTION("""COMPUTED_VALUE"""),24471850)</f>
        <v>24471850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IFERROR(__xludf.DUMMYFUNCTION("""COMPUTED_VALUE"""),79.99)</f>
        <v>79.989999999999995</v>
      </c>
      <c r="D250" s="141">
        <f ca="1">IFERROR(__xludf.DUMMYFUNCTION("""COMPUTED_VALUE"""),80.07)</f>
        <v>80.069999999999993</v>
      </c>
      <c r="E250" s="141">
        <f ca="1">IFERROR(__xludf.DUMMYFUNCTION("""COMPUTED_VALUE"""),79.71)</f>
        <v>79.709999999999994</v>
      </c>
      <c r="F250" s="141">
        <f ca="1">IFERROR(__xludf.DUMMYFUNCTION("""COMPUTED_VALUE"""),79.73)</f>
        <v>79.73</v>
      </c>
      <c r="G250" s="143">
        <f ca="1">IFERROR(__xludf.DUMMYFUNCTION("""COMPUTED_VALUE"""),47184838)</f>
        <v>47184838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IFERROR(__xludf.DUMMYFUNCTION("""COMPUTED_VALUE"""),80.03)</f>
        <v>80.03</v>
      </c>
      <c r="D251" s="141">
        <f ca="1">IFERROR(__xludf.DUMMYFUNCTION("""COMPUTED_VALUE"""),80.07)</f>
        <v>80.069999999999993</v>
      </c>
      <c r="E251" s="141">
        <f ca="1">IFERROR(__xludf.DUMMYFUNCTION("""COMPUTED_VALUE"""),79.92)</f>
        <v>79.92</v>
      </c>
      <c r="F251" s="141">
        <f ca="1">IFERROR(__xludf.DUMMYFUNCTION("""COMPUTED_VALUE"""),80.01)</f>
        <v>80.010000000000005</v>
      </c>
      <c r="G251" s="143">
        <f ca="1">IFERROR(__xludf.DUMMYFUNCTION("""COMPUTED_VALUE"""),41111750)</f>
        <v>41111750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IFERROR(__xludf.DUMMYFUNCTION("""COMPUTED_VALUE"""),79.94)</f>
        <v>79.94</v>
      </c>
      <c r="D252" s="141">
        <f ca="1">IFERROR(__xludf.DUMMYFUNCTION("""COMPUTED_VALUE"""),79.98)</f>
        <v>79.98</v>
      </c>
      <c r="E252" s="141">
        <f ca="1">IFERROR(__xludf.DUMMYFUNCTION("""COMPUTED_VALUE"""),79.87)</f>
        <v>79.87</v>
      </c>
      <c r="F252" s="141">
        <f ca="1">IFERROR(__xludf.DUMMYFUNCTION("""COMPUTED_VALUE"""),79.94)</f>
        <v>79.94</v>
      </c>
      <c r="G252" s="143">
        <f ca="1">IFERROR(__xludf.DUMMYFUNCTION("""COMPUTED_VALUE"""),26479777)</f>
        <v>26479777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IFERROR(__xludf.DUMMYFUNCTION("""COMPUTED_VALUE"""),79.83)</f>
        <v>79.83</v>
      </c>
      <c r="D253" s="141">
        <f ca="1">IFERROR(__xludf.DUMMYFUNCTION("""COMPUTED_VALUE"""),79.97)</f>
        <v>79.97</v>
      </c>
      <c r="E253" s="141">
        <f ca="1">IFERROR(__xludf.DUMMYFUNCTION("""COMPUTED_VALUE"""),79.82)</f>
        <v>79.819999999999993</v>
      </c>
      <c r="F253" s="141">
        <f ca="1">IFERROR(__xludf.DUMMYFUNCTION("""COMPUTED_VALUE"""),79.87)</f>
        <v>79.87</v>
      </c>
      <c r="G253" s="143">
        <f ca="1">IFERROR(__xludf.DUMMYFUNCTION("""COMPUTED_VALUE"""),29811350)</f>
        <v>29811350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IFERROR(__xludf.DUMMYFUNCTION("""COMPUTED_VALUE"""),79.94)</f>
        <v>79.94</v>
      </c>
      <c r="D254" s="141">
        <f ca="1">IFERROR(__xludf.DUMMYFUNCTION("""COMPUTED_VALUE"""),79.99)</f>
        <v>79.989999999999995</v>
      </c>
      <c r="E254" s="141">
        <f ca="1">IFERROR(__xludf.DUMMYFUNCTION("""COMPUTED_VALUE"""),79.84)</f>
        <v>79.84</v>
      </c>
      <c r="F254" s="141">
        <f ca="1">IFERROR(__xludf.DUMMYFUNCTION("""COMPUTED_VALUE"""),79.85)</f>
        <v>79.849999999999994</v>
      </c>
      <c r="G254" s="143">
        <f ca="1">IFERROR(__xludf.DUMMYFUNCTION("""COMPUTED_VALUE"""),38840988)</f>
        <v>38840988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IFERROR(__xludf.DUMMYFUNCTION("""COMPUTED_VALUE"""),79.92)</f>
        <v>79.92</v>
      </c>
      <c r="D255" s="141">
        <f ca="1">IFERROR(__xludf.DUMMYFUNCTION("""COMPUTED_VALUE"""),79.98)</f>
        <v>79.98</v>
      </c>
      <c r="E255" s="141">
        <f ca="1">IFERROR(__xludf.DUMMYFUNCTION("""COMPUTED_VALUE"""),79.82)</f>
        <v>79.819999999999993</v>
      </c>
      <c r="F255" s="141">
        <f ca="1">IFERROR(__xludf.DUMMYFUNCTION("""COMPUTED_VALUE"""),79.88)</f>
        <v>79.88</v>
      </c>
      <c r="G255" s="143">
        <f ca="1">IFERROR(__xludf.DUMMYFUNCTION("""COMPUTED_VALUE"""),29322446)</f>
        <v>29322446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IFERROR(__xludf.DUMMYFUNCTION("""COMPUTED_VALUE"""),79.82)</f>
        <v>79.819999999999993</v>
      </c>
      <c r="D256" s="141">
        <f ca="1">IFERROR(__xludf.DUMMYFUNCTION("""COMPUTED_VALUE"""),79.95)</f>
        <v>79.95</v>
      </c>
      <c r="E256" s="141">
        <f ca="1">IFERROR(__xludf.DUMMYFUNCTION("""COMPUTED_VALUE"""),79.81)</f>
        <v>79.81</v>
      </c>
      <c r="F256" s="141">
        <f ca="1">IFERROR(__xludf.DUMMYFUNCTION("""COMPUTED_VALUE"""),79.83)</f>
        <v>79.83</v>
      </c>
      <c r="G256" s="143">
        <f ca="1">IFERROR(__xludf.DUMMYFUNCTION("""COMPUTED_VALUE"""),27647491)</f>
        <v>27647491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IFERROR(__xludf.DUMMYFUNCTION("""COMPUTED_VALUE"""),79.95)</f>
        <v>79.95</v>
      </c>
      <c r="D257" s="141">
        <f ca="1">IFERROR(__xludf.DUMMYFUNCTION("""COMPUTED_VALUE"""),80.03)</f>
        <v>80.03</v>
      </c>
      <c r="E257" s="141">
        <f ca="1">IFERROR(__xludf.DUMMYFUNCTION("""COMPUTED_VALUE"""),79.85)</f>
        <v>79.849999999999994</v>
      </c>
      <c r="F257" s="141">
        <f ca="1">IFERROR(__xludf.DUMMYFUNCTION("""COMPUTED_VALUE"""),80.01)</f>
        <v>80.010000000000005</v>
      </c>
      <c r="G257" s="143">
        <f ca="1">IFERROR(__xludf.DUMMYFUNCTION("""COMPUTED_VALUE"""),37325679)</f>
        <v>37325679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IFERROR(__xludf.DUMMYFUNCTION("""COMPUTED_VALUE"""),80)</f>
        <v>80</v>
      </c>
      <c r="D258" s="141">
        <f ca="1">IFERROR(__xludf.DUMMYFUNCTION("""COMPUTED_VALUE"""),80.05)</f>
        <v>80.05</v>
      </c>
      <c r="E258" s="141">
        <f ca="1">IFERROR(__xludf.DUMMYFUNCTION("""COMPUTED_VALUE"""),79.92)</f>
        <v>79.92</v>
      </c>
      <c r="F258" s="141">
        <f ca="1">IFERROR(__xludf.DUMMYFUNCTION("""COMPUTED_VALUE"""),79.97)</f>
        <v>79.97</v>
      </c>
      <c r="G258" s="143">
        <f ca="1">IFERROR(__xludf.DUMMYFUNCTION("""COMPUTED_VALUE"""),38103892)</f>
        <v>38103892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IFERROR(__xludf.DUMMYFUNCTION("""COMPUTED_VALUE"""),79.56)</f>
        <v>79.56</v>
      </c>
      <c r="D259" s="141">
        <f ca="1">IFERROR(__xludf.DUMMYFUNCTION("""COMPUTED_VALUE"""),79.66)</f>
        <v>79.66</v>
      </c>
      <c r="E259" s="141">
        <f ca="1">IFERROR(__xludf.DUMMYFUNCTION("""COMPUTED_VALUE"""),79.51)</f>
        <v>79.510000000000005</v>
      </c>
      <c r="F259" s="141">
        <f ca="1">IFERROR(__xludf.DUMMYFUNCTION("""COMPUTED_VALUE"""),79.59)</f>
        <v>79.59</v>
      </c>
      <c r="G259" s="143">
        <f ca="1">IFERROR(__xludf.DUMMYFUNCTION("""COMPUTED_VALUE"""),38152259)</f>
        <v>38152259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IFERROR(__xludf.DUMMYFUNCTION("""COMPUTED_VALUE"""),79.73)</f>
        <v>79.73</v>
      </c>
      <c r="D260" s="141">
        <f ca="1">IFERROR(__xludf.DUMMYFUNCTION("""COMPUTED_VALUE"""),79.79)</f>
        <v>79.790000000000006</v>
      </c>
      <c r="E260" s="141">
        <f ca="1">IFERROR(__xludf.DUMMYFUNCTION("""COMPUTED_VALUE"""),79.67)</f>
        <v>79.67</v>
      </c>
      <c r="F260" s="141">
        <f ca="1">IFERROR(__xludf.DUMMYFUNCTION("""COMPUTED_VALUE"""),79.71)</f>
        <v>79.709999999999994</v>
      </c>
      <c r="G260" s="143">
        <f ca="1">IFERROR(__xludf.DUMMYFUNCTION("""COMPUTED_VALUE"""),26112839)</f>
        <v>26112839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IFERROR(__xludf.DUMMYFUNCTION("""COMPUTED_VALUE"""),79.73)</f>
        <v>79.73</v>
      </c>
      <c r="D261" s="141">
        <f ca="1">IFERROR(__xludf.DUMMYFUNCTION("""COMPUTED_VALUE"""),79.91)</f>
        <v>79.91</v>
      </c>
      <c r="E261" s="141">
        <f ca="1">IFERROR(__xludf.DUMMYFUNCTION("""COMPUTED_VALUE"""),79.73)</f>
        <v>79.73</v>
      </c>
      <c r="F261" s="141">
        <f ca="1">IFERROR(__xludf.DUMMYFUNCTION("""COMPUTED_VALUE"""),79.87)</f>
        <v>79.87</v>
      </c>
      <c r="G261" s="143">
        <f ca="1">IFERROR(__xludf.DUMMYFUNCTION("""COMPUTED_VALUE"""),25159383)</f>
        <v>25159383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IFERROR(__xludf.DUMMYFUNCTION("""COMPUTED_VALUE"""),79.85)</f>
        <v>79.849999999999994</v>
      </c>
      <c r="D262" s="141">
        <f ca="1">IFERROR(__xludf.DUMMYFUNCTION("""COMPUTED_VALUE"""),79.88)</f>
        <v>79.88</v>
      </c>
      <c r="E262" s="141">
        <f ca="1">IFERROR(__xludf.DUMMYFUNCTION("""COMPUTED_VALUE"""),79.72)</f>
        <v>79.72</v>
      </c>
      <c r="F262" s="141">
        <f ca="1">IFERROR(__xludf.DUMMYFUNCTION("""COMPUTED_VALUE"""),79.76)</f>
        <v>79.760000000000005</v>
      </c>
      <c r="G262" s="143">
        <f ca="1">IFERROR(__xludf.DUMMYFUNCTION("""COMPUTED_VALUE"""),28558288)</f>
        <v>28558288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IFERROR(__xludf.DUMMYFUNCTION("""COMPUTED_VALUE"""),79.61)</f>
        <v>79.61</v>
      </c>
      <c r="D263" s="141">
        <f ca="1">IFERROR(__xludf.DUMMYFUNCTION("""COMPUTED_VALUE"""),79.68)</f>
        <v>79.680000000000007</v>
      </c>
      <c r="E263" s="141">
        <f ca="1">IFERROR(__xludf.DUMMYFUNCTION("""COMPUTED_VALUE"""),79.54)</f>
        <v>79.540000000000006</v>
      </c>
      <c r="F263" s="141">
        <f ca="1">IFERROR(__xludf.DUMMYFUNCTION("""COMPUTED_VALUE"""),79.66)</f>
        <v>79.66</v>
      </c>
      <c r="G263" s="143">
        <f ca="1">IFERROR(__xludf.DUMMYFUNCTION("""COMPUTED_VALUE"""),30771298)</f>
        <v>30771298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IFERROR(__xludf.DUMMYFUNCTION("""COMPUTED_VALUE"""),79.73)</f>
        <v>79.73</v>
      </c>
      <c r="D264" s="141">
        <f ca="1">IFERROR(__xludf.DUMMYFUNCTION("""COMPUTED_VALUE"""),79.86)</f>
        <v>79.86</v>
      </c>
      <c r="E264" s="141">
        <f ca="1">IFERROR(__xludf.DUMMYFUNCTION("""COMPUTED_VALUE"""),79.67)</f>
        <v>79.67</v>
      </c>
      <c r="F264" s="141">
        <f ca="1">IFERROR(__xludf.DUMMYFUNCTION("""COMPUTED_VALUE"""),79.75)</f>
        <v>79.75</v>
      </c>
      <c r="G264" s="143">
        <f ca="1">IFERROR(__xludf.DUMMYFUNCTION("""COMPUTED_VALUE"""),21882446)</f>
        <v>21882446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IFERROR(__xludf.DUMMYFUNCTION("""COMPUTED_VALUE"""),79.78)</f>
        <v>79.78</v>
      </c>
      <c r="D265" s="141">
        <f ca="1">IFERROR(__xludf.DUMMYFUNCTION("""COMPUTED_VALUE"""),79.83)</f>
        <v>79.83</v>
      </c>
      <c r="E265" s="141">
        <f ca="1">IFERROR(__xludf.DUMMYFUNCTION("""COMPUTED_VALUE"""),79.62)</f>
        <v>79.62</v>
      </c>
      <c r="F265" s="141">
        <f ca="1">IFERROR(__xludf.DUMMYFUNCTION("""COMPUTED_VALUE"""),79.71)</f>
        <v>79.709999999999994</v>
      </c>
      <c r="G265" s="143">
        <f ca="1">IFERROR(__xludf.DUMMYFUNCTION("""COMPUTED_VALUE"""),24550318)</f>
        <v>24550318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IFERROR(__xludf.DUMMYFUNCTION("""COMPUTED_VALUE"""),79.67)</f>
        <v>79.67</v>
      </c>
      <c r="D266" s="141">
        <f ca="1">IFERROR(__xludf.DUMMYFUNCTION("""COMPUTED_VALUE"""),79.69)</f>
        <v>79.69</v>
      </c>
      <c r="E266" s="141">
        <f ca="1">IFERROR(__xludf.DUMMYFUNCTION("""COMPUTED_VALUE"""),79.46)</f>
        <v>79.459999999999994</v>
      </c>
      <c r="F266" s="141">
        <f ca="1">IFERROR(__xludf.DUMMYFUNCTION("""COMPUTED_VALUE"""),79.52)</f>
        <v>79.52</v>
      </c>
      <c r="G266" s="143">
        <f ca="1">IFERROR(__xludf.DUMMYFUNCTION("""COMPUTED_VALUE"""),32133278)</f>
        <v>32133278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IFERROR(__xludf.DUMMYFUNCTION("""COMPUTED_VALUE"""),79.68)</f>
        <v>79.680000000000007</v>
      </c>
      <c r="D267" s="141">
        <f ca="1">IFERROR(__xludf.DUMMYFUNCTION("""COMPUTED_VALUE"""),79.69)</f>
        <v>79.69</v>
      </c>
      <c r="E267" s="141">
        <f ca="1">IFERROR(__xludf.DUMMYFUNCTION("""COMPUTED_VALUE"""),79.57)</f>
        <v>79.569999999999993</v>
      </c>
      <c r="F267" s="141">
        <f ca="1">IFERROR(__xludf.DUMMYFUNCTION("""COMPUTED_VALUE"""),79.68)</f>
        <v>79.680000000000007</v>
      </c>
      <c r="G267" s="143">
        <f ca="1">IFERROR(__xludf.DUMMYFUNCTION("""COMPUTED_VALUE"""),28248702)</f>
        <v>28248702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IFERROR(__xludf.DUMMYFUNCTION("""COMPUTED_VALUE"""),79.71)</f>
        <v>79.709999999999994</v>
      </c>
      <c r="D268" s="141">
        <f ca="1">IFERROR(__xludf.DUMMYFUNCTION("""COMPUTED_VALUE"""),79.84)</f>
        <v>79.84</v>
      </c>
      <c r="E268" s="141">
        <f ca="1">IFERROR(__xludf.DUMMYFUNCTION("""COMPUTED_VALUE"""),79.71)</f>
        <v>79.709999999999994</v>
      </c>
      <c r="F268" s="141">
        <f ca="1">IFERROR(__xludf.DUMMYFUNCTION("""COMPUTED_VALUE"""),79.81)</f>
        <v>79.81</v>
      </c>
      <c r="G268" s="143">
        <f ca="1">IFERROR(__xludf.DUMMYFUNCTION("""COMPUTED_VALUE"""),26948823)</f>
        <v>26948823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IFERROR(__xludf.DUMMYFUNCTION("""COMPUTED_VALUE"""),79.76)</f>
        <v>79.760000000000005</v>
      </c>
      <c r="D269" s="141">
        <f ca="1">IFERROR(__xludf.DUMMYFUNCTION("""COMPUTED_VALUE"""),79.84)</f>
        <v>79.84</v>
      </c>
      <c r="E269" s="141">
        <f ca="1">IFERROR(__xludf.DUMMYFUNCTION("""COMPUTED_VALUE"""),79.73)</f>
        <v>79.73</v>
      </c>
      <c r="F269" s="141">
        <f ca="1">IFERROR(__xludf.DUMMYFUNCTION("""COMPUTED_VALUE"""),79.8)</f>
        <v>79.8</v>
      </c>
      <c r="G269" s="143">
        <f ca="1">IFERROR(__xludf.DUMMYFUNCTION("""COMPUTED_VALUE"""),22780314)</f>
        <v>22780314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IFERROR(__xludf.DUMMYFUNCTION("""COMPUTED_VALUE"""),79.75)</f>
        <v>79.75</v>
      </c>
      <c r="D270" s="141">
        <f ca="1">IFERROR(__xludf.DUMMYFUNCTION("""COMPUTED_VALUE"""),79.83)</f>
        <v>79.83</v>
      </c>
      <c r="E270" s="141">
        <f ca="1">IFERROR(__xludf.DUMMYFUNCTION("""COMPUTED_VALUE"""),79.63)</f>
        <v>79.63</v>
      </c>
      <c r="F270" s="141">
        <f ca="1">IFERROR(__xludf.DUMMYFUNCTION("""COMPUTED_VALUE"""),79.65)</f>
        <v>79.650000000000006</v>
      </c>
      <c r="G270" s="143">
        <f ca="1">IFERROR(__xludf.DUMMYFUNCTION("""COMPUTED_VALUE"""),42020083)</f>
        <v>42020083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IFERROR(__xludf.DUMMYFUNCTION("""COMPUTED_VALUE"""),79.74)</f>
        <v>79.739999999999995</v>
      </c>
      <c r="D271" s="141">
        <f ca="1">IFERROR(__xludf.DUMMYFUNCTION("""COMPUTED_VALUE"""),79.77)</f>
        <v>79.77</v>
      </c>
      <c r="E271" s="141">
        <f ca="1">IFERROR(__xludf.DUMMYFUNCTION("""COMPUTED_VALUE"""),79.67)</f>
        <v>79.67</v>
      </c>
      <c r="F271" s="141">
        <f ca="1">IFERROR(__xludf.DUMMYFUNCTION("""COMPUTED_VALUE"""),79.68)</f>
        <v>79.680000000000007</v>
      </c>
      <c r="G271" s="143">
        <f ca="1">IFERROR(__xludf.DUMMYFUNCTION("""COMPUTED_VALUE"""),19767928)</f>
        <v>19767928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IFERROR(__xludf.DUMMYFUNCTION("""COMPUTED_VALUE"""),79.72)</f>
        <v>79.72</v>
      </c>
      <c r="D272" s="141">
        <f ca="1">IFERROR(__xludf.DUMMYFUNCTION("""COMPUTED_VALUE"""),79.74)</f>
        <v>79.739999999999995</v>
      </c>
      <c r="E272" s="141">
        <f ca="1">IFERROR(__xludf.DUMMYFUNCTION("""COMPUTED_VALUE"""),79.6)</f>
        <v>79.599999999999994</v>
      </c>
      <c r="F272" s="141">
        <f ca="1">IFERROR(__xludf.DUMMYFUNCTION("""COMPUTED_VALUE"""),79.65)</f>
        <v>79.650000000000006</v>
      </c>
      <c r="G272" s="143">
        <f ca="1">IFERROR(__xludf.DUMMYFUNCTION("""COMPUTED_VALUE"""),27198837)</f>
        <v>27198837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IFERROR(__xludf.DUMMYFUNCTION("""COMPUTED_VALUE"""),79.61)</f>
        <v>79.61</v>
      </c>
      <c r="D273" s="141">
        <f ca="1">IFERROR(__xludf.DUMMYFUNCTION("""COMPUTED_VALUE"""),79.65)</f>
        <v>79.650000000000006</v>
      </c>
      <c r="E273" s="141">
        <f ca="1">IFERROR(__xludf.DUMMYFUNCTION("""COMPUTED_VALUE"""),79.48)</f>
        <v>79.48</v>
      </c>
      <c r="F273" s="141">
        <f ca="1">IFERROR(__xludf.DUMMYFUNCTION("""COMPUTED_VALUE"""),79.52)</f>
        <v>79.52</v>
      </c>
      <c r="G273" s="143">
        <f ca="1">IFERROR(__xludf.DUMMYFUNCTION("""COMPUTED_VALUE"""),24851657)</f>
        <v>24851657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IFERROR(__xludf.DUMMYFUNCTION("""COMPUTED_VALUE"""),79.28)</f>
        <v>79.28</v>
      </c>
      <c r="D274" s="141">
        <f ca="1">IFERROR(__xludf.DUMMYFUNCTION("""COMPUTED_VALUE"""),79.37)</f>
        <v>79.37</v>
      </c>
      <c r="E274" s="141">
        <f ca="1">IFERROR(__xludf.DUMMYFUNCTION("""COMPUTED_VALUE"""),79.15)</f>
        <v>79.150000000000006</v>
      </c>
      <c r="F274" s="141">
        <f ca="1">IFERROR(__xludf.DUMMYFUNCTION("""COMPUTED_VALUE"""),79.23)</f>
        <v>79.23</v>
      </c>
      <c r="G274" s="143">
        <f ca="1">IFERROR(__xludf.DUMMYFUNCTION("""COMPUTED_VALUE"""),52554180)</f>
        <v>52554180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IFERROR(__xludf.DUMMYFUNCTION("""COMPUTED_VALUE"""),79.25)</f>
        <v>79.25</v>
      </c>
      <c r="D275" s="141">
        <f ca="1">IFERROR(__xludf.DUMMYFUNCTION("""COMPUTED_VALUE"""),79.31)</f>
        <v>79.31</v>
      </c>
      <c r="E275" s="141">
        <f ca="1">IFERROR(__xludf.DUMMYFUNCTION("""COMPUTED_VALUE"""),79.16)</f>
        <v>79.16</v>
      </c>
      <c r="F275" s="141">
        <f ca="1">IFERROR(__xludf.DUMMYFUNCTION("""COMPUTED_VALUE"""),79.23)</f>
        <v>79.23</v>
      </c>
      <c r="G275" s="143">
        <f ca="1">IFERROR(__xludf.DUMMYFUNCTION("""COMPUTED_VALUE"""),41964810)</f>
        <v>41964810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IFERROR(__xludf.DUMMYFUNCTION("""COMPUTED_VALUE"""),79.34)</f>
        <v>79.34</v>
      </c>
      <c r="D276" s="141">
        <f ca="1">IFERROR(__xludf.DUMMYFUNCTION("""COMPUTED_VALUE"""),79.4)</f>
        <v>79.400000000000006</v>
      </c>
      <c r="E276" s="141">
        <f ca="1">IFERROR(__xludf.DUMMYFUNCTION("""COMPUTED_VALUE"""),79.24)</f>
        <v>79.239999999999995</v>
      </c>
      <c r="F276" s="141">
        <f ca="1">IFERROR(__xludf.DUMMYFUNCTION("""COMPUTED_VALUE"""),79.27)</f>
        <v>79.27</v>
      </c>
      <c r="G276" s="143">
        <f ca="1">IFERROR(__xludf.DUMMYFUNCTION("""COMPUTED_VALUE"""),28939807)</f>
        <v>28939807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IFERROR(__xludf.DUMMYFUNCTION("""COMPUTED_VALUE"""),79.32)</f>
        <v>79.319999999999993</v>
      </c>
      <c r="D277" s="141">
        <f ca="1">IFERROR(__xludf.DUMMYFUNCTION("""COMPUTED_VALUE"""),79.42)</f>
        <v>79.42</v>
      </c>
      <c r="E277" s="141">
        <f ca="1">IFERROR(__xludf.DUMMYFUNCTION("""COMPUTED_VALUE"""),79.25)</f>
        <v>79.25</v>
      </c>
      <c r="F277" s="141">
        <f ca="1">IFERROR(__xludf.DUMMYFUNCTION("""COMPUTED_VALUE"""),79.42)</f>
        <v>79.42</v>
      </c>
      <c r="G277" s="143">
        <f ca="1">IFERROR(__xludf.DUMMYFUNCTION("""COMPUTED_VALUE"""),33698352)</f>
        <v>33698352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IFERROR(__xludf.DUMMYFUNCTION("""COMPUTED_VALUE"""),79.37)</f>
        <v>79.37</v>
      </c>
      <c r="D278" s="141">
        <f ca="1">IFERROR(__xludf.DUMMYFUNCTION("""COMPUTED_VALUE"""),79.47)</f>
        <v>79.47</v>
      </c>
      <c r="E278" s="141">
        <f ca="1">IFERROR(__xludf.DUMMYFUNCTION("""COMPUTED_VALUE"""),79.14)</f>
        <v>79.14</v>
      </c>
      <c r="F278" s="141">
        <f ca="1">IFERROR(__xludf.DUMMYFUNCTION("""COMPUTED_VALUE"""),79.24)</f>
        <v>79.239999999999995</v>
      </c>
      <c r="G278" s="143">
        <f ca="1">IFERROR(__xludf.DUMMYFUNCTION("""COMPUTED_VALUE"""),52933180)</f>
        <v>52933180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65" priority="5" operator="lessThan">
      <formula>0</formula>
    </cfRule>
    <cfRule type="cellIs" dxfId="64" priority="6" operator="greaterThan">
      <formula>0</formula>
    </cfRule>
  </conditionalFormatting>
  <conditionalFormatting sqref="F28:F1000">
    <cfRule type="expression" dxfId="63" priority="1">
      <formula>AND(F28=MAX(F$28:F$1000),F28&gt;0)</formula>
    </cfRule>
    <cfRule type="expression" dxfId="62" priority="2">
      <formula>AND(F28=MIN(F$28:F$1000),F28&gt;0)</formula>
    </cfRule>
  </conditionalFormatting>
  <conditionalFormatting sqref="F29:F1000">
    <cfRule type="expression" dxfId="61" priority="3">
      <formula>F29&gt;F27</formula>
    </cfRule>
    <cfRule type="expression" dxfId="60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0F00-000000000000}">
      <formula1>"1 Month,3 Months,6 Months,12 Months,36 Months"</formula1>
    </dataValidation>
  </dataValidations>
  <hyperlinks>
    <hyperlink ref="G2" r:id="rId1" xr:uid="{00000000-0004-0000-0F00-000000000000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151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TIPS Bond ETF")</f>
        <v>iShares TIPS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IFERROR(__xludf.DUMMYFUNCTION("GOOGLEFINANCE(B18,""price"")"),107.77)</f>
        <v>107.77</v>
      </c>
      <c r="C10" s="322"/>
      <c r="D10" s="100">
        <f ca="1">IFERROR(__xludf.DUMMYFUNCTION("IFERROR(GOOGLEFINANCE(B18,""change""),""-"")"),0.11)</f>
        <v>0.11</v>
      </c>
      <c r="E10" s="103">
        <f ca="1">IFERROR(__xludf.DUMMYFUNCTION("IFERROR(GOOGLEFINANCE(B18,""changepct"")/100,""-"")"),0.001)</f>
        <v>1E-3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IFERROR(__xludf.DUMMYFUNCTION("IFERROR(GOOGLEFINANCE(B18,""marketcap""),""-"")"),238051656)</f>
        <v>238051656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tip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IFERROR(__xludf.DUMMYFUNCTION("""COMPUTED_VALUE"""),110.05)</f>
        <v>110.05</v>
      </c>
      <c r="D28" s="141">
        <f ca="1">IFERROR(__xludf.DUMMYFUNCTION("""COMPUTED_VALUE"""),110.24)</f>
        <v>110.24</v>
      </c>
      <c r="E28" s="141">
        <f ca="1">IFERROR(__xludf.DUMMYFUNCTION("""COMPUTED_VALUE"""),109.81)</f>
        <v>109.81</v>
      </c>
      <c r="F28" s="141">
        <f ca="1">IFERROR(__xludf.DUMMYFUNCTION("""COMPUTED_VALUE"""),109.85)</f>
        <v>109.85</v>
      </c>
      <c r="G28" s="143">
        <f ca="1">IFERROR(__xludf.DUMMYFUNCTION("""COMPUTED_VALUE"""),3846779)</f>
        <v>3846779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IFERROR(__xludf.DUMMYFUNCTION("""COMPUTED_VALUE"""),109.99)</f>
        <v>109.99</v>
      </c>
      <c r="D29" s="141">
        <f ca="1">IFERROR(__xludf.DUMMYFUNCTION("""COMPUTED_VALUE"""),110.08)</f>
        <v>110.08</v>
      </c>
      <c r="E29" s="141">
        <f ca="1">IFERROR(__xludf.DUMMYFUNCTION("""COMPUTED_VALUE"""),109.66)</f>
        <v>109.66</v>
      </c>
      <c r="F29" s="141">
        <f ca="1">IFERROR(__xludf.DUMMYFUNCTION("""COMPUTED_VALUE"""),109.67)</f>
        <v>109.67</v>
      </c>
      <c r="G29" s="143">
        <f ca="1">IFERROR(__xludf.DUMMYFUNCTION("""COMPUTED_VALUE"""),3608814)</f>
        <v>3608814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IFERROR(__xludf.DUMMYFUNCTION("""COMPUTED_VALUE"""),110.02)</f>
        <v>110.02</v>
      </c>
      <c r="D30" s="141">
        <f ca="1">IFERROR(__xludf.DUMMYFUNCTION("""COMPUTED_VALUE"""),110.2)</f>
        <v>110.2</v>
      </c>
      <c r="E30" s="141">
        <f ca="1">IFERROR(__xludf.DUMMYFUNCTION("""COMPUTED_VALUE"""),109.8)</f>
        <v>109.8</v>
      </c>
      <c r="F30" s="141">
        <f ca="1">IFERROR(__xludf.DUMMYFUNCTION("""COMPUTED_VALUE"""),110.17)</f>
        <v>110.17</v>
      </c>
      <c r="G30" s="143">
        <f ca="1">IFERROR(__xludf.DUMMYFUNCTION("""COMPUTED_VALUE"""),3766791)</f>
        <v>3766791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IFERROR(__xludf.DUMMYFUNCTION("""COMPUTED_VALUE"""),110.25)</f>
        <v>110.25</v>
      </c>
      <c r="D31" s="141">
        <f ca="1">IFERROR(__xludf.DUMMYFUNCTION("""COMPUTED_VALUE"""),110.58)</f>
        <v>110.58</v>
      </c>
      <c r="E31" s="141">
        <f ca="1">IFERROR(__xludf.DUMMYFUNCTION("""COMPUTED_VALUE"""),110.2)</f>
        <v>110.2</v>
      </c>
      <c r="F31" s="141">
        <f ca="1">IFERROR(__xludf.DUMMYFUNCTION("""COMPUTED_VALUE"""),110.49)</f>
        <v>110.49</v>
      </c>
      <c r="G31" s="143">
        <f ca="1">IFERROR(__xludf.DUMMYFUNCTION("""COMPUTED_VALUE"""),3015037)</f>
        <v>3015037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IFERROR(__xludf.DUMMYFUNCTION("""COMPUTED_VALUE"""),110.4)</f>
        <v>110.4</v>
      </c>
      <c r="D32" s="141">
        <f ca="1">IFERROR(__xludf.DUMMYFUNCTION("""COMPUTED_VALUE"""),110.53)</f>
        <v>110.53</v>
      </c>
      <c r="E32" s="141">
        <f ca="1">IFERROR(__xludf.DUMMYFUNCTION("""COMPUTED_VALUE"""),110.37)</f>
        <v>110.37</v>
      </c>
      <c r="F32" s="141">
        <f ca="1">IFERROR(__xludf.DUMMYFUNCTION("""COMPUTED_VALUE"""),110.39)</f>
        <v>110.39</v>
      </c>
      <c r="G32" s="143">
        <f ca="1">IFERROR(__xludf.DUMMYFUNCTION("""COMPUTED_VALUE"""),1800349)</f>
        <v>1800349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IFERROR(__xludf.DUMMYFUNCTION("""COMPUTED_VALUE"""),110.3)</f>
        <v>110.3</v>
      </c>
      <c r="D33" s="141">
        <f ca="1">IFERROR(__xludf.DUMMYFUNCTION("""COMPUTED_VALUE"""),110.45)</f>
        <v>110.45</v>
      </c>
      <c r="E33" s="141">
        <f ca="1">IFERROR(__xludf.DUMMYFUNCTION("""COMPUTED_VALUE"""),110.08)</f>
        <v>110.08</v>
      </c>
      <c r="F33" s="141">
        <f ca="1">IFERROR(__xludf.DUMMYFUNCTION("""COMPUTED_VALUE"""),110.3)</f>
        <v>110.3</v>
      </c>
      <c r="G33" s="143">
        <f ca="1">IFERROR(__xludf.DUMMYFUNCTION("""COMPUTED_VALUE"""),1856219)</f>
        <v>1856219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IFERROR(__xludf.DUMMYFUNCTION("""COMPUTED_VALUE"""),110.34)</f>
        <v>110.34</v>
      </c>
      <c r="D34" s="141">
        <f ca="1">IFERROR(__xludf.DUMMYFUNCTION("""COMPUTED_VALUE"""),110.42)</f>
        <v>110.42</v>
      </c>
      <c r="E34" s="141">
        <f ca="1">IFERROR(__xludf.DUMMYFUNCTION("""COMPUTED_VALUE"""),110.23)</f>
        <v>110.23</v>
      </c>
      <c r="F34" s="141">
        <f ca="1">IFERROR(__xludf.DUMMYFUNCTION("""COMPUTED_VALUE"""),110.42)</f>
        <v>110.42</v>
      </c>
      <c r="G34" s="143">
        <f ca="1">IFERROR(__xludf.DUMMYFUNCTION("""COMPUTED_VALUE"""),1606304)</f>
        <v>1606304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IFERROR(__xludf.DUMMYFUNCTION("""COMPUTED_VALUE"""),110.26)</f>
        <v>110.26</v>
      </c>
      <c r="D35" s="141">
        <f ca="1">IFERROR(__xludf.DUMMYFUNCTION("""COMPUTED_VALUE"""),110.42)</f>
        <v>110.42</v>
      </c>
      <c r="E35" s="141">
        <f ca="1">IFERROR(__xludf.DUMMYFUNCTION("""COMPUTED_VALUE"""),110.13)</f>
        <v>110.13</v>
      </c>
      <c r="F35" s="141">
        <f ca="1">IFERROR(__xludf.DUMMYFUNCTION("""COMPUTED_VALUE"""),110.35)</f>
        <v>110.35</v>
      </c>
      <c r="G35" s="143">
        <f ca="1">IFERROR(__xludf.DUMMYFUNCTION("""COMPUTED_VALUE"""),1831596)</f>
        <v>1831596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IFERROR(__xludf.DUMMYFUNCTION("""COMPUTED_VALUE"""),110.43)</f>
        <v>110.43</v>
      </c>
      <c r="D36" s="141">
        <f ca="1">IFERROR(__xludf.DUMMYFUNCTION("""COMPUTED_VALUE"""),110.53)</f>
        <v>110.53</v>
      </c>
      <c r="E36" s="141">
        <f ca="1">IFERROR(__xludf.DUMMYFUNCTION("""COMPUTED_VALUE"""),110.35)</f>
        <v>110.35</v>
      </c>
      <c r="F36" s="141">
        <f ca="1">IFERROR(__xludf.DUMMYFUNCTION("""COMPUTED_VALUE"""),110.35)</f>
        <v>110.35</v>
      </c>
      <c r="G36" s="143">
        <f ca="1">IFERROR(__xludf.DUMMYFUNCTION("""COMPUTED_VALUE"""),1624667)</f>
        <v>1624667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IFERROR(__xludf.DUMMYFUNCTION("""COMPUTED_VALUE"""),110.03)</f>
        <v>110.03</v>
      </c>
      <c r="D37" s="141">
        <f ca="1">IFERROR(__xludf.DUMMYFUNCTION("""COMPUTED_VALUE"""),110.23)</f>
        <v>110.23</v>
      </c>
      <c r="E37" s="141">
        <f ca="1">IFERROR(__xludf.DUMMYFUNCTION("""COMPUTED_VALUE"""),109.95)</f>
        <v>109.95</v>
      </c>
      <c r="F37" s="141">
        <f ca="1">IFERROR(__xludf.DUMMYFUNCTION("""COMPUTED_VALUE"""),110.16)</f>
        <v>110.16</v>
      </c>
      <c r="G37" s="143">
        <f ca="1">IFERROR(__xludf.DUMMYFUNCTION("""COMPUTED_VALUE"""),2526074)</f>
        <v>2526074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IFERROR(__xludf.DUMMYFUNCTION("""COMPUTED_VALUE"""),110.5)</f>
        <v>110.5</v>
      </c>
      <c r="D38" s="141">
        <f ca="1">IFERROR(__xludf.DUMMYFUNCTION("""COMPUTED_VALUE"""),110.65)</f>
        <v>110.65</v>
      </c>
      <c r="E38" s="141">
        <f ca="1">IFERROR(__xludf.DUMMYFUNCTION("""COMPUTED_VALUE"""),110.49)</f>
        <v>110.49</v>
      </c>
      <c r="F38" s="141">
        <f ca="1">IFERROR(__xludf.DUMMYFUNCTION("""COMPUTED_VALUE"""),110.58)</f>
        <v>110.58</v>
      </c>
      <c r="G38" s="143">
        <f ca="1">IFERROR(__xludf.DUMMYFUNCTION("""COMPUTED_VALUE"""),1598300)</f>
        <v>1598300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IFERROR(__xludf.DUMMYFUNCTION("""COMPUTED_VALUE"""),110.45)</f>
        <v>110.45</v>
      </c>
      <c r="D39" s="141">
        <f ca="1">IFERROR(__xludf.DUMMYFUNCTION("""COMPUTED_VALUE"""),110.49)</f>
        <v>110.49</v>
      </c>
      <c r="E39" s="141">
        <f ca="1">IFERROR(__xludf.DUMMYFUNCTION("""COMPUTED_VALUE"""),110.24)</f>
        <v>110.24</v>
      </c>
      <c r="F39" s="141">
        <f ca="1">IFERROR(__xludf.DUMMYFUNCTION("""COMPUTED_VALUE"""),110.25)</f>
        <v>110.25</v>
      </c>
      <c r="G39" s="143">
        <f ca="1">IFERROR(__xludf.DUMMYFUNCTION("""COMPUTED_VALUE"""),2203528)</f>
        <v>2203528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IFERROR(__xludf.DUMMYFUNCTION("""COMPUTED_VALUE"""),110.24)</f>
        <v>110.24</v>
      </c>
      <c r="D40" s="141">
        <f ca="1">IFERROR(__xludf.DUMMYFUNCTION("""COMPUTED_VALUE"""),110.28)</f>
        <v>110.28</v>
      </c>
      <c r="E40" s="141">
        <f ca="1">IFERROR(__xludf.DUMMYFUNCTION("""COMPUTED_VALUE"""),109.95)</f>
        <v>109.95</v>
      </c>
      <c r="F40" s="141">
        <f ca="1">IFERROR(__xludf.DUMMYFUNCTION("""COMPUTED_VALUE"""),110.04)</f>
        <v>110.04</v>
      </c>
      <c r="G40" s="143">
        <f ca="1">IFERROR(__xludf.DUMMYFUNCTION("""COMPUTED_VALUE"""),1745896)</f>
        <v>1745896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IFERROR(__xludf.DUMMYFUNCTION("""COMPUTED_VALUE"""),110.06)</f>
        <v>110.06</v>
      </c>
      <c r="D41" s="141">
        <f ca="1">IFERROR(__xludf.DUMMYFUNCTION("""COMPUTED_VALUE"""),110.06)</f>
        <v>110.06</v>
      </c>
      <c r="E41" s="141">
        <f ca="1">IFERROR(__xludf.DUMMYFUNCTION("""COMPUTED_VALUE"""),109.79)</f>
        <v>109.79</v>
      </c>
      <c r="F41" s="141">
        <f ca="1">IFERROR(__xludf.DUMMYFUNCTION("""COMPUTED_VALUE"""),109.92)</f>
        <v>109.92</v>
      </c>
      <c r="G41" s="143">
        <f ca="1">IFERROR(__xludf.DUMMYFUNCTION("""COMPUTED_VALUE"""),1721338)</f>
        <v>1721338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IFERROR(__xludf.DUMMYFUNCTION("""COMPUTED_VALUE"""),110.03)</f>
        <v>110.03</v>
      </c>
      <c r="D42" s="141">
        <f ca="1">IFERROR(__xludf.DUMMYFUNCTION("""COMPUTED_VALUE"""),110.11)</f>
        <v>110.11</v>
      </c>
      <c r="E42" s="141">
        <f ca="1">IFERROR(__xludf.DUMMYFUNCTION("""COMPUTED_VALUE"""),110.01)</f>
        <v>110.01</v>
      </c>
      <c r="F42" s="141">
        <f ca="1">IFERROR(__xludf.DUMMYFUNCTION("""COMPUTED_VALUE"""),110.03)</f>
        <v>110.03</v>
      </c>
      <c r="G42" s="143">
        <f ca="1">IFERROR(__xludf.DUMMYFUNCTION("""COMPUTED_VALUE"""),2263585)</f>
        <v>2263585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IFERROR(__xludf.DUMMYFUNCTION("""COMPUTED_VALUE"""),110.05)</f>
        <v>110.05</v>
      </c>
      <c r="D43" s="141">
        <f ca="1">IFERROR(__xludf.DUMMYFUNCTION("""COMPUTED_VALUE"""),110.26)</f>
        <v>110.26</v>
      </c>
      <c r="E43" s="141">
        <f ca="1">IFERROR(__xludf.DUMMYFUNCTION("""COMPUTED_VALUE"""),110.05)</f>
        <v>110.05</v>
      </c>
      <c r="F43" s="141">
        <f ca="1">IFERROR(__xludf.DUMMYFUNCTION("""COMPUTED_VALUE"""),110.15)</f>
        <v>110.15</v>
      </c>
      <c r="G43" s="143">
        <f ca="1">IFERROR(__xludf.DUMMYFUNCTION("""COMPUTED_VALUE"""),2369353)</f>
        <v>2369353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IFERROR(__xludf.DUMMYFUNCTION("""COMPUTED_VALUE"""),110.1)</f>
        <v>110.1</v>
      </c>
      <c r="D44" s="141">
        <f ca="1">IFERROR(__xludf.DUMMYFUNCTION("""COMPUTED_VALUE"""),110.22)</f>
        <v>110.22</v>
      </c>
      <c r="E44" s="141">
        <f ca="1">IFERROR(__xludf.DUMMYFUNCTION("""COMPUTED_VALUE"""),109.93)</f>
        <v>109.93</v>
      </c>
      <c r="F44" s="141">
        <f ca="1">IFERROR(__xludf.DUMMYFUNCTION("""COMPUTED_VALUE"""),110.17)</f>
        <v>110.17</v>
      </c>
      <c r="G44" s="143">
        <f ca="1">IFERROR(__xludf.DUMMYFUNCTION("""COMPUTED_VALUE"""),3562969)</f>
        <v>3562969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IFERROR(__xludf.DUMMYFUNCTION("""COMPUTED_VALUE"""),110.3)</f>
        <v>110.3</v>
      </c>
      <c r="D45" s="141">
        <f ca="1">IFERROR(__xludf.DUMMYFUNCTION("""COMPUTED_VALUE"""),110.95)</f>
        <v>110.95</v>
      </c>
      <c r="E45" s="141">
        <f ca="1">IFERROR(__xludf.DUMMYFUNCTION("""COMPUTED_VALUE"""),110.27)</f>
        <v>110.27</v>
      </c>
      <c r="F45" s="141">
        <f ca="1">IFERROR(__xludf.DUMMYFUNCTION("""COMPUTED_VALUE"""),110.92)</f>
        <v>110.92</v>
      </c>
      <c r="G45" s="143">
        <f ca="1">IFERROR(__xludf.DUMMYFUNCTION("""COMPUTED_VALUE"""),3388320)</f>
        <v>3388320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IFERROR(__xludf.DUMMYFUNCTION("""COMPUTED_VALUE"""),110.74)</f>
        <v>110.74</v>
      </c>
      <c r="D46" s="141">
        <f ca="1">IFERROR(__xludf.DUMMYFUNCTION("""COMPUTED_VALUE"""),110.82)</f>
        <v>110.82</v>
      </c>
      <c r="E46" s="141">
        <f ca="1">IFERROR(__xludf.DUMMYFUNCTION("""COMPUTED_VALUE"""),110.67)</f>
        <v>110.67</v>
      </c>
      <c r="F46" s="141">
        <f ca="1">IFERROR(__xludf.DUMMYFUNCTION("""COMPUTED_VALUE"""),110.71)</f>
        <v>110.71</v>
      </c>
      <c r="G46" s="143">
        <f ca="1">IFERROR(__xludf.DUMMYFUNCTION("""COMPUTED_VALUE"""),4332665)</f>
        <v>4332665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IFERROR(__xludf.DUMMYFUNCTION("""COMPUTED_VALUE"""),110.76)</f>
        <v>110.76</v>
      </c>
      <c r="D47" s="141">
        <f ca="1">IFERROR(__xludf.DUMMYFUNCTION("""COMPUTED_VALUE"""),111.03)</f>
        <v>111.03</v>
      </c>
      <c r="E47" s="141">
        <f ca="1">IFERROR(__xludf.DUMMYFUNCTION("""COMPUTED_VALUE"""),110.7)</f>
        <v>110.7</v>
      </c>
      <c r="F47" s="141">
        <f ca="1">IFERROR(__xludf.DUMMYFUNCTION("""COMPUTED_VALUE"""),110.97)</f>
        <v>110.97</v>
      </c>
      <c r="G47" s="143">
        <f ca="1">IFERROR(__xludf.DUMMYFUNCTION("""COMPUTED_VALUE"""),5345713)</f>
        <v>5345713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IFERROR(__xludf.DUMMYFUNCTION("""COMPUTED_VALUE"""),110.96)</f>
        <v>110.96</v>
      </c>
      <c r="D48" s="141">
        <f ca="1">IFERROR(__xludf.DUMMYFUNCTION("""COMPUTED_VALUE"""),111.27)</f>
        <v>111.27</v>
      </c>
      <c r="E48" s="141">
        <f ca="1">IFERROR(__xludf.DUMMYFUNCTION("""COMPUTED_VALUE"""),110.89)</f>
        <v>110.89</v>
      </c>
      <c r="F48" s="141">
        <f ca="1">IFERROR(__xludf.DUMMYFUNCTION("""COMPUTED_VALUE"""),111.22)</f>
        <v>111.22</v>
      </c>
      <c r="G48" s="143">
        <f ca="1">IFERROR(__xludf.DUMMYFUNCTION("""COMPUTED_VALUE"""),2106748)</f>
        <v>2106748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IFERROR(__xludf.DUMMYFUNCTION("""COMPUTED_VALUE"""),111.24)</f>
        <v>111.24</v>
      </c>
      <c r="D49" s="141">
        <f ca="1">IFERROR(__xludf.DUMMYFUNCTION("""COMPUTED_VALUE"""),111.35)</f>
        <v>111.35</v>
      </c>
      <c r="E49" s="141">
        <f ca="1">IFERROR(__xludf.DUMMYFUNCTION("""COMPUTED_VALUE"""),111.2)</f>
        <v>111.2</v>
      </c>
      <c r="F49" s="141">
        <f ca="1">IFERROR(__xludf.DUMMYFUNCTION("""COMPUTED_VALUE"""),111.29)</f>
        <v>111.29</v>
      </c>
      <c r="G49" s="143">
        <f ca="1">IFERROR(__xludf.DUMMYFUNCTION("""COMPUTED_VALUE"""),3876141)</f>
        <v>3876141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IFERROR(__xludf.DUMMYFUNCTION("""COMPUTED_VALUE"""),111.32)</f>
        <v>111.32</v>
      </c>
      <c r="D50" s="141">
        <f ca="1">IFERROR(__xludf.DUMMYFUNCTION("""COMPUTED_VALUE"""),111.34)</f>
        <v>111.34</v>
      </c>
      <c r="E50" s="141">
        <f ca="1">IFERROR(__xludf.DUMMYFUNCTION("""COMPUTED_VALUE"""),111.16)</f>
        <v>111.16</v>
      </c>
      <c r="F50" s="141">
        <f ca="1">IFERROR(__xludf.DUMMYFUNCTION("""COMPUTED_VALUE"""),111.17)</f>
        <v>111.17</v>
      </c>
      <c r="G50" s="143">
        <f ca="1">IFERROR(__xludf.DUMMYFUNCTION("""COMPUTED_VALUE"""),2847316)</f>
        <v>2847316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IFERROR(__xludf.DUMMYFUNCTION("""COMPUTED_VALUE"""),110.48)</f>
        <v>110.48</v>
      </c>
      <c r="D51" s="141">
        <f ca="1">IFERROR(__xludf.DUMMYFUNCTION("""COMPUTED_VALUE"""),110.6)</f>
        <v>110.6</v>
      </c>
      <c r="E51" s="141">
        <f ca="1">IFERROR(__xludf.DUMMYFUNCTION("""COMPUTED_VALUE"""),110.44)</f>
        <v>110.44</v>
      </c>
      <c r="F51" s="141">
        <f ca="1">IFERROR(__xludf.DUMMYFUNCTION("""COMPUTED_VALUE"""),110.55)</f>
        <v>110.55</v>
      </c>
      <c r="G51" s="143">
        <f ca="1">IFERROR(__xludf.DUMMYFUNCTION("""COMPUTED_VALUE"""),5710695)</f>
        <v>5710695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IFERROR(__xludf.DUMMYFUNCTION("""COMPUTED_VALUE"""),110.55)</f>
        <v>110.55</v>
      </c>
      <c r="D52" s="141">
        <f ca="1">IFERROR(__xludf.DUMMYFUNCTION("""COMPUTED_VALUE"""),110.92)</f>
        <v>110.92</v>
      </c>
      <c r="E52" s="141">
        <f ca="1">IFERROR(__xludf.DUMMYFUNCTION("""COMPUTED_VALUE"""),110.54)</f>
        <v>110.54</v>
      </c>
      <c r="F52" s="141">
        <f ca="1">IFERROR(__xludf.DUMMYFUNCTION("""COMPUTED_VALUE"""),110.8)</f>
        <v>110.8</v>
      </c>
      <c r="G52" s="143">
        <f ca="1">IFERROR(__xludf.DUMMYFUNCTION("""COMPUTED_VALUE"""),4699656)</f>
        <v>4699656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IFERROR(__xludf.DUMMYFUNCTION("""COMPUTED_VALUE"""),110.91)</f>
        <v>110.91</v>
      </c>
      <c r="D53" s="141">
        <f ca="1">IFERROR(__xludf.DUMMYFUNCTION("""COMPUTED_VALUE"""),110.99)</f>
        <v>110.99</v>
      </c>
      <c r="E53" s="141">
        <f ca="1">IFERROR(__xludf.DUMMYFUNCTION("""COMPUTED_VALUE"""),110.78)</f>
        <v>110.78</v>
      </c>
      <c r="F53" s="141">
        <f ca="1">IFERROR(__xludf.DUMMYFUNCTION("""COMPUTED_VALUE"""),110.97)</f>
        <v>110.97</v>
      </c>
      <c r="G53" s="143">
        <f ca="1">IFERROR(__xludf.DUMMYFUNCTION("""COMPUTED_VALUE"""),3919519)</f>
        <v>3919519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IFERROR(__xludf.DUMMYFUNCTION("""COMPUTED_VALUE"""),111.37)</f>
        <v>111.37</v>
      </c>
      <c r="D54" s="141">
        <f ca="1">IFERROR(__xludf.DUMMYFUNCTION("""COMPUTED_VALUE"""),111.46)</f>
        <v>111.46</v>
      </c>
      <c r="E54" s="141">
        <f ca="1">IFERROR(__xludf.DUMMYFUNCTION("""COMPUTED_VALUE"""),111.33)</f>
        <v>111.33</v>
      </c>
      <c r="F54" s="141">
        <f ca="1">IFERROR(__xludf.DUMMYFUNCTION("""COMPUTED_VALUE"""),111.46)</f>
        <v>111.46</v>
      </c>
      <c r="G54" s="143">
        <f ca="1">IFERROR(__xludf.DUMMYFUNCTION("""COMPUTED_VALUE"""),4068818)</f>
        <v>4068818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IFERROR(__xludf.DUMMYFUNCTION("""COMPUTED_VALUE"""),111.64)</f>
        <v>111.64</v>
      </c>
      <c r="D55" s="141">
        <f ca="1">IFERROR(__xludf.DUMMYFUNCTION("""COMPUTED_VALUE"""),111.72)</f>
        <v>111.72</v>
      </c>
      <c r="E55" s="141">
        <f ca="1">IFERROR(__xludf.DUMMYFUNCTION("""COMPUTED_VALUE"""),111.55)</f>
        <v>111.55</v>
      </c>
      <c r="F55" s="141">
        <f ca="1">IFERROR(__xludf.DUMMYFUNCTION("""COMPUTED_VALUE"""),111.69)</f>
        <v>111.69</v>
      </c>
      <c r="G55" s="143">
        <f ca="1">IFERROR(__xludf.DUMMYFUNCTION("""COMPUTED_VALUE"""),3818251)</f>
        <v>3818251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IFERROR(__xludf.DUMMYFUNCTION("""COMPUTED_VALUE"""),111.67)</f>
        <v>111.67</v>
      </c>
      <c r="D56" s="141">
        <f ca="1">IFERROR(__xludf.DUMMYFUNCTION("""COMPUTED_VALUE"""),111.76)</f>
        <v>111.76</v>
      </c>
      <c r="E56" s="141">
        <f ca="1">IFERROR(__xludf.DUMMYFUNCTION("""COMPUTED_VALUE"""),111.45)</f>
        <v>111.45</v>
      </c>
      <c r="F56" s="141">
        <f ca="1">IFERROR(__xludf.DUMMYFUNCTION("""COMPUTED_VALUE"""),111.47)</f>
        <v>111.47</v>
      </c>
      <c r="G56" s="143">
        <f ca="1">IFERROR(__xludf.DUMMYFUNCTION("""COMPUTED_VALUE"""),4938854)</f>
        <v>4938854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IFERROR(__xludf.DUMMYFUNCTION("""COMPUTED_VALUE"""),111.57)</f>
        <v>111.57</v>
      </c>
      <c r="D57" s="141">
        <f ca="1">IFERROR(__xludf.DUMMYFUNCTION("""COMPUTED_VALUE"""),111.79)</f>
        <v>111.79</v>
      </c>
      <c r="E57" s="141">
        <f ca="1">IFERROR(__xludf.DUMMYFUNCTION("""COMPUTED_VALUE"""),111.48)</f>
        <v>111.48</v>
      </c>
      <c r="F57" s="141">
        <f ca="1">IFERROR(__xludf.DUMMYFUNCTION("""COMPUTED_VALUE"""),111.64)</f>
        <v>111.64</v>
      </c>
      <c r="G57" s="143">
        <f ca="1">IFERROR(__xludf.DUMMYFUNCTION("""COMPUTED_VALUE"""),4601177)</f>
        <v>4601177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IFERROR(__xludf.DUMMYFUNCTION("""COMPUTED_VALUE"""),111.77)</f>
        <v>111.77</v>
      </c>
      <c r="D58" s="141">
        <f ca="1">IFERROR(__xludf.DUMMYFUNCTION("""COMPUTED_VALUE"""),111.96)</f>
        <v>111.96</v>
      </c>
      <c r="E58" s="141">
        <f ca="1">IFERROR(__xludf.DUMMYFUNCTION("""COMPUTED_VALUE"""),111.76)</f>
        <v>111.76</v>
      </c>
      <c r="F58" s="141">
        <f ca="1">IFERROR(__xludf.DUMMYFUNCTION("""COMPUTED_VALUE"""),111.82)</f>
        <v>111.82</v>
      </c>
      <c r="G58" s="143">
        <f ca="1">IFERROR(__xludf.DUMMYFUNCTION("""COMPUTED_VALUE"""),4158739)</f>
        <v>4158739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IFERROR(__xludf.DUMMYFUNCTION("""COMPUTED_VALUE"""),111.7)</f>
        <v>111.7</v>
      </c>
      <c r="D59" s="141">
        <f ca="1">IFERROR(__xludf.DUMMYFUNCTION("""COMPUTED_VALUE"""),111.72)</f>
        <v>111.72</v>
      </c>
      <c r="E59" s="141">
        <f ca="1">IFERROR(__xludf.DUMMYFUNCTION("""COMPUTED_VALUE"""),111.57)</f>
        <v>111.57</v>
      </c>
      <c r="F59" s="141">
        <f ca="1">IFERROR(__xludf.DUMMYFUNCTION("""COMPUTED_VALUE"""),111.67)</f>
        <v>111.67</v>
      </c>
      <c r="G59" s="143">
        <f ca="1">IFERROR(__xludf.DUMMYFUNCTION("""COMPUTED_VALUE"""),2049147)</f>
        <v>2049147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IFERROR(__xludf.DUMMYFUNCTION("""COMPUTED_VALUE"""),111.74)</f>
        <v>111.74</v>
      </c>
      <c r="D60" s="141">
        <f ca="1">IFERROR(__xludf.DUMMYFUNCTION("""COMPUTED_VALUE"""),111.89)</f>
        <v>111.89</v>
      </c>
      <c r="E60" s="141">
        <f ca="1">IFERROR(__xludf.DUMMYFUNCTION("""COMPUTED_VALUE"""),111.74)</f>
        <v>111.74</v>
      </c>
      <c r="F60" s="141">
        <f ca="1">IFERROR(__xludf.DUMMYFUNCTION("""COMPUTED_VALUE"""),111.78)</f>
        <v>111.78</v>
      </c>
      <c r="G60" s="143">
        <f ca="1">IFERROR(__xludf.DUMMYFUNCTION("""COMPUTED_VALUE"""),3586995)</f>
        <v>3586995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IFERROR(__xludf.DUMMYFUNCTION("""COMPUTED_VALUE"""),111.86)</f>
        <v>111.86</v>
      </c>
      <c r="D61" s="141">
        <f ca="1">IFERROR(__xludf.DUMMYFUNCTION("""COMPUTED_VALUE"""),111.96)</f>
        <v>111.96</v>
      </c>
      <c r="E61" s="141">
        <f ca="1">IFERROR(__xludf.DUMMYFUNCTION("""COMPUTED_VALUE"""),111.8)</f>
        <v>111.8</v>
      </c>
      <c r="F61" s="141">
        <f ca="1">IFERROR(__xludf.DUMMYFUNCTION("""COMPUTED_VALUE"""),111.88)</f>
        <v>111.88</v>
      </c>
      <c r="G61" s="143">
        <f ca="1">IFERROR(__xludf.DUMMYFUNCTION("""COMPUTED_VALUE"""),5346508)</f>
        <v>5346508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IFERROR(__xludf.DUMMYFUNCTION("""COMPUTED_VALUE"""),111.94)</f>
        <v>111.94</v>
      </c>
      <c r="D62" s="141">
        <f ca="1">IFERROR(__xludf.DUMMYFUNCTION("""COMPUTED_VALUE"""),112.26)</f>
        <v>112.26</v>
      </c>
      <c r="E62" s="141">
        <f ca="1">IFERROR(__xludf.DUMMYFUNCTION("""COMPUTED_VALUE"""),111.66)</f>
        <v>111.66</v>
      </c>
      <c r="F62" s="141">
        <f ca="1">IFERROR(__xludf.DUMMYFUNCTION("""COMPUTED_VALUE"""),111.81)</f>
        <v>111.81</v>
      </c>
      <c r="G62" s="143">
        <f ca="1">IFERROR(__xludf.DUMMYFUNCTION("""COMPUTED_VALUE"""),5676200)</f>
        <v>5676200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IFERROR(__xludf.DUMMYFUNCTION("""COMPUTED_VALUE"""),111.57)</f>
        <v>111.57</v>
      </c>
      <c r="D63" s="141">
        <f ca="1">IFERROR(__xludf.DUMMYFUNCTION("""COMPUTED_VALUE"""),111.71)</f>
        <v>111.71</v>
      </c>
      <c r="E63" s="141">
        <f ca="1">IFERROR(__xludf.DUMMYFUNCTION("""COMPUTED_VALUE"""),111.33)</f>
        <v>111.33</v>
      </c>
      <c r="F63" s="141">
        <f ca="1">IFERROR(__xludf.DUMMYFUNCTION("""COMPUTED_VALUE"""),111.5)</f>
        <v>111.5</v>
      </c>
      <c r="G63" s="143">
        <f ca="1">IFERROR(__xludf.DUMMYFUNCTION("""COMPUTED_VALUE"""),4223125)</f>
        <v>4223125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IFERROR(__xludf.DUMMYFUNCTION("""COMPUTED_VALUE"""),111.48)</f>
        <v>111.48</v>
      </c>
      <c r="D64" s="141">
        <f ca="1">IFERROR(__xludf.DUMMYFUNCTION("""COMPUTED_VALUE"""),111.54)</f>
        <v>111.54</v>
      </c>
      <c r="E64" s="141">
        <f ca="1">IFERROR(__xludf.DUMMYFUNCTION("""COMPUTED_VALUE"""),111.31)</f>
        <v>111.31</v>
      </c>
      <c r="F64" s="141">
        <f ca="1">IFERROR(__xludf.DUMMYFUNCTION("""COMPUTED_VALUE"""),111.44)</f>
        <v>111.44</v>
      </c>
      <c r="G64" s="143">
        <f ca="1">IFERROR(__xludf.DUMMYFUNCTION("""COMPUTED_VALUE"""),1336694)</f>
        <v>1336694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IFERROR(__xludf.DUMMYFUNCTION("""COMPUTED_VALUE"""),111.33)</f>
        <v>111.33</v>
      </c>
      <c r="D65" s="141">
        <f ca="1">IFERROR(__xludf.DUMMYFUNCTION("""COMPUTED_VALUE"""),111.36)</f>
        <v>111.36</v>
      </c>
      <c r="E65" s="141">
        <f ca="1">IFERROR(__xludf.DUMMYFUNCTION("""COMPUTED_VALUE"""),111.15)</f>
        <v>111.15</v>
      </c>
      <c r="F65" s="141">
        <f ca="1">IFERROR(__xludf.DUMMYFUNCTION("""COMPUTED_VALUE"""),111.17)</f>
        <v>111.17</v>
      </c>
      <c r="G65" s="143">
        <f ca="1">IFERROR(__xludf.DUMMYFUNCTION("""COMPUTED_VALUE"""),2076355)</f>
        <v>2076355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IFERROR(__xludf.DUMMYFUNCTION("""COMPUTED_VALUE"""),111.3)</f>
        <v>111.3</v>
      </c>
      <c r="D66" s="141">
        <f ca="1">IFERROR(__xludf.DUMMYFUNCTION("""COMPUTED_VALUE"""),111.47)</f>
        <v>111.47</v>
      </c>
      <c r="E66" s="141">
        <f ca="1">IFERROR(__xludf.DUMMYFUNCTION("""COMPUTED_VALUE"""),111.2)</f>
        <v>111.2</v>
      </c>
      <c r="F66" s="141">
        <f ca="1">IFERROR(__xludf.DUMMYFUNCTION("""COMPUTED_VALUE"""),111.47)</f>
        <v>111.47</v>
      </c>
      <c r="G66" s="143">
        <f ca="1">IFERROR(__xludf.DUMMYFUNCTION("""COMPUTED_VALUE"""),2856948)</f>
        <v>2856948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IFERROR(__xludf.DUMMYFUNCTION("""COMPUTED_VALUE"""),111.41)</f>
        <v>111.41</v>
      </c>
      <c r="D67" s="141">
        <f ca="1">IFERROR(__xludf.DUMMYFUNCTION("""COMPUTED_VALUE"""),111.43)</f>
        <v>111.43</v>
      </c>
      <c r="E67" s="141">
        <f ca="1">IFERROR(__xludf.DUMMYFUNCTION("""COMPUTED_VALUE"""),111.23)</f>
        <v>111.23</v>
      </c>
      <c r="F67" s="141">
        <f ca="1">IFERROR(__xludf.DUMMYFUNCTION("""COMPUTED_VALUE"""),111.27)</f>
        <v>111.27</v>
      </c>
      <c r="G67" s="143">
        <f ca="1">IFERROR(__xludf.DUMMYFUNCTION("""COMPUTED_VALUE"""),2236508)</f>
        <v>2236508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IFERROR(__xludf.DUMMYFUNCTION("""COMPUTED_VALUE"""),111.11)</f>
        <v>111.11</v>
      </c>
      <c r="D68" s="141">
        <f ca="1">IFERROR(__xludf.DUMMYFUNCTION("""COMPUTED_VALUE"""),111.17)</f>
        <v>111.17</v>
      </c>
      <c r="E68" s="141">
        <f ca="1">IFERROR(__xludf.DUMMYFUNCTION("""COMPUTED_VALUE"""),110.94)</f>
        <v>110.94</v>
      </c>
      <c r="F68" s="141">
        <f ca="1">IFERROR(__xludf.DUMMYFUNCTION("""COMPUTED_VALUE"""),111.09)</f>
        <v>111.09</v>
      </c>
      <c r="G68" s="143">
        <f ca="1">IFERROR(__xludf.DUMMYFUNCTION("""COMPUTED_VALUE"""),4019946)</f>
        <v>4019946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IFERROR(__xludf.DUMMYFUNCTION("""COMPUTED_VALUE"""),111.16)</f>
        <v>111.16</v>
      </c>
      <c r="D69" s="141">
        <f ca="1">IFERROR(__xludf.DUMMYFUNCTION("""COMPUTED_VALUE"""),111.29)</f>
        <v>111.29</v>
      </c>
      <c r="E69" s="141">
        <f ca="1">IFERROR(__xludf.DUMMYFUNCTION("""COMPUTED_VALUE"""),111.01)</f>
        <v>111.01</v>
      </c>
      <c r="F69" s="141">
        <f ca="1">IFERROR(__xludf.DUMMYFUNCTION("""COMPUTED_VALUE"""),111.11)</f>
        <v>111.11</v>
      </c>
      <c r="G69" s="143">
        <f ca="1">IFERROR(__xludf.DUMMYFUNCTION("""COMPUTED_VALUE"""),2790024)</f>
        <v>2790024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IFERROR(__xludf.DUMMYFUNCTION("""COMPUTED_VALUE"""),111.21)</f>
        <v>111.21</v>
      </c>
      <c r="D70" s="141">
        <f ca="1">IFERROR(__xludf.DUMMYFUNCTION("""COMPUTED_VALUE"""),111.3)</f>
        <v>111.3</v>
      </c>
      <c r="E70" s="141">
        <f ca="1">IFERROR(__xludf.DUMMYFUNCTION("""COMPUTED_VALUE"""),111.16)</f>
        <v>111.16</v>
      </c>
      <c r="F70" s="141">
        <f ca="1">IFERROR(__xludf.DUMMYFUNCTION("""COMPUTED_VALUE"""),111.25)</f>
        <v>111.25</v>
      </c>
      <c r="G70" s="143">
        <f ca="1">IFERROR(__xludf.DUMMYFUNCTION("""COMPUTED_VALUE"""),2524807)</f>
        <v>2524807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IFERROR(__xludf.DUMMYFUNCTION("""COMPUTED_VALUE"""),111.26)</f>
        <v>111.26</v>
      </c>
      <c r="D71" s="141">
        <f ca="1">IFERROR(__xludf.DUMMYFUNCTION("""COMPUTED_VALUE"""),111.4)</f>
        <v>111.4</v>
      </c>
      <c r="E71" s="141">
        <f ca="1">IFERROR(__xludf.DUMMYFUNCTION("""COMPUTED_VALUE"""),111.18)</f>
        <v>111.18</v>
      </c>
      <c r="F71" s="141">
        <f ca="1">IFERROR(__xludf.DUMMYFUNCTION("""COMPUTED_VALUE"""),111.22)</f>
        <v>111.22</v>
      </c>
      <c r="G71" s="143">
        <f ca="1">IFERROR(__xludf.DUMMYFUNCTION("""COMPUTED_VALUE"""),2985169)</f>
        <v>2985169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IFERROR(__xludf.DUMMYFUNCTION("""COMPUTED_VALUE"""),111.3)</f>
        <v>111.3</v>
      </c>
      <c r="D72" s="141">
        <f ca="1">IFERROR(__xludf.DUMMYFUNCTION("""COMPUTED_VALUE"""),111.36)</f>
        <v>111.36</v>
      </c>
      <c r="E72" s="141">
        <f ca="1">IFERROR(__xludf.DUMMYFUNCTION("""COMPUTED_VALUE"""),111.11)</f>
        <v>111.11</v>
      </c>
      <c r="F72" s="141">
        <f ca="1">IFERROR(__xludf.DUMMYFUNCTION("""COMPUTED_VALUE"""),111.22)</f>
        <v>111.22</v>
      </c>
      <c r="G72" s="143">
        <f ca="1">IFERROR(__xludf.DUMMYFUNCTION("""COMPUTED_VALUE"""),3796449)</f>
        <v>3796449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IFERROR(__xludf.DUMMYFUNCTION("""COMPUTED_VALUE"""),111.2)</f>
        <v>111.2</v>
      </c>
      <c r="D73" s="141">
        <f ca="1">IFERROR(__xludf.DUMMYFUNCTION("""COMPUTED_VALUE"""),111.31)</f>
        <v>111.31</v>
      </c>
      <c r="E73" s="141">
        <f ca="1">IFERROR(__xludf.DUMMYFUNCTION("""COMPUTED_VALUE"""),111.15)</f>
        <v>111.15</v>
      </c>
      <c r="F73" s="141">
        <f ca="1">IFERROR(__xludf.DUMMYFUNCTION("""COMPUTED_VALUE"""),111.17)</f>
        <v>111.17</v>
      </c>
      <c r="G73" s="143">
        <f ca="1">IFERROR(__xludf.DUMMYFUNCTION("""COMPUTED_VALUE"""),3162417)</f>
        <v>3162417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IFERROR(__xludf.DUMMYFUNCTION("""COMPUTED_VALUE"""),111.26)</f>
        <v>111.26</v>
      </c>
      <c r="D74" s="141">
        <f ca="1">IFERROR(__xludf.DUMMYFUNCTION("""COMPUTED_VALUE"""),111.29)</f>
        <v>111.29</v>
      </c>
      <c r="E74" s="141">
        <f ca="1">IFERROR(__xludf.DUMMYFUNCTION("""COMPUTED_VALUE"""),111.04)</f>
        <v>111.04</v>
      </c>
      <c r="F74" s="141">
        <f ca="1">IFERROR(__xludf.DUMMYFUNCTION("""COMPUTED_VALUE"""),111.05)</f>
        <v>111.05</v>
      </c>
      <c r="G74" s="143">
        <f ca="1">IFERROR(__xludf.DUMMYFUNCTION("""COMPUTED_VALUE"""),2184023)</f>
        <v>2184023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IFERROR(__xludf.DUMMYFUNCTION("""COMPUTED_VALUE"""),110.92)</f>
        <v>110.92</v>
      </c>
      <c r="D75" s="141">
        <f ca="1">IFERROR(__xludf.DUMMYFUNCTION("""COMPUTED_VALUE"""),111.06)</f>
        <v>111.06</v>
      </c>
      <c r="E75" s="141">
        <f ca="1">IFERROR(__xludf.DUMMYFUNCTION("""COMPUTED_VALUE"""),110.84)</f>
        <v>110.84</v>
      </c>
      <c r="F75" s="141">
        <f ca="1">IFERROR(__xludf.DUMMYFUNCTION("""COMPUTED_VALUE"""),110.86)</f>
        <v>110.86</v>
      </c>
      <c r="G75" s="143">
        <f ca="1">IFERROR(__xludf.DUMMYFUNCTION("""COMPUTED_VALUE"""),2262443)</f>
        <v>2262443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IFERROR(__xludf.DUMMYFUNCTION("""COMPUTED_VALUE"""),110.99)</f>
        <v>110.99</v>
      </c>
      <c r="D76" s="141">
        <f ca="1">IFERROR(__xludf.DUMMYFUNCTION("""COMPUTED_VALUE"""),111.24)</f>
        <v>111.24</v>
      </c>
      <c r="E76" s="141">
        <f ca="1">IFERROR(__xludf.DUMMYFUNCTION("""COMPUTED_VALUE"""),110.95)</f>
        <v>110.95</v>
      </c>
      <c r="F76" s="141">
        <f ca="1">IFERROR(__xludf.DUMMYFUNCTION("""COMPUTED_VALUE"""),111.17)</f>
        <v>111.17</v>
      </c>
      <c r="G76" s="143">
        <f ca="1">IFERROR(__xludf.DUMMYFUNCTION("""COMPUTED_VALUE"""),2714908)</f>
        <v>2714908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IFERROR(__xludf.DUMMYFUNCTION("""COMPUTED_VALUE"""),111.37)</f>
        <v>111.37</v>
      </c>
      <c r="D77" s="141">
        <f ca="1">IFERROR(__xludf.DUMMYFUNCTION("""COMPUTED_VALUE"""),111.38)</f>
        <v>111.38</v>
      </c>
      <c r="E77" s="141">
        <f ca="1">IFERROR(__xludf.DUMMYFUNCTION("""COMPUTED_VALUE"""),111.21)</f>
        <v>111.21</v>
      </c>
      <c r="F77" s="141">
        <f ca="1">IFERROR(__xludf.DUMMYFUNCTION("""COMPUTED_VALUE"""),111.25)</f>
        <v>111.25</v>
      </c>
      <c r="G77" s="143">
        <f ca="1">IFERROR(__xludf.DUMMYFUNCTION("""COMPUTED_VALUE"""),2273256)</f>
        <v>2273256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IFERROR(__xludf.DUMMYFUNCTION("""COMPUTED_VALUE"""),111.24)</f>
        <v>111.24</v>
      </c>
      <c r="D78" s="141">
        <f ca="1">IFERROR(__xludf.DUMMYFUNCTION("""COMPUTED_VALUE"""),111.27)</f>
        <v>111.27</v>
      </c>
      <c r="E78" s="141">
        <f ca="1">IFERROR(__xludf.DUMMYFUNCTION("""COMPUTED_VALUE"""),111.09)</f>
        <v>111.09</v>
      </c>
      <c r="F78" s="141">
        <f ca="1">IFERROR(__xludf.DUMMYFUNCTION("""COMPUTED_VALUE"""),111.12)</f>
        <v>111.12</v>
      </c>
      <c r="G78" s="143">
        <f ca="1">IFERROR(__xludf.DUMMYFUNCTION("""COMPUTED_VALUE"""),2491596)</f>
        <v>2491596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IFERROR(__xludf.DUMMYFUNCTION("""COMPUTED_VALUE"""),111.42)</f>
        <v>111.42</v>
      </c>
      <c r="D79" s="141">
        <f ca="1">IFERROR(__xludf.DUMMYFUNCTION("""COMPUTED_VALUE"""),111.66)</f>
        <v>111.66</v>
      </c>
      <c r="E79" s="141">
        <f ca="1">IFERROR(__xludf.DUMMYFUNCTION("""COMPUTED_VALUE"""),111.37)</f>
        <v>111.37</v>
      </c>
      <c r="F79" s="141">
        <f ca="1">IFERROR(__xludf.DUMMYFUNCTION("""COMPUTED_VALUE"""),111.51)</f>
        <v>111.51</v>
      </c>
      <c r="G79" s="143">
        <f ca="1">IFERROR(__xludf.DUMMYFUNCTION("""COMPUTED_VALUE"""),4018883)</f>
        <v>4018883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IFERROR(__xludf.DUMMYFUNCTION("""COMPUTED_VALUE"""),111.56)</f>
        <v>111.56</v>
      </c>
      <c r="D80" s="141">
        <f ca="1">IFERROR(__xludf.DUMMYFUNCTION("""COMPUTED_VALUE"""),111.79)</f>
        <v>111.79</v>
      </c>
      <c r="E80" s="141">
        <f ca="1">IFERROR(__xludf.DUMMYFUNCTION("""COMPUTED_VALUE"""),111.45)</f>
        <v>111.45</v>
      </c>
      <c r="F80" s="141">
        <f ca="1">IFERROR(__xludf.DUMMYFUNCTION("""COMPUTED_VALUE"""),111.79)</f>
        <v>111.79</v>
      </c>
      <c r="G80" s="143">
        <f ca="1">IFERROR(__xludf.DUMMYFUNCTION("""COMPUTED_VALUE"""),2206487)</f>
        <v>2206487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IFERROR(__xludf.DUMMYFUNCTION("""COMPUTED_VALUE"""),111.6)</f>
        <v>111.6</v>
      </c>
      <c r="D81" s="141">
        <f ca="1">IFERROR(__xludf.DUMMYFUNCTION("""COMPUTED_VALUE"""),111.76)</f>
        <v>111.76</v>
      </c>
      <c r="E81" s="141">
        <f ca="1">IFERROR(__xludf.DUMMYFUNCTION("""COMPUTED_VALUE"""),111.57)</f>
        <v>111.57</v>
      </c>
      <c r="F81" s="141">
        <f ca="1">IFERROR(__xludf.DUMMYFUNCTION("""COMPUTED_VALUE"""),111.67)</f>
        <v>111.67</v>
      </c>
      <c r="G81" s="143">
        <f ca="1">IFERROR(__xludf.DUMMYFUNCTION("""COMPUTED_VALUE"""),4469208)</f>
        <v>4469208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IFERROR(__xludf.DUMMYFUNCTION("""COMPUTED_VALUE"""),111.81)</f>
        <v>111.81</v>
      </c>
      <c r="D82" s="141">
        <f ca="1">IFERROR(__xludf.DUMMYFUNCTION("""COMPUTED_VALUE"""),111.89)</f>
        <v>111.89</v>
      </c>
      <c r="E82" s="141">
        <f ca="1">IFERROR(__xludf.DUMMYFUNCTION("""COMPUTED_VALUE"""),111.51)</f>
        <v>111.51</v>
      </c>
      <c r="F82" s="141">
        <f ca="1">IFERROR(__xludf.DUMMYFUNCTION("""COMPUTED_VALUE"""),111.64)</f>
        <v>111.64</v>
      </c>
      <c r="G82" s="143">
        <f ca="1">IFERROR(__xludf.DUMMYFUNCTION("""COMPUTED_VALUE"""),3018703)</f>
        <v>3018703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IFERROR(__xludf.DUMMYFUNCTION("""COMPUTED_VALUE"""),111.57)</f>
        <v>111.57</v>
      </c>
      <c r="D83" s="141">
        <f ca="1">IFERROR(__xludf.DUMMYFUNCTION("""COMPUTED_VALUE"""),111.92)</f>
        <v>111.92</v>
      </c>
      <c r="E83" s="141">
        <f ca="1">IFERROR(__xludf.DUMMYFUNCTION("""COMPUTED_VALUE"""),111.54)</f>
        <v>111.54</v>
      </c>
      <c r="F83" s="141">
        <f ca="1">IFERROR(__xludf.DUMMYFUNCTION("""COMPUTED_VALUE"""),111.9)</f>
        <v>111.9</v>
      </c>
      <c r="G83" s="143">
        <f ca="1">IFERROR(__xludf.DUMMYFUNCTION("""COMPUTED_VALUE"""),2687270)</f>
        <v>2687270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IFERROR(__xludf.DUMMYFUNCTION("""COMPUTED_VALUE"""),111.91)</f>
        <v>111.91</v>
      </c>
      <c r="D84" s="141">
        <f ca="1">IFERROR(__xludf.DUMMYFUNCTION("""COMPUTED_VALUE"""),111.92)</f>
        <v>111.92</v>
      </c>
      <c r="E84" s="141">
        <f ca="1">IFERROR(__xludf.DUMMYFUNCTION("""COMPUTED_VALUE"""),111.65)</f>
        <v>111.65</v>
      </c>
      <c r="F84" s="141">
        <f ca="1">IFERROR(__xludf.DUMMYFUNCTION("""COMPUTED_VALUE"""),111.68)</f>
        <v>111.68</v>
      </c>
      <c r="G84" s="143">
        <f ca="1">IFERROR(__xludf.DUMMYFUNCTION("""COMPUTED_VALUE"""),1739728)</f>
        <v>1739728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IFERROR(__xludf.DUMMYFUNCTION("""COMPUTED_VALUE"""),111.77)</f>
        <v>111.77</v>
      </c>
      <c r="D85" s="141">
        <f ca="1">IFERROR(__xludf.DUMMYFUNCTION("""COMPUTED_VALUE"""),111.8)</f>
        <v>111.8</v>
      </c>
      <c r="E85" s="141">
        <f ca="1">IFERROR(__xludf.DUMMYFUNCTION("""COMPUTED_VALUE"""),111.7)</f>
        <v>111.7</v>
      </c>
      <c r="F85" s="141">
        <f ca="1">IFERROR(__xludf.DUMMYFUNCTION("""COMPUTED_VALUE"""),111.78)</f>
        <v>111.78</v>
      </c>
      <c r="G85" s="143">
        <f ca="1">IFERROR(__xludf.DUMMYFUNCTION("""COMPUTED_VALUE"""),2108492)</f>
        <v>2108492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IFERROR(__xludf.DUMMYFUNCTION("""COMPUTED_VALUE"""),112.04)</f>
        <v>112.04</v>
      </c>
      <c r="D86" s="141">
        <f ca="1">IFERROR(__xludf.DUMMYFUNCTION("""COMPUTED_VALUE"""),112.11)</f>
        <v>112.11</v>
      </c>
      <c r="E86" s="141">
        <f ca="1">IFERROR(__xludf.DUMMYFUNCTION("""COMPUTED_VALUE"""),112)</f>
        <v>112</v>
      </c>
      <c r="F86" s="141">
        <f ca="1">IFERROR(__xludf.DUMMYFUNCTION("""COMPUTED_VALUE"""),112.02)</f>
        <v>112.02</v>
      </c>
      <c r="G86" s="143">
        <f ca="1">IFERROR(__xludf.DUMMYFUNCTION("""COMPUTED_VALUE"""),2702397)</f>
        <v>2702397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IFERROR(__xludf.DUMMYFUNCTION("""COMPUTED_VALUE"""),112.12)</f>
        <v>112.12</v>
      </c>
      <c r="D87" s="141">
        <f ca="1">IFERROR(__xludf.DUMMYFUNCTION("""COMPUTED_VALUE"""),112.24)</f>
        <v>112.24</v>
      </c>
      <c r="E87" s="141">
        <f ca="1">IFERROR(__xludf.DUMMYFUNCTION("""COMPUTED_VALUE"""),112.03)</f>
        <v>112.03</v>
      </c>
      <c r="F87" s="141">
        <f ca="1">IFERROR(__xludf.DUMMYFUNCTION("""COMPUTED_VALUE"""),112.2)</f>
        <v>112.2</v>
      </c>
      <c r="G87" s="143">
        <f ca="1">IFERROR(__xludf.DUMMYFUNCTION("""COMPUTED_VALUE"""),2898237)</f>
        <v>2898237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IFERROR(__xludf.DUMMYFUNCTION("""COMPUTED_VALUE"""),112.11)</f>
        <v>112.11</v>
      </c>
      <c r="D88" s="141">
        <f ca="1">IFERROR(__xludf.DUMMYFUNCTION("""COMPUTED_VALUE"""),112.17)</f>
        <v>112.17</v>
      </c>
      <c r="E88" s="141">
        <f ca="1">IFERROR(__xludf.DUMMYFUNCTION("""COMPUTED_VALUE"""),111.94)</f>
        <v>111.94</v>
      </c>
      <c r="F88" s="141">
        <f ca="1">IFERROR(__xludf.DUMMYFUNCTION("""COMPUTED_VALUE"""),111.98)</f>
        <v>111.98</v>
      </c>
      <c r="G88" s="143">
        <f ca="1">IFERROR(__xludf.DUMMYFUNCTION("""COMPUTED_VALUE"""),2645931)</f>
        <v>2645931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IFERROR(__xludf.DUMMYFUNCTION("""COMPUTED_VALUE"""),111.91)</f>
        <v>111.91</v>
      </c>
      <c r="D89" s="141">
        <f ca="1">IFERROR(__xludf.DUMMYFUNCTION("""COMPUTED_VALUE"""),112.02)</f>
        <v>112.02</v>
      </c>
      <c r="E89" s="141">
        <f ca="1">IFERROR(__xludf.DUMMYFUNCTION("""COMPUTED_VALUE"""),111.76)</f>
        <v>111.76</v>
      </c>
      <c r="F89" s="141">
        <f ca="1">IFERROR(__xludf.DUMMYFUNCTION("""COMPUTED_VALUE"""),111.97)</f>
        <v>111.97</v>
      </c>
      <c r="G89" s="143">
        <f ca="1">IFERROR(__xludf.DUMMYFUNCTION("""COMPUTED_VALUE"""),1706681)</f>
        <v>1706681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IFERROR(__xludf.DUMMYFUNCTION("""COMPUTED_VALUE"""),111.92)</f>
        <v>111.92</v>
      </c>
      <c r="D90" s="141">
        <f ca="1">IFERROR(__xludf.DUMMYFUNCTION("""COMPUTED_VALUE"""),111.98)</f>
        <v>111.98</v>
      </c>
      <c r="E90" s="141">
        <f ca="1">IFERROR(__xludf.DUMMYFUNCTION("""COMPUTED_VALUE"""),111.78)</f>
        <v>111.78</v>
      </c>
      <c r="F90" s="141">
        <f ca="1">IFERROR(__xludf.DUMMYFUNCTION("""COMPUTED_VALUE"""),111.94)</f>
        <v>111.94</v>
      </c>
      <c r="G90" s="143">
        <f ca="1">IFERROR(__xludf.DUMMYFUNCTION("""COMPUTED_VALUE"""),2753681)</f>
        <v>2753681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IFERROR(__xludf.DUMMYFUNCTION("""COMPUTED_VALUE"""),111.94)</f>
        <v>111.94</v>
      </c>
      <c r="D91" s="141">
        <f ca="1">IFERROR(__xludf.DUMMYFUNCTION("""COMPUTED_VALUE"""),112.04)</f>
        <v>112.04</v>
      </c>
      <c r="E91" s="141">
        <f ca="1">IFERROR(__xludf.DUMMYFUNCTION("""COMPUTED_VALUE"""),111.91)</f>
        <v>111.91</v>
      </c>
      <c r="F91" s="141">
        <f ca="1">IFERROR(__xludf.DUMMYFUNCTION("""COMPUTED_VALUE"""),112.03)</f>
        <v>112.03</v>
      </c>
      <c r="G91" s="143">
        <f ca="1">IFERROR(__xludf.DUMMYFUNCTION("""COMPUTED_VALUE"""),2608709)</f>
        <v>2608709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IFERROR(__xludf.DUMMYFUNCTION("""COMPUTED_VALUE"""),111.93)</f>
        <v>111.93</v>
      </c>
      <c r="D92" s="141">
        <f ca="1">IFERROR(__xludf.DUMMYFUNCTION("""COMPUTED_VALUE"""),112.04)</f>
        <v>112.04</v>
      </c>
      <c r="E92" s="141">
        <f ca="1">IFERROR(__xludf.DUMMYFUNCTION("""COMPUTED_VALUE"""),111.39)</f>
        <v>111.39</v>
      </c>
      <c r="F92" s="141">
        <f ca="1">IFERROR(__xludf.DUMMYFUNCTION("""COMPUTED_VALUE"""),111.44)</f>
        <v>111.44</v>
      </c>
      <c r="G92" s="143">
        <f ca="1">IFERROR(__xludf.DUMMYFUNCTION("""COMPUTED_VALUE"""),2976459)</f>
        <v>2976459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IFERROR(__xludf.DUMMYFUNCTION("""COMPUTED_VALUE"""),111.16)</f>
        <v>111.16</v>
      </c>
      <c r="D93" s="141">
        <f ca="1">IFERROR(__xludf.DUMMYFUNCTION("""COMPUTED_VALUE"""),111.4)</f>
        <v>111.4</v>
      </c>
      <c r="E93" s="141">
        <f ca="1">IFERROR(__xludf.DUMMYFUNCTION("""COMPUTED_VALUE"""),111.15)</f>
        <v>111.15</v>
      </c>
      <c r="F93" s="141">
        <f ca="1">IFERROR(__xludf.DUMMYFUNCTION("""COMPUTED_VALUE"""),111.2)</f>
        <v>111.2</v>
      </c>
      <c r="G93" s="143">
        <f ca="1">IFERROR(__xludf.DUMMYFUNCTION("""COMPUTED_VALUE"""),3977067)</f>
        <v>3977067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IFERROR(__xludf.DUMMYFUNCTION("""COMPUTED_VALUE"""),111.32)</f>
        <v>111.32</v>
      </c>
      <c r="D94" s="141">
        <f ca="1">IFERROR(__xludf.DUMMYFUNCTION("""COMPUTED_VALUE"""),111.41)</f>
        <v>111.41</v>
      </c>
      <c r="E94" s="141">
        <f ca="1">IFERROR(__xludf.DUMMYFUNCTION("""COMPUTED_VALUE"""),111.26)</f>
        <v>111.26</v>
      </c>
      <c r="F94" s="141">
        <f ca="1">IFERROR(__xludf.DUMMYFUNCTION("""COMPUTED_VALUE"""),111.38)</f>
        <v>111.38</v>
      </c>
      <c r="G94" s="143">
        <f ca="1">IFERROR(__xludf.DUMMYFUNCTION("""COMPUTED_VALUE"""),2249280)</f>
        <v>2249280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IFERROR(__xludf.DUMMYFUNCTION("""COMPUTED_VALUE"""),110.94)</f>
        <v>110.94</v>
      </c>
      <c r="D95" s="141">
        <f ca="1">IFERROR(__xludf.DUMMYFUNCTION("""COMPUTED_VALUE"""),111.03)</f>
        <v>111.03</v>
      </c>
      <c r="E95" s="141">
        <f ca="1">IFERROR(__xludf.DUMMYFUNCTION("""COMPUTED_VALUE"""),110.84)</f>
        <v>110.84</v>
      </c>
      <c r="F95" s="141">
        <f ca="1">IFERROR(__xludf.DUMMYFUNCTION("""COMPUTED_VALUE"""),110.94)</f>
        <v>110.94</v>
      </c>
      <c r="G95" s="143">
        <f ca="1">IFERROR(__xludf.DUMMYFUNCTION("""COMPUTED_VALUE"""),3887154)</f>
        <v>3887154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IFERROR(__xludf.DUMMYFUNCTION("""COMPUTED_VALUE"""),110.96)</f>
        <v>110.96</v>
      </c>
      <c r="D96" s="141">
        <f ca="1">IFERROR(__xludf.DUMMYFUNCTION("""COMPUTED_VALUE"""),111.09)</f>
        <v>111.09</v>
      </c>
      <c r="E96" s="141">
        <f ca="1">IFERROR(__xludf.DUMMYFUNCTION("""COMPUTED_VALUE"""),110.93)</f>
        <v>110.93</v>
      </c>
      <c r="F96" s="141">
        <f ca="1">IFERROR(__xludf.DUMMYFUNCTION("""COMPUTED_VALUE"""),110.99)</f>
        <v>110.99</v>
      </c>
      <c r="G96" s="143">
        <f ca="1">IFERROR(__xludf.DUMMYFUNCTION("""COMPUTED_VALUE"""),4858731)</f>
        <v>4858731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IFERROR(__xludf.DUMMYFUNCTION("""COMPUTED_VALUE"""),110.83)</f>
        <v>110.83</v>
      </c>
      <c r="D97" s="141">
        <f ca="1">IFERROR(__xludf.DUMMYFUNCTION("""COMPUTED_VALUE"""),110.87)</f>
        <v>110.87</v>
      </c>
      <c r="E97" s="141">
        <f ca="1">IFERROR(__xludf.DUMMYFUNCTION("""COMPUTED_VALUE"""),110.55)</f>
        <v>110.55</v>
      </c>
      <c r="F97" s="141">
        <f ca="1">IFERROR(__xludf.DUMMYFUNCTION("""COMPUTED_VALUE"""),110.58)</f>
        <v>110.58</v>
      </c>
      <c r="G97" s="143">
        <f ca="1">IFERROR(__xludf.DUMMYFUNCTION("""COMPUTED_VALUE"""),3908719)</f>
        <v>3908719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IFERROR(__xludf.DUMMYFUNCTION("""COMPUTED_VALUE"""),110.85)</f>
        <v>110.85</v>
      </c>
      <c r="D98" s="141">
        <f ca="1">IFERROR(__xludf.DUMMYFUNCTION("""COMPUTED_VALUE"""),110.96)</f>
        <v>110.96</v>
      </c>
      <c r="E98" s="141">
        <f ca="1">IFERROR(__xludf.DUMMYFUNCTION("""COMPUTED_VALUE"""),110.82)</f>
        <v>110.82</v>
      </c>
      <c r="F98" s="141">
        <f ca="1">IFERROR(__xludf.DUMMYFUNCTION("""COMPUTED_VALUE"""),110.88)</f>
        <v>110.88</v>
      </c>
      <c r="G98" s="143">
        <f ca="1">IFERROR(__xludf.DUMMYFUNCTION("""COMPUTED_VALUE"""),2394500)</f>
        <v>2394500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IFERROR(__xludf.DUMMYFUNCTION("""COMPUTED_VALUE"""),110.7)</f>
        <v>110.7</v>
      </c>
      <c r="D99" s="141">
        <f ca="1">IFERROR(__xludf.DUMMYFUNCTION("""COMPUTED_VALUE"""),110.99)</f>
        <v>110.99</v>
      </c>
      <c r="E99" s="141">
        <f ca="1">IFERROR(__xludf.DUMMYFUNCTION("""COMPUTED_VALUE"""),110.7)</f>
        <v>110.7</v>
      </c>
      <c r="F99" s="141">
        <f ca="1">IFERROR(__xludf.DUMMYFUNCTION("""COMPUTED_VALUE"""),110.9)</f>
        <v>110.9</v>
      </c>
      <c r="G99" s="143">
        <f ca="1">IFERROR(__xludf.DUMMYFUNCTION("""COMPUTED_VALUE"""),3097568)</f>
        <v>3097568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IFERROR(__xludf.DUMMYFUNCTION("""COMPUTED_VALUE"""),110.88)</f>
        <v>110.88</v>
      </c>
      <c r="D100" s="141">
        <f ca="1">IFERROR(__xludf.DUMMYFUNCTION("""COMPUTED_VALUE"""),110.94)</f>
        <v>110.94</v>
      </c>
      <c r="E100" s="141">
        <f ca="1">IFERROR(__xludf.DUMMYFUNCTION("""COMPUTED_VALUE"""),110.82)</f>
        <v>110.82</v>
      </c>
      <c r="F100" s="141">
        <f ca="1">IFERROR(__xludf.DUMMYFUNCTION("""COMPUTED_VALUE"""),110.92)</f>
        <v>110.92</v>
      </c>
      <c r="G100" s="143">
        <f ca="1">IFERROR(__xludf.DUMMYFUNCTION("""COMPUTED_VALUE"""),2354235)</f>
        <v>2354235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IFERROR(__xludf.DUMMYFUNCTION("""COMPUTED_VALUE"""),111.15)</f>
        <v>111.15</v>
      </c>
      <c r="D101" s="141">
        <f ca="1">IFERROR(__xludf.DUMMYFUNCTION("""COMPUTED_VALUE"""),111.37)</f>
        <v>111.37</v>
      </c>
      <c r="E101" s="141">
        <f ca="1">IFERROR(__xludf.DUMMYFUNCTION("""COMPUTED_VALUE"""),111.09)</f>
        <v>111.09</v>
      </c>
      <c r="F101" s="141">
        <f ca="1">IFERROR(__xludf.DUMMYFUNCTION("""COMPUTED_VALUE"""),111.37)</f>
        <v>111.37</v>
      </c>
      <c r="G101" s="143">
        <f ca="1">IFERROR(__xludf.DUMMYFUNCTION("""COMPUTED_VALUE"""),3902049)</f>
        <v>3902049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IFERROR(__xludf.DUMMYFUNCTION("""COMPUTED_VALUE"""),111.15)</f>
        <v>111.15</v>
      </c>
      <c r="D102" s="141">
        <f ca="1">IFERROR(__xludf.DUMMYFUNCTION("""COMPUTED_VALUE"""),111.24)</f>
        <v>111.24</v>
      </c>
      <c r="E102" s="141">
        <f ca="1">IFERROR(__xludf.DUMMYFUNCTION("""COMPUTED_VALUE"""),111.08)</f>
        <v>111.08</v>
      </c>
      <c r="F102" s="141">
        <f ca="1">IFERROR(__xludf.DUMMYFUNCTION("""COMPUTED_VALUE"""),111.13)</f>
        <v>111.13</v>
      </c>
      <c r="G102" s="143">
        <f ca="1">IFERROR(__xludf.DUMMYFUNCTION("""COMPUTED_VALUE"""),3297963)</f>
        <v>3297963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IFERROR(__xludf.DUMMYFUNCTION("""COMPUTED_VALUE"""),111)</f>
        <v>111</v>
      </c>
      <c r="D103" s="141">
        <f ca="1">IFERROR(__xludf.DUMMYFUNCTION("""COMPUTED_VALUE"""),111.09)</f>
        <v>111.09</v>
      </c>
      <c r="E103" s="141">
        <f ca="1">IFERROR(__xludf.DUMMYFUNCTION("""COMPUTED_VALUE"""),110.88)</f>
        <v>110.88</v>
      </c>
      <c r="F103" s="141">
        <f ca="1">IFERROR(__xludf.DUMMYFUNCTION("""COMPUTED_VALUE"""),110.88)</f>
        <v>110.88</v>
      </c>
      <c r="G103" s="143">
        <f ca="1">IFERROR(__xludf.DUMMYFUNCTION("""COMPUTED_VALUE"""),2215528)</f>
        <v>2215528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IFERROR(__xludf.DUMMYFUNCTION("""COMPUTED_VALUE"""),111.09)</f>
        <v>111.09</v>
      </c>
      <c r="D104" s="141">
        <f ca="1">IFERROR(__xludf.DUMMYFUNCTION("""COMPUTED_VALUE"""),111.13)</f>
        <v>111.13</v>
      </c>
      <c r="E104" s="141">
        <f ca="1">IFERROR(__xludf.DUMMYFUNCTION("""COMPUTED_VALUE"""),110.73)</f>
        <v>110.73</v>
      </c>
      <c r="F104" s="141">
        <f ca="1">IFERROR(__xludf.DUMMYFUNCTION("""COMPUTED_VALUE"""),110.75)</f>
        <v>110.75</v>
      </c>
      <c r="G104" s="143">
        <f ca="1">IFERROR(__xludf.DUMMYFUNCTION("""COMPUTED_VALUE"""),3059230)</f>
        <v>3059230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IFERROR(__xludf.DUMMYFUNCTION("""COMPUTED_VALUE"""),110.85)</f>
        <v>110.85</v>
      </c>
      <c r="D105" s="141">
        <f ca="1">IFERROR(__xludf.DUMMYFUNCTION("""COMPUTED_VALUE"""),110.87)</f>
        <v>110.87</v>
      </c>
      <c r="E105" s="141">
        <f ca="1">IFERROR(__xludf.DUMMYFUNCTION("""COMPUTED_VALUE"""),110.76)</f>
        <v>110.76</v>
      </c>
      <c r="F105" s="141">
        <f ca="1">IFERROR(__xludf.DUMMYFUNCTION("""COMPUTED_VALUE"""),110.77)</f>
        <v>110.77</v>
      </c>
      <c r="G105" s="143">
        <f ca="1">IFERROR(__xludf.DUMMYFUNCTION("""COMPUTED_VALUE"""),2044061)</f>
        <v>2044061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IFERROR(__xludf.DUMMYFUNCTION("""COMPUTED_VALUE"""),110.91)</f>
        <v>110.91</v>
      </c>
      <c r="D106" s="141">
        <f ca="1">IFERROR(__xludf.DUMMYFUNCTION("""COMPUTED_VALUE"""),110.98)</f>
        <v>110.98</v>
      </c>
      <c r="E106" s="141">
        <f ca="1">IFERROR(__xludf.DUMMYFUNCTION("""COMPUTED_VALUE"""),110.73)</f>
        <v>110.73</v>
      </c>
      <c r="F106" s="141">
        <f ca="1">IFERROR(__xludf.DUMMYFUNCTION("""COMPUTED_VALUE"""),110.85)</f>
        <v>110.85</v>
      </c>
      <c r="G106" s="143">
        <f ca="1">IFERROR(__xludf.DUMMYFUNCTION("""COMPUTED_VALUE"""),4616948)</f>
        <v>4616948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IFERROR(__xludf.DUMMYFUNCTION("""COMPUTED_VALUE"""),110.89)</f>
        <v>110.89</v>
      </c>
      <c r="D107" s="141">
        <f ca="1">IFERROR(__xludf.DUMMYFUNCTION("""COMPUTED_VALUE"""),110.91)</f>
        <v>110.91</v>
      </c>
      <c r="E107" s="141">
        <f ca="1">IFERROR(__xludf.DUMMYFUNCTION("""COMPUTED_VALUE"""),110.68)</f>
        <v>110.68</v>
      </c>
      <c r="F107" s="141">
        <f ca="1">IFERROR(__xludf.DUMMYFUNCTION("""COMPUTED_VALUE"""),110.71)</f>
        <v>110.71</v>
      </c>
      <c r="G107" s="143">
        <f ca="1">IFERROR(__xludf.DUMMYFUNCTION("""COMPUTED_VALUE"""),2472486)</f>
        <v>2472486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IFERROR(__xludf.DUMMYFUNCTION("""COMPUTED_VALUE"""),110.83)</f>
        <v>110.83</v>
      </c>
      <c r="D108" s="141">
        <f ca="1">IFERROR(__xludf.DUMMYFUNCTION("""COMPUTED_VALUE"""),110.92)</f>
        <v>110.92</v>
      </c>
      <c r="E108" s="141">
        <f ca="1">IFERROR(__xludf.DUMMYFUNCTION("""COMPUTED_VALUE"""),110.65)</f>
        <v>110.65</v>
      </c>
      <c r="F108" s="141">
        <f ca="1">IFERROR(__xludf.DUMMYFUNCTION("""COMPUTED_VALUE"""),110.76)</f>
        <v>110.76</v>
      </c>
      <c r="G108" s="143">
        <f ca="1">IFERROR(__xludf.DUMMYFUNCTION("""COMPUTED_VALUE"""),3091736)</f>
        <v>3091736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IFERROR(__xludf.DUMMYFUNCTION("""COMPUTED_VALUE"""),111.04)</f>
        <v>111.04</v>
      </c>
      <c r="D109" s="141">
        <f ca="1">IFERROR(__xludf.DUMMYFUNCTION("""COMPUTED_VALUE"""),111.05)</f>
        <v>111.05</v>
      </c>
      <c r="E109" s="141">
        <f ca="1">IFERROR(__xludf.DUMMYFUNCTION("""COMPUTED_VALUE"""),110.88)</f>
        <v>110.88</v>
      </c>
      <c r="F109" s="141">
        <f ca="1">IFERROR(__xludf.DUMMYFUNCTION("""COMPUTED_VALUE"""),111.02)</f>
        <v>111.02</v>
      </c>
      <c r="G109" s="143">
        <f ca="1">IFERROR(__xludf.DUMMYFUNCTION("""COMPUTED_VALUE"""),2651000)</f>
        <v>2651000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IFERROR(__xludf.DUMMYFUNCTION("""COMPUTED_VALUE"""),111.14)</f>
        <v>111.14</v>
      </c>
      <c r="D110" s="141">
        <f ca="1">IFERROR(__xludf.DUMMYFUNCTION("""COMPUTED_VALUE"""),111.14)</f>
        <v>111.14</v>
      </c>
      <c r="E110" s="141">
        <f ca="1">IFERROR(__xludf.DUMMYFUNCTION("""COMPUTED_VALUE"""),111.02)</f>
        <v>111.02</v>
      </c>
      <c r="F110" s="141">
        <f ca="1">IFERROR(__xludf.DUMMYFUNCTION("""COMPUTED_VALUE"""),111.07)</f>
        <v>111.07</v>
      </c>
      <c r="G110" s="143">
        <f ca="1">IFERROR(__xludf.DUMMYFUNCTION("""COMPUTED_VALUE"""),2619495)</f>
        <v>2619495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IFERROR(__xludf.DUMMYFUNCTION("""COMPUTED_VALUE"""),111.06)</f>
        <v>111.06</v>
      </c>
      <c r="D111" s="141">
        <f ca="1">IFERROR(__xludf.DUMMYFUNCTION("""COMPUTED_VALUE"""),111.31)</f>
        <v>111.31</v>
      </c>
      <c r="E111" s="141">
        <f ca="1">IFERROR(__xludf.DUMMYFUNCTION("""COMPUTED_VALUE"""),111.04)</f>
        <v>111.04</v>
      </c>
      <c r="F111" s="141">
        <f ca="1">IFERROR(__xludf.DUMMYFUNCTION("""COMPUTED_VALUE"""),111.27)</f>
        <v>111.27</v>
      </c>
      <c r="G111" s="143">
        <f ca="1">IFERROR(__xludf.DUMMYFUNCTION("""COMPUTED_VALUE"""),3404331)</f>
        <v>3404331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IFERROR(__xludf.DUMMYFUNCTION("""COMPUTED_VALUE"""),111.28)</f>
        <v>111.28</v>
      </c>
      <c r="D112" s="141">
        <f ca="1">IFERROR(__xludf.DUMMYFUNCTION("""COMPUTED_VALUE"""),111.51)</f>
        <v>111.51</v>
      </c>
      <c r="E112" s="141">
        <f ca="1">IFERROR(__xludf.DUMMYFUNCTION("""COMPUTED_VALUE"""),111.14)</f>
        <v>111.14</v>
      </c>
      <c r="F112" s="141">
        <f ca="1">IFERROR(__xludf.DUMMYFUNCTION("""COMPUTED_VALUE"""),111.51)</f>
        <v>111.51</v>
      </c>
      <c r="G112" s="143">
        <f ca="1">IFERROR(__xludf.DUMMYFUNCTION("""COMPUTED_VALUE"""),3805926)</f>
        <v>3805926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IFERROR(__xludf.DUMMYFUNCTION("""COMPUTED_VALUE"""),111.47)</f>
        <v>111.47</v>
      </c>
      <c r="D113" s="141">
        <f ca="1">IFERROR(__xludf.DUMMYFUNCTION("""COMPUTED_VALUE"""),111.52)</f>
        <v>111.52</v>
      </c>
      <c r="E113" s="141">
        <f ca="1">IFERROR(__xludf.DUMMYFUNCTION("""COMPUTED_VALUE"""),111.23)</f>
        <v>111.23</v>
      </c>
      <c r="F113" s="141">
        <f ca="1">IFERROR(__xludf.DUMMYFUNCTION("""COMPUTED_VALUE"""),111.26)</f>
        <v>111.26</v>
      </c>
      <c r="G113" s="143">
        <f ca="1">IFERROR(__xludf.DUMMYFUNCTION("""COMPUTED_VALUE"""),1830013)</f>
        <v>1830013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IFERROR(__xludf.DUMMYFUNCTION("""COMPUTED_VALUE"""),110.62)</f>
        <v>110.62</v>
      </c>
      <c r="D114" s="141">
        <f ca="1">IFERROR(__xludf.DUMMYFUNCTION("""COMPUTED_VALUE"""),110.68)</f>
        <v>110.68</v>
      </c>
      <c r="E114" s="141">
        <f ca="1">IFERROR(__xludf.DUMMYFUNCTION("""COMPUTED_VALUE"""),110.5)</f>
        <v>110.5</v>
      </c>
      <c r="F114" s="141">
        <f ca="1">IFERROR(__xludf.DUMMYFUNCTION("""COMPUTED_VALUE"""),110.5)</f>
        <v>110.5</v>
      </c>
      <c r="G114" s="143">
        <f ca="1">IFERROR(__xludf.DUMMYFUNCTION("""COMPUTED_VALUE"""),3198543)</f>
        <v>3198543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IFERROR(__xludf.DUMMYFUNCTION("""COMPUTED_VALUE"""),110.53)</f>
        <v>110.53</v>
      </c>
      <c r="D115" s="141">
        <f ca="1">IFERROR(__xludf.DUMMYFUNCTION("""COMPUTED_VALUE"""),110.63)</f>
        <v>110.63</v>
      </c>
      <c r="E115" s="141">
        <f ca="1">IFERROR(__xludf.DUMMYFUNCTION("""COMPUTED_VALUE"""),110.51)</f>
        <v>110.51</v>
      </c>
      <c r="F115" s="141">
        <f ca="1">IFERROR(__xludf.DUMMYFUNCTION("""COMPUTED_VALUE"""),110.53)</f>
        <v>110.53</v>
      </c>
      <c r="G115" s="143">
        <f ca="1">IFERROR(__xludf.DUMMYFUNCTION("""COMPUTED_VALUE"""),4068213)</f>
        <v>4068213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IFERROR(__xludf.DUMMYFUNCTION("""COMPUTED_VALUE"""),110.67)</f>
        <v>110.67</v>
      </c>
      <c r="D116" s="141">
        <f ca="1">IFERROR(__xludf.DUMMYFUNCTION("""COMPUTED_VALUE"""),110.81)</f>
        <v>110.81</v>
      </c>
      <c r="E116" s="141">
        <f ca="1">IFERROR(__xludf.DUMMYFUNCTION("""COMPUTED_VALUE"""),110.63)</f>
        <v>110.63</v>
      </c>
      <c r="F116" s="141">
        <f ca="1">IFERROR(__xludf.DUMMYFUNCTION("""COMPUTED_VALUE"""),110.78)</f>
        <v>110.78</v>
      </c>
      <c r="G116" s="143">
        <f ca="1">IFERROR(__xludf.DUMMYFUNCTION("""COMPUTED_VALUE"""),2541179)</f>
        <v>2541179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IFERROR(__xludf.DUMMYFUNCTION("""COMPUTED_VALUE"""),110.69)</f>
        <v>110.69</v>
      </c>
      <c r="D117" s="141">
        <f ca="1">IFERROR(__xludf.DUMMYFUNCTION("""COMPUTED_VALUE"""),110.7)</f>
        <v>110.7</v>
      </c>
      <c r="E117" s="141">
        <f ca="1">IFERROR(__xludf.DUMMYFUNCTION("""COMPUTED_VALUE"""),110.6)</f>
        <v>110.6</v>
      </c>
      <c r="F117" s="141">
        <f ca="1">IFERROR(__xludf.DUMMYFUNCTION("""COMPUTED_VALUE"""),110.63)</f>
        <v>110.63</v>
      </c>
      <c r="G117" s="143">
        <f ca="1">IFERROR(__xludf.DUMMYFUNCTION("""COMPUTED_VALUE"""),2243373)</f>
        <v>2243373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IFERROR(__xludf.DUMMYFUNCTION("""COMPUTED_VALUE"""),110.7)</f>
        <v>110.7</v>
      </c>
      <c r="D118" s="141">
        <f ca="1">IFERROR(__xludf.DUMMYFUNCTION("""COMPUTED_VALUE"""),110.71)</f>
        <v>110.71</v>
      </c>
      <c r="E118" s="141">
        <f ca="1">IFERROR(__xludf.DUMMYFUNCTION("""COMPUTED_VALUE"""),110.45)</f>
        <v>110.45</v>
      </c>
      <c r="F118" s="141">
        <f ca="1">IFERROR(__xludf.DUMMYFUNCTION("""COMPUTED_VALUE"""),110.45)</f>
        <v>110.45</v>
      </c>
      <c r="G118" s="143">
        <f ca="1">IFERROR(__xludf.DUMMYFUNCTION("""COMPUTED_VALUE"""),3672346)</f>
        <v>3672346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IFERROR(__xludf.DUMMYFUNCTION("""COMPUTED_VALUE"""),110.44)</f>
        <v>110.44</v>
      </c>
      <c r="D119" s="141">
        <f ca="1">IFERROR(__xludf.DUMMYFUNCTION("""COMPUTED_VALUE"""),110.44)</f>
        <v>110.44</v>
      </c>
      <c r="E119" s="141">
        <f ca="1">IFERROR(__xludf.DUMMYFUNCTION("""COMPUTED_VALUE"""),110.15)</f>
        <v>110.15</v>
      </c>
      <c r="F119" s="141">
        <f ca="1">IFERROR(__xludf.DUMMYFUNCTION("""COMPUTED_VALUE"""),110.23)</f>
        <v>110.23</v>
      </c>
      <c r="G119" s="143">
        <f ca="1">IFERROR(__xludf.DUMMYFUNCTION("""COMPUTED_VALUE"""),2101187)</f>
        <v>2101187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IFERROR(__xludf.DUMMYFUNCTION("""COMPUTED_VALUE"""),110.34)</f>
        <v>110.34</v>
      </c>
      <c r="D120" s="141">
        <f ca="1">IFERROR(__xludf.DUMMYFUNCTION("""COMPUTED_VALUE"""),110.37)</f>
        <v>110.37</v>
      </c>
      <c r="E120" s="141">
        <f ca="1">IFERROR(__xludf.DUMMYFUNCTION("""COMPUTED_VALUE"""),110.09)</f>
        <v>110.09</v>
      </c>
      <c r="F120" s="141">
        <f ca="1">IFERROR(__xludf.DUMMYFUNCTION("""COMPUTED_VALUE"""),110.09)</f>
        <v>110.09</v>
      </c>
      <c r="G120" s="143">
        <f ca="1">IFERROR(__xludf.DUMMYFUNCTION("""COMPUTED_VALUE"""),5181738)</f>
        <v>5181738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IFERROR(__xludf.DUMMYFUNCTION("""COMPUTED_VALUE"""),110.03)</f>
        <v>110.03</v>
      </c>
      <c r="D121" s="141">
        <f ca="1">IFERROR(__xludf.DUMMYFUNCTION("""COMPUTED_VALUE"""),110.47)</f>
        <v>110.47</v>
      </c>
      <c r="E121" s="141">
        <f ca="1">IFERROR(__xludf.DUMMYFUNCTION("""COMPUTED_VALUE"""),110.02)</f>
        <v>110.02</v>
      </c>
      <c r="F121" s="141">
        <f ca="1">IFERROR(__xludf.DUMMYFUNCTION("""COMPUTED_VALUE"""),110.45)</f>
        <v>110.45</v>
      </c>
      <c r="G121" s="143">
        <f ca="1">IFERROR(__xludf.DUMMYFUNCTION("""COMPUTED_VALUE"""),3503036)</f>
        <v>3503036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IFERROR(__xludf.DUMMYFUNCTION("""COMPUTED_VALUE"""),110.62)</f>
        <v>110.62</v>
      </c>
      <c r="D122" s="141">
        <f ca="1">IFERROR(__xludf.DUMMYFUNCTION("""COMPUTED_VALUE"""),110.68)</f>
        <v>110.68</v>
      </c>
      <c r="E122" s="141">
        <f ca="1">IFERROR(__xludf.DUMMYFUNCTION("""COMPUTED_VALUE"""),110.36)</f>
        <v>110.36</v>
      </c>
      <c r="F122" s="141">
        <f ca="1">IFERROR(__xludf.DUMMYFUNCTION("""COMPUTED_VALUE"""),110.4)</f>
        <v>110.4</v>
      </c>
      <c r="G122" s="143">
        <f ca="1">IFERROR(__xludf.DUMMYFUNCTION("""COMPUTED_VALUE"""),3661249)</f>
        <v>3661249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IFERROR(__xludf.DUMMYFUNCTION("""COMPUTED_VALUE"""),110.18)</f>
        <v>110.18</v>
      </c>
      <c r="D123" s="141">
        <f ca="1">IFERROR(__xludf.DUMMYFUNCTION("""COMPUTED_VALUE"""),110.24)</f>
        <v>110.24</v>
      </c>
      <c r="E123" s="141">
        <f ca="1">IFERROR(__xludf.DUMMYFUNCTION("""COMPUTED_VALUE"""),110.13)</f>
        <v>110.13</v>
      </c>
      <c r="F123" s="141">
        <f ca="1">IFERROR(__xludf.DUMMYFUNCTION("""COMPUTED_VALUE"""),110.23)</f>
        <v>110.23</v>
      </c>
      <c r="G123" s="143">
        <f ca="1">IFERROR(__xludf.DUMMYFUNCTION("""COMPUTED_VALUE"""),2379121)</f>
        <v>2379121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IFERROR(__xludf.DUMMYFUNCTION("""COMPUTED_VALUE"""),110.35)</f>
        <v>110.35</v>
      </c>
      <c r="D124" s="141">
        <f ca="1">IFERROR(__xludf.DUMMYFUNCTION("""COMPUTED_VALUE"""),110.42)</f>
        <v>110.42</v>
      </c>
      <c r="E124" s="141">
        <f ca="1">IFERROR(__xludf.DUMMYFUNCTION("""COMPUTED_VALUE"""),110.15)</f>
        <v>110.15</v>
      </c>
      <c r="F124" s="141">
        <f ca="1">IFERROR(__xludf.DUMMYFUNCTION("""COMPUTED_VALUE"""),110.15)</f>
        <v>110.15</v>
      </c>
      <c r="G124" s="143">
        <f ca="1">IFERROR(__xludf.DUMMYFUNCTION("""COMPUTED_VALUE"""),2229436)</f>
        <v>2229436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IFERROR(__xludf.DUMMYFUNCTION("""COMPUTED_VALUE"""),110.01)</f>
        <v>110.01</v>
      </c>
      <c r="D125" s="141">
        <f ca="1">IFERROR(__xludf.DUMMYFUNCTION("""COMPUTED_VALUE"""),110.26)</f>
        <v>110.26</v>
      </c>
      <c r="E125" s="141">
        <f ca="1">IFERROR(__xludf.DUMMYFUNCTION("""COMPUTED_VALUE"""),109.99)</f>
        <v>109.99</v>
      </c>
      <c r="F125" s="141">
        <f ca="1">IFERROR(__xludf.DUMMYFUNCTION("""COMPUTED_VALUE"""),110.17)</f>
        <v>110.17</v>
      </c>
      <c r="G125" s="143">
        <f ca="1">IFERROR(__xludf.DUMMYFUNCTION("""COMPUTED_VALUE"""),5094453)</f>
        <v>5094453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IFERROR(__xludf.DUMMYFUNCTION("""COMPUTED_VALUE"""),110.15)</f>
        <v>110.15</v>
      </c>
      <c r="D126" s="141">
        <f ca="1">IFERROR(__xludf.DUMMYFUNCTION("""COMPUTED_VALUE"""),110.3)</f>
        <v>110.3</v>
      </c>
      <c r="E126" s="141">
        <f ca="1">IFERROR(__xludf.DUMMYFUNCTION("""COMPUTED_VALUE"""),110.13)</f>
        <v>110.13</v>
      </c>
      <c r="F126" s="141">
        <f ca="1">IFERROR(__xludf.DUMMYFUNCTION("""COMPUTED_VALUE"""),110.29)</f>
        <v>110.29</v>
      </c>
      <c r="G126" s="143">
        <f ca="1">IFERROR(__xludf.DUMMYFUNCTION("""COMPUTED_VALUE"""),1831129)</f>
        <v>1831129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IFERROR(__xludf.DUMMYFUNCTION("""COMPUTED_VALUE"""),110.34)</f>
        <v>110.34</v>
      </c>
      <c r="D127" s="141">
        <f ca="1">IFERROR(__xludf.DUMMYFUNCTION("""COMPUTED_VALUE"""),110.51)</f>
        <v>110.51</v>
      </c>
      <c r="E127" s="141">
        <f ca="1">IFERROR(__xludf.DUMMYFUNCTION("""COMPUTED_VALUE"""),110.19)</f>
        <v>110.19</v>
      </c>
      <c r="F127" s="141">
        <f ca="1">IFERROR(__xludf.DUMMYFUNCTION("""COMPUTED_VALUE"""),110.5)</f>
        <v>110.5</v>
      </c>
      <c r="G127" s="143">
        <f ca="1">IFERROR(__xludf.DUMMYFUNCTION("""COMPUTED_VALUE"""),4253818)</f>
        <v>4253818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IFERROR(__xludf.DUMMYFUNCTION("""COMPUTED_VALUE"""),110.1)</f>
        <v>110.1</v>
      </c>
      <c r="D128" s="141">
        <f ca="1">IFERROR(__xludf.DUMMYFUNCTION("""COMPUTED_VALUE"""),110.1)</f>
        <v>110.1</v>
      </c>
      <c r="E128" s="141">
        <f ca="1">IFERROR(__xludf.DUMMYFUNCTION("""COMPUTED_VALUE"""),109.87)</f>
        <v>109.87</v>
      </c>
      <c r="F128" s="141">
        <f ca="1">IFERROR(__xludf.DUMMYFUNCTION("""COMPUTED_VALUE"""),109.94)</f>
        <v>109.94</v>
      </c>
      <c r="G128" s="143">
        <f ca="1">IFERROR(__xludf.DUMMYFUNCTION("""COMPUTED_VALUE"""),2940559)</f>
        <v>2940559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IFERROR(__xludf.DUMMYFUNCTION("""COMPUTED_VALUE"""),109.87)</f>
        <v>109.87</v>
      </c>
      <c r="D129" s="141">
        <f ca="1">IFERROR(__xludf.DUMMYFUNCTION("""COMPUTED_VALUE"""),109.89)</f>
        <v>109.89</v>
      </c>
      <c r="E129" s="141">
        <f ca="1">IFERROR(__xludf.DUMMYFUNCTION("""COMPUTED_VALUE"""),109.73)</f>
        <v>109.73</v>
      </c>
      <c r="F129" s="141">
        <f ca="1">IFERROR(__xludf.DUMMYFUNCTION("""COMPUTED_VALUE"""),109.78)</f>
        <v>109.78</v>
      </c>
      <c r="G129" s="143">
        <f ca="1">IFERROR(__xludf.DUMMYFUNCTION("""COMPUTED_VALUE"""),2115960)</f>
        <v>2115960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IFERROR(__xludf.DUMMYFUNCTION("""COMPUTED_VALUE"""),109.58)</f>
        <v>109.58</v>
      </c>
      <c r="D130" s="141">
        <f ca="1">IFERROR(__xludf.DUMMYFUNCTION("""COMPUTED_VALUE"""),109.87)</f>
        <v>109.87</v>
      </c>
      <c r="E130" s="141">
        <f ca="1">IFERROR(__xludf.DUMMYFUNCTION("""COMPUTED_VALUE"""),109.57)</f>
        <v>109.57</v>
      </c>
      <c r="F130" s="141">
        <f ca="1">IFERROR(__xludf.DUMMYFUNCTION("""COMPUTED_VALUE"""),109.83)</f>
        <v>109.83</v>
      </c>
      <c r="G130" s="143">
        <f ca="1">IFERROR(__xludf.DUMMYFUNCTION("""COMPUTED_VALUE"""),1914939)</f>
        <v>1914939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IFERROR(__xludf.DUMMYFUNCTION("""COMPUTED_VALUE"""),110.01)</f>
        <v>110.01</v>
      </c>
      <c r="D131" s="141">
        <f ca="1">IFERROR(__xludf.DUMMYFUNCTION("""COMPUTED_VALUE"""),110.1)</f>
        <v>110.1</v>
      </c>
      <c r="E131" s="141">
        <f ca="1">IFERROR(__xludf.DUMMYFUNCTION("""COMPUTED_VALUE"""),109.97)</f>
        <v>109.97</v>
      </c>
      <c r="F131" s="141">
        <f ca="1">IFERROR(__xludf.DUMMYFUNCTION("""COMPUTED_VALUE"""),110.06)</f>
        <v>110.06</v>
      </c>
      <c r="G131" s="143">
        <f ca="1">IFERROR(__xludf.DUMMYFUNCTION("""COMPUTED_VALUE"""),877761)</f>
        <v>877761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IFERROR(__xludf.DUMMYFUNCTION("""COMPUTED_VALUE"""),110.17)</f>
        <v>110.17</v>
      </c>
      <c r="D132" s="141">
        <f ca="1">IFERROR(__xludf.DUMMYFUNCTION("""COMPUTED_VALUE"""),110.2)</f>
        <v>110.2</v>
      </c>
      <c r="E132" s="141">
        <f ca="1">IFERROR(__xludf.DUMMYFUNCTION("""COMPUTED_VALUE"""),109.98)</f>
        <v>109.98</v>
      </c>
      <c r="F132" s="141">
        <f ca="1">IFERROR(__xludf.DUMMYFUNCTION("""COMPUTED_VALUE"""),110.05)</f>
        <v>110.05</v>
      </c>
      <c r="G132" s="143">
        <f ca="1">IFERROR(__xludf.DUMMYFUNCTION("""COMPUTED_VALUE"""),1357112)</f>
        <v>1357112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IFERROR(__xludf.DUMMYFUNCTION("""COMPUTED_VALUE"""),110.14)</f>
        <v>110.14</v>
      </c>
      <c r="D133" s="141">
        <f ca="1">IFERROR(__xludf.DUMMYFUNCTION("""COMPUTED_VALUE"""),110.19)</f>
        <v>110.19</v>
      </c>
      <c r="E133" s="141">
        <f ca="1">IFERROR(__xludf.DUMMYFUNCTION("""COMPUTED_VALUE"""),110.09)</f>
        <v>110.09</v>
      </c>
      <c r="F133" s="141">
        <f ca="1">IFERROR(__xludf.DUMMYFUNCTION("""COMPUTED_VALUE"""),110.15)</f>
        <v>110.15</v>
      </c>
      <c r="G133" s="143">
        <f ca="1">IFERROR(__xludf.DUMMYFUNCTION("""COMPUTED_VALUE"""),1572136)</f>
        <v>1572136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IFERROR(__xludf.DUMMYFUNCTION("""COMPUTED_VALUE"""),110.1)</f>
        <v>110.1</v>
      </c>
      <c r="D134" s="141">
        <f ca="1">IFERROR(__xludf.DUMMYFUNCTION("""COMPUTED_VALUE"""),110.22)</f>
        <v>110.22</v>
      </c>
      <c r="E134" s="141">
        <f ca="1">IFERROR(__xludf.DUMMYFUNCTION("""COMPUTED_VALUE"""),110.07)</f>
        <v>110.07</v>
      </c>
      <c r="F134" s="141">
        <f ca="1">IFERROR(__xludf.DUMMYFUNCTION("""COMPUTED_VALUE"""),110.13)</f>
        <v>110.13</v>
      </c>
      <c r="G134" s="143">
        <f ca="1">IFERROR(__xludf.DUMMYFUNCTION("""COMPUTED_VALUE"""),1723244)</f>
        <v>1723244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IFERROR(__xludf.DUMMYFUNCTION("""COMPUTED_VALUE"""),109.99)</f>
        <v>109.99</v>
      </c>
      <c r="D135" s="141">
        <f ca="1">IFERROR(__xludf.DUMMYFUNCTION("""COMPUTED_VALUE"""),110.17)</f>
        <v>110.17</v>
      </c>
      <c r="E135" s="141">
        <f ca="1">IFERROR(__xludf.DUMMYFUNCTION("""COMPUTED_VALUE"""),109.89)</f>
        <v>109.89</v>
      </c>
      <c r="F135" s="141">
        <f ca="1">IFERROR(__xludf.DUMMYFUNCTION("""COMPUTED_VALUE"""),109.91)</f>
        <v>109.91</v>
      </c>
      <c r="G135" s="143">
        <f ca="1">IFERROR(__xludf.DUMMYFUNCTION("""COMPUTED_VALUE"""),2927801)</f>
        <v>2927801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IFERROR(__xludf.DUMMYFUNCTION("""COMPUTED_VALUE"""),110.01)</f>
        <v>110.01</v>
      </c>
      <c r="D136" s="141">
        <f ca="1">IFERROR(__xludf.DUMMYFUNCTION("""COMPUTED_VALUE"""),110.01)</f>
        <v>110.01</v>
      </c>
      <c r="E136" s="141">
        <f ca="1">IFERROR(__xludf.DUMMYFUNCTION("""COMPUTED_VALUE"""),109.85)</f>
        <v>109.85</v>
      </c>
      <c r="F136" s="141">
        <f ca="1">IFERROR(__xludf.DUMMYFUNCTION("""COMPUTED_VALUE"""),109.86)</f>
        <v>109.86</v>
      </c>
      <c r="G136" s="143">
        <f ca="1">IFERROR(__xludf.DUMMYFUNCTION("""COMPUTED_VALUE"""),2787896)</f>
        <v>2787896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IFERROR(__xludf.DUMMYFUNCTION("""COMPUTED_VALUE"""),109.97)</f>
        <v>109.97</v>
      </c>
      <c r="D137" s="141">
        <f ca="1">IFERROR(__xludf.DUMMYFUNCTION("""COMPUTED_VALUE"""),110.18)</f>
        <v>110.18</v>
      </c>
      <c r="E137" s="141">
        <f ca="1">IFERROR(__xludf.DUMMYFUNCTION("""COMPUTED_VALUE"""),109.93)</f>
        <v>109.93</v>
      </c>
      <c r="F137" s="141">
        <f ca="1">IFERROR(__xludf.DUMMYFUNCTION("""COMPUTED_VALUE"""),110.16)</f>
        <v>110.16</v>
      </c>
      <c r="G137" s="143">
        <f ca="1">IFERROR(__xludf.DUMMYFUNCTION("""COMPUTED_VALUE"""),2084766)</f>
        <v>2084766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IFERROR(__xludf.DUMMYFUNCTION("""COMPUTED_VALUE"""),110.12)</f>
        <v>110.12</v>
      </c>
      <c r="D138" s="141">
        <f ca="1">IFERROR(__xludf.DUMMYFUNCTION("""COMPUTED_VALUE"""),110.17)</f>
        <v>110.17</v>
      </c>
      <c r="E138" s="141">
        <f ca="1">IFERROR(__xludf.DUMMYFUNCTION("""COMPUTED_VALUE"""),109.95)</f>
        <v>109.95</v>
      </c>
      <c r="F138" s="141">
        <f ca="1">IFERROR(__xludf.DUMMYFUNCTION("""COMPUTED_VALUE"""),110.08)</f>
        <v>110.08</v>
      </c>
      <c r="G138" s="143">
        <f ca="1">IFERROR(__xludf.DUMMYFUNCTION("""COMPUTED_VALUE"""),3738095)</f>
        <v>3738095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IFERROR(__xludf.DUMMYFUNCTION("""COMPUTED_VALUE"""),110.28)</f>
        <v>110.28</v>
      </c>
      <c r="D139" s="141">
        <f ca="1">IFERROR(__xludf.DUMMYFUNCTION("""COMPUTED_VALUE"""),110.31)</f>
        <v>110.31</v>
      </c>
      <c r="E139" s="141">
        <f ca="1">IFERROR(__xludf.DUMMYFUNCTION("""COMPUTED_VALUE"""),110.11)</f>
        <v>110.11</v>
      </c>
      <c r="F139" s="141">
        <f ca="1">IFERROR(__xludf.DUMMYFUNCTION("""COMPUTED_VALUE"""),110.25)</f>
        <v>110.25</v>
      </c>
      <c r="G139" s="143">
        <f ca="1">IFERROR(__xludf.DUMMYFUNCTION("""COMPUTED_VALUE"""),3603495)</f>
        <v>3603495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IFERROR(__xludf.DUMMYFUNCTION("""COMPUTED_VALUE"""),110.07)</f>
        <v>110.07</v>
      </c>
      <c r="D140" s="141">
        <f ca="1">IFERROR(__xludf.DUMMYFUNCTION("""COMPUTED_VALUE"""),110.15)</f>
        <v>110.15</v>
      </c>
      <c r="E140" s="141">
        <f ca="1">IFERROR(__xludf.DUMMYFUNCTION("""COMPUTED_VALUE"""),110.02)</f>
        <v>110.02</v>
      </c>
      <c r="F140" s="141">
        <f ca="1">IFERROR(__xludf.DUMMYFUNCTION("""COMPUTED_VALUE"""),110.03)</f>
        <v>110.03</v>
      </c>
      <c r="G140" s="143">
        <f ca="1">IFERROR(__xludf.DUMMYFUNCTION("""COMPUTED_VALUE"""),2414071)</f>
        <v>2414071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IFERROR(__xludf.DUMMYFUNCTION("""COMPUTED_VALUE"""),110.08)</f>
        <v>110.08</v>
      </c>
      <c r="D141" s="141">
        <f ca="1">IFERROR(__xludf.DUMMYFUNCTION("""COMPUTED_VALUE"""),110.26)</f>
        <v>110.26</v>
      </c>
      <c r="E141" s="141">
        <f ca="1">IFERROR(__xludf.DUMMYFUNCTION("""COMPUTED_VALUE"""),110.01)</f>
        <v>110.01</v>
      </c>
      <c r="F141" s="141">
        <f ca="1">IFERROR(__xludf.DUMMYFUNCTION("""COMPUTED_VALUE"""),110.18)</f>
        <v>110.18</v>
      </c>
      <c r="G141" s="143">
        <f ca="1">IFERROR(__xludf.DUMMYFUNCTION("""COMPUTED_VALUE"""),2589241)</f>
        <v>2589241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IFERROR(__xludf.DUMMYFUNCTION("""COMPUTED_VALUE"""),110.15)</f>
        <v>110.15</v>
      </c>
      <c r="D142" s="141">
        <f ca="1">IFERROR(__xludf.DUMMYFUNCTION("""COMPUTED_VALUE"""),110.26)</f>
        <v>110.26</v>
      </c>
      <c r="E142" s="141">
        <f ca="1">IFERROR(__xludf.DUMMYFUNCTION("""COMPUTED_VALUE"""),110.12)</f>
        <v>110.12</v>
      </c>
      <c r="F142" s="141">
        <f ca="1">IFERROR(__xludf.DUMMYFUNCTION("""COMPUTED_VALUE"""),110.18)</f>
        <v>110.18</v>
      </c>
      <c r="G142" s="143">
        <f ca="1">IFERROR(__xludf.DUMMYFUNCTION("""COMPUTED_VALUE"""),1558739)</f>
        <v>1558739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IFERROR(__xludf.DUMMYFUNCTION("""COMPUTED_VALUE"""),110.3)</f>
        <v>110.3</v>
      </c>
      <c r="D143" s="141">
        <f ca="1">IFERROR(__xludf.DUMMYFUNCTION("""COMPUTED_VALUE"""),110.36)</f>
        <v>110.36</v>
      </c>
      <c r="E143" s="141">
        <f ca="1">IFERROR(__xludf.DUMMYFUNCTION("""COMPUTED_VALUE"""),110.19)</f>
        <v>110.19</v>
      </c>
      <c r="F143" s="141">
        <f ca="1">IFERROR(__xludf.DUMMYFUNCTION("""COMPUTED_VALUE"""),110.28)</f>
        <v>110.28</v>
      </c>
      <c r="G143" s="143">
        <f ca="1">IFERROR(__xludf.DUMMYFUNCTION("""COMPUTED_VALUE"""),2589908)</f>
        <v>2589908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IFERROR(__xludf.DUMMYFUNCTION("""COMPUTED_VALUE"""),110.38)</f>
        <v>110.38</v>
      </c>
      <c r="D144" s="141">
        <f ca="1">IFERROR(__xludf.DUMMYFUNCTION("""COMPUTED_VALUE"""),110.54)</f>
        <v>110.54</v>
      </c>
      <c r="E144" s="141">
        <f ca="1">IFERROR(__xludf.DUMMYFUNCTION("""COMPUTED_VALUE"""),110.38)</f>
        <v>110.38</v>
      </c>
      <c r="F144" s="141">
        <f ca="1">IFERROR(__xludf.DUMMYFUNCTION("""COMPUTED_VALUE"""),110.4)</f>
        <v>110.4</v>
      </c>
      <c r="G144" s="143">
        <f ca="1">IFERROR(__xludf.DUMMYFUNCTION("""COMPUTED_VALUE"""),1879885)</f>
        <v>1879885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IFERROR(__xludf.DUMMYFUNCTION("""COMPUTED_VALUE"""),110.43)</f>
        <v>110.43</v>
      </c>
      <c r="D145" s="141">
        <f ca="1">IFERROR(__xludf.DUMMYFUNCTION("""COMPUTED_VALUE"""),110.44)</f>
        <v>110.44</v>
      </c>
      <c r="E145" s="141">
        <f ca="1">IFERROR(__xludf.DUMMYFUNCTION("""COMPUTED_VALUE"""),110.23)</f>
        <v>110.23</v>
      </c>
      <c r="F145" s="141">
        <f ca="1">IFERROR(__xludf.DUMMYFUNCTION("""COMPUTED_VALUE"""),110.23)</f>
        <v>110.23</v>
      </c>
      <c r="G145" s="143">
        <f ca="1">IFERROR(__xludf.DUMMYFUNCTION("""COMPUTED_VALUE"""),2645890)</f>
        <v>2645890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IFERROR(__xludf.DUMMYFUNCTION("""COMPUTED_VALUE"""),110.26)</f>
        <v>110.26</v>
      </c>
      <c r="D146" s="141">
        <f ca="1">IFERROR(__xludf.DUMMYFUNCTION("""COMPUTED_VALUE"""),110.3)</f>
        <v>110.3</v>
      </c>
      <c r="E146" s="141">
        <f ca="1">IFERROR(__xludf.DUMMYFUNCTION("""COMPUTED_VALUE"""),110.02)</f>
        <v>110.02</v>
      </c>
      <c r="F146" s="141">
        <f ca="1">IFERROR(__xludf.DUMMYFUNCTION("""COMPUTED_VALUE"""),110.02)</f>
        <v>110.02</v>
      </c>
      <c r="G146" s="143">
        <f ca="1">IFERROR(__xludf.DUMMYFUNCTION("""COMPUTED_VALUE"""),2318604)</f>
        <v>2318604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IFERROR(__xludf.DUMMYFUNCTION("""COMPUTED_VALUE"""),109.71)</f>
        <v>109.71</v>
      </c>
      <c r="D147" s="141">
        <f ca="1">IFERROR(__xludf.DUMMYFUNCTION("""COMPUTED_VALUE"""),109.87)</f>
        <v>109.87</v>
      </c>
      <c r="E147" s="141">
        <f ca="1">IFERROR(__xludf.DUMMYFUNCTION("""COMPUTED_VALUE"""),109.68)</f>
        <v>109.68</v>
      </c>
      <c r="F147" s="141">
        <f ca="1">IFERROR(__xludf.DUMMYFUNCTION("""COMPUTED_VALUE"""),109.69)</f>
        <v>109.69</v>
      </c>
      <c r="G147" s="143">
        <f ca="1">IFERROR(__xludf.DUMMYFUNCTION("""COMPUTED_VALUE"""),2445277)</f>
        <v>2445277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IFERROR(__xludf.DUMMYFUNCTION("""COMPUTED_VALUE"""),109.82)</f>
        <v>109.82</v>
      </c>
      <c r="D148" s="141">
        <f ca="1">IFERROR(__xludf.DUMMYFUNCTION("""COMPUTED_VALUE"""),110.13)</f>
        <v>110.13</v>
      </c>
      <c r="E148" s="141">
        <f ca="1">IFERROR(__xludf.DUMMYFUNCTION("""COMPUTED_VALUE"""),109.75)</f>
        <v>109.75</v>
      </c>
      <c r="F148" s="141">
        <f ca="1">IFERROR(__xludf.DUMMYFUNCTION("""COMPUTED_VALUE"""),110.12)</f>
        <v>110.12</v>
      </c>
      <c r="G148" s="143">
        <f ca="1">IFERROR(__xludf.DUMMYFUNCTION("""COMPUTED_VALUE"""),4361949)</f>
        <v>4361949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IFERROR(__xludf.DUMMYFUNCTION("""COMPUTED_VALUE"""),110.02)</f>
        <v>110.02</v>
      </c>
      <c r="D149" s="141">
        <f ca="1">IFERROR(__xludf.DUMMYFUNCTION("""COMPUTED_VALUE"""),110.19)</f>
        <v>110.19</v>
      </c>
      <c r="E149" s="141">
        <f ca="1">IFERROR(__xludf.DUMMYFUNCTION("""COMPUTED_VALUE"""),109.97)</f>
        <v>109.97</v>
      </c>
      <c r="F149" s="141">
        <f ca="1">IFERROR(__xludf.DUMMYFUNCTION("""COMPUTED_VALUE"""),110.01)</f>
        <v>110.01</v>
      </c>
      <c r="G149" s="143">
        <f ca="1">IFERROR(__xludf.DUMMYFUNCTION("""COMPUTED_VALUE"""),4034163)</f>
        <v>4034163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IFERROR(__xludf.DUMMYFUNCTION("""COMPUTED_VALUE"""),110.03)</f>
        <v>110.03</v>
      </c>
      <c r="D150" s="141">
        <f ca="1">IFERROR(__xludf.DUMMYFUNCTION("""COMPUTED_VALUE"""),110.26)</f>
        <v>110.26</v>
      </c>
      <c r="E150" s="141">
        <f ca="1">IFERROR(__xludf.DUMMYFUNCTION("""COMPUTED_VALUE"""),110.01)</f>
        <v>110.01</v>
      </c>
      <c r="F150" s="141">
        <f ca="1">IFERROR(__xludf.DUMMYFUNCTION("""COMPUTED_VALUE"""),110.23)</f>
        <v>110.23</v>
      </c>
      <c r="G150" s="143">
        <f ca="1">IFERROR(__xludf.DUMMYFUNCTION("""COMPUTED_VALUE"""),5141467)</f>
        <v>5141467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IFERROR(__xludf.DUMMYFUNCTION("""COMPUTED_VALUE"""),110.34)</f>
        <v>110.34</v>
      </c>
      <c r="D151" s="141">
        <f ca="1">IFERROR(__xludf.DUMMYFUNCTION("""COMPUTED_VALUE"""),110.42)</f>
        <v>110.42</v>
      </c>
      <c r="E151" s="141">
        <f ca="1">IFERROR(__xludf.DUMMYFUNCTION("""COMPUTED_VALUE"""),110.28)</f>
        <v>110.28</v>
      </c>
      <c r="F151" s="141">
        <f ca="1">IFERROR(__xludf.DUMMYFUNCTION("""COMPUTED_VALUE"""),110.38)</f>
        <v>110.38</v>
      </c>
      <c r="G151" s="143">
        <f ca="1">IFERROR(__xludf.DUMMYFUNCTION("""COMPUTED_VALUE"""),2785782)</f>
        <v>2785782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IFERROR(__xludf.DUMMYFUNCTION("""COMPUTED_VALUE"""),110.42)</f>
        <v>110.42</v>
      </c>
      <c r="D152" s="141">
        <f ca="1">IFERROR(__xludf.DUMMYFUNCTION("""COMPUTED_VALUE"""),110.49)</f>
        <v>110.49</v>
      </c>
      <c r="E152" s="141">
        <f ca="1">IFERROR(__xludf.DUMMYFUNCTION("""COMPUTED_VALUE"""),110.38)</f>
        <v>110.38</v>
      </c>
      <c r="F152" s="141">
        <f ca="1">IFERROR(__xludf.DUMMYFUNCTION("""COMPUTED_VALUE"""),110.39)</f>
        <v>110.39</v>
      </c>
      <c r="G152" s="143">
        <f ca="1">IFERROR(__xludf.DUMMYFUNCTION("""COMPUTED_VALUE"""),2042262)</f>
        <v>2042262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IFERROR(__xludf.DUMMYFUNCTION("""COMPUTED_VALUE"""),110.43)</f>
        <v>110.43</v>
      </c>
      <c r="D153" s="141">
        <f ca="1">IFERROR(__xludf.DUMMYFUNCTION("""COMPUTED_VALUE"""),110.46)</f>
        <v>110.46</v>
      </c>
      <c r="E153" s="141">
        <f ca="1">IFERROR(__xludf.DUMMYFUNCTION("""COMPUTED_VALUE"""),110.24)</f>
        <v>110.24</v>
      </c>
      <c r="F153" s="141">
        <f ca="1">IFERROR(__xludf.DUMMYFUNCTION("""COMPUTED_VALUE"""),110.44)</f>
        <v>110.44</v>
      </c>
      <c r="G153" s="143">
        <f ca="1">IFERROR(__xludf.DUMMYFUNCTION("""COMPUTED_VALUE"""),2449005)</f>
        <v>2449005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IFERROR(__xludf.DUMMYFUNCTION("""COMPUTED_VALUE"""),110.49)</f>
        <v>110.49</v>
      </c>
      <c r="D154" s="141">
        <f ca="1">IFERROR(__xludf.DUMMYFUNCTION("""COMPUTED_VALUE"""),110.69)</f>
        <v>110.69</v>
      </c>
      <c r="E154" s="141">
        <f ca="1">IFERROR(__xludf.DUMMYFUNCTION("""COMPUTED_VALUE"""),110.47)</f>
        <v>110.47</v>
      </c>
      <c r="F154" s="141">
        <f ca="1">IFERROR(__xludf.DUMMYFUNCTION("""COMPUTED_VALUE"""),110.52)</f>
        <v>110.52</v>
      </c>
      <c r="G154" s="143">
        <f ca="1">IFERROR(__xludf.DUMMYFUNCTION("""COMPUTED_VALUE"""),2024160)</f>
        <v>2024160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IFERROR(__xludf.DUMMYFUNCTION("""COMPUTED_VALUE"""),110.46)</f>
        <v>110.46</v>
      </c>
      <c r="D155" s="141">
        <f ca="1">IFERROR(__xludf.DUMMYFUNCTION("""COMPUTED_VALUE"""),110.55)</f>
        <v>110.55</v>
      </c>
      <c r="E155" s="141">
        <f ca="1">IFERROR(__xludf.DUMMYFUNCTION("""COMPUTED_VALUE"""),110.38)</f>
        <v>110.38</v>
      </c>
      <c r="F155" s="141">
        <f ca="1">IFERROR(__xludf.DUMMYFUNCTION("""COMPUTED_VALUE"""),110.48)</f>
        <v>110.48</v>
      </c>
      <c r="G155" s="143">
        <f ca="1">IFERROR(__xludf.DUMMYFUNCTION("""COMPUTED_VALUE"""),2285253)</f>
        <v>2285253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IFERROR(__xludf.DUMMYFUNCTION("""COMPUTED_VALUE"""),110.43)</f>
        <v>110.43</v>
      </c>
      <c r="D156" s="141">
        <f ca="1">IFERROR(__xludf.DUMMYFUNCTION("""COMPUTED_VALUE"""),110.44)</f>
        <v>110.44</v>
      </c>
      <c r="E156" s="141">
        <f ca="1">IFERROR(__xludf.DUMMYFUNCTION("""COMPUTED_VALUE"""),110.16)</f>
        <v>110.16</v>
      </c>
      <c r="F156" s="141">
        <f ca="1">IFERROR(__xludf.DUMMYFUNCTION("""COMPUTED_VALUE"""),110.19)</f>
        <v>110.19</v>
      </c>
      <c r="G156" s="143">
        <f ca="1">IFERROR(__xludf.DUMMYFUNCTION("""COMPUTED_VALUE"""),4416418)</f>
        <v>4416418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IFERROR(__xludf.DUMMYFUNCTION("""COMPUTED_VALUE"""),110.24)</f>
        <v>110.24</v>
      </c>
      <c r="D157" s="141">
        <f ca="1">IFERROR(__xludf.DUMMYFUNCTION("""COMPUTED_VALUE"""),110.41)</f>
        <v>110.41</v>
      </c>
      <c r="E157" s="141">
        <f ca="1">IFERROR(__xludf.DUMMYFUNCTION("""COMPUTED_VALUE"""),110.24)</f>
        <v>110.24</v>
      </c>
      <c r="F157" s="141">
        <f ca="1">IFERROR(__xludf.DUMMYFUNCTION("""COMPUTED_VALUE"""),110.37)</f>
        <v>110.37</v>
      </c>
      <c r="G157" s="143">
        <f ca="1">IFERROR(__xludf.DUMMYFUNCTION("""COMPUTED_VALUE"""),1651300)</f>
        <v>1651300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IFERROR(__xludf.DUMMYFUNCTION("""COMPUTED_VALUE"""),110.22)</f>
        <v>110.22</v>
      </c>
      <c r="D158" s="141">
        <f ca="1">IFERROR(__xludf.DUMMYFUNCTION("""COMPUTED_VALUE"""),110.35)</f>
        <v>110.35</v>
      </c>
      <c r="E158" s="141">
        <f ca="1">IFERROR(__xludf.DUMMYFUNCTION("""COMPUTED_VALUE"""),110.21)</f>
        <v>110.21</v>
      </c>
      <c r="F158" s="141">
        <f ca="1">IFERROR(__xludf.DUMMYFUNCTION("""COMPUTED_VALUE"""),110.25)</f>
        <v>110.25</v>
      </c>
      <c r="G158" s="143">
        <f ca="1">IFERROR(__xludf.DUMMYFUNCTION("""COMPUTED_VALUE"""),4072202)</f>
        <v>4072202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IFERROR(__xludf.DUMMYFUNCTION("""COMPUTED_VALUE"""),110.41)</f>
        <v>110.41</v>
      </c>
      <c r="D159" s="141">
        <f ca="1">IFERROR(__xludf.DUMMYFUNCTION("""COMPUTED_VALUE"""),110.58)</f>
        <v>110.58</v>
      </c>
      <c r="E159" s="141">
        <f ca="1">IFERROR(__xludf.DUMMYFUNCTION("""COMPUTED_VALUE"""),110.34)</f>
        <v>110.34</v>
      </c>
      <c r="F159" s="141">
        <f ca="1">IFERROR(__xludf.DUMMYFUNCTION("""COMPUTED_VALUE"""),110.56)</f>
        <v>110.56</v>
      </c>
      <c r="G159" s="143">
        <f ca="1">IFERROR(__xludf.DUMMYFUNCTION("""COMPUTED_VALUE"""),2319243)</f>
        <v>2319243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IFERROR(__xludf.DUMMYFUNCTION("""COMPUTED_VALUE"""),110.59)</f>
        <v>110.59</v>
      </c>
      <c r="D160" s="141">
        <f ca="1">IFERROR(__xludf.DUMMYFUNCTION("""COMPUTED_VALUE"""),110.67)</f>
        <v>110.67</v>
      </c>
      <c r="E160" s="141">
        <f ca="1">IFERROR(__xludf.DUMMYFUNCTION("""COMPUTED_VALUE"""),110.48)</f>
        <v>110.48</v>
      </c>
      <c r="F160" s="141">
        <f ca="1">IFERROR(__xludf.DUMMYFUNCTION("""COMPUTED_VALUE"""),110.67)</f>
        <v>110.67</v>
      </c>
      <c r="G160" s="143">
        <f ca="1">IFERROR(__xludf.DUMMYFUNCTION("""COMPUTED_VALUE"""),2478574)</f>
        <v>2478574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IFERROR(__xludf.DUMMYFUNCTION("""COMPUTED_VALUE"""),110.6)</f>
        <v>110.6</v>
      </c>
      <c r="D161" s="141">
        <f ca="1">IFERROR(__xludf.DUMMYFUNCTION("""COMPUTED_VALUE"""),110.78)</f>
        <v>110.78</v>
      </c>
      <c r="E161" s="141">
        <f ca="1">IFERROR(__xludf.DUMMYFUNCTION("""COMPUTED_VALUE"""),110.55)</f>
        <v>110.55</v>
      </c>
      <c r="F161" s="141">
        <f ca="1">IFERROR(__xludf.DUMMYFUNCTION("""COMPUTED_VALUE"""),110.76)</f>
        <v>110.76</v>
      </c>
      <c r="G161" s="143">
        <f ca="1">IFERROR(__xludf.DUMMYFUNCTION("""COMPUTED_VALUE"""),2712499)</f>
        <v>2712499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IFERROR(__xludf.DUMMYFUNCTION("""COMPUTED_VALUE"""),111)</f>
        <v>111</v>
      </c>
      <c r="D162" s="141">
        <f ca="1">IFERROR(__xludf.DUMMYFUNCTION("""COMPUTED_VALUE"""),111.09)</f>
        <v>111.09</v>
      </c>
      <c r="E162" s="141">
        <f ca="1">IFERROR(__xludf.DUMMYFUNCTION("""COMPUTED_VALUE"""),110.91)</f>
        <v>110.91</v>
      </c>
      <c r="F162" s="141">
        <f ca="1">IFERROR(__xludf.DUMMYFUNCTION("""COMPUTED_VALUE"""),110.99)</f>
        <v>110.99</v>
      </c>
      <c r="G162" s="143">
        <f ca="1">IFERROR(__xludf.DUMMYFUNCTION("""COMPUTED_VALUE"""),2026356)</f>
        <v>2026356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IFERROR(__xludf.DUMMYFUNCTION("""COMPUTED_VALUE"""),110.84)</f>
        <v>110.84</v>
      </c>
      <c r="D163" s="141">
        <f ca="1">IFERROR(__xludf.DUMMYFUNCTION("""COMPUTED_VALUE"""),111)</f>
        <v>111</v>
      </c>
      <c r="E163" s="141">
        <f ca="1">IFERROR(__xludf.DUMMYFUNCTION("""COMPUTED_VALUE"""),110.77)</f>
        <v>110.77</v>
      </c>
      <c r="F163" s="141">
        <f ca="1">IFERROR(__xludf.DUMMYFUNCTION("""COMPUTED_VALUE"""),110.81)</f>
        <v>110.81</v>
      </c>
      <c r="G163" s="143">
        <f ca="1">IFERROR(__xludf.DUMMYFUNCTION("""COMPUTED_VALUE"""),1771816)</f>
        <v>1771816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IFERROR(__xludf.DUMMYFUNCTION("""COMPUTED_VALUE"""),110.9)</f>
        <v>110.9</v>
      </c>
      <c r="D164" s="141">
        <f ca="1">IFERROR(__xludf.DUMMYFUNCTION("""COMPUTED_VALUE"""),111.27)</f>
        <v>111.27</v>
      </c>
      <c r="E164" s="141">
        <f ca="1">IFERROR(__xludf.DUMMYFUNCTION("""COMPUTED_VALUE"""),110.88)</f>
        <v>110.88</v>
      </c>
      <c r="F164" s="141">
        <f ca="1">IFERROR(__xludf.DUMMYFUNCTION("""COMPUTED_VALUE"""),111.25)</f>
        <v>111.25</v>
      </c>
      <c r="G164" s="143">
        <f ca="1">IFERROR(__xludf.DUMMYFUNCTION("""COMPUTED_VALUE"""),2401299)</f>
        <v>2401299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IFERROR(__xludf.DUMMYFUNCTION("""COMPUTED_VALUE"""),111.38)</f>
        <v>111.38</v>
      </c>
      <c r="D165" s="141">
        <f ca="1">IFERROR(__xludf.DUMMYFUNCTION("""COMPUTED_VALUE"""),111.44)</f>
        <v>111.44</v>
      </c>
      <c r="E165" s="141">
        <f ca="1">IFERROR(__xludf.DUMMYFUNCTION("""COMPUTED_VALUE"""),111.25)</f>
        <v>111.25</v>
      </c>
      <c r="F165" s="141">
        <f ca="1">IFERROR(__xludf.DUMMYFUNCTION("""COMPUTED_VALUE"""),111.39)</f>
        <v>111.39</v>
      </c>
      <c r="G165" s="143">
        <f ca="1">IFERROR(__xludf.DUMMYFUNCTION("""COMPUTED_VALUE"""),4662721)</f>
        <v>4662721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IFERROR(__xludf.DUMMYFUNCTION("""COMPUTED_VALUE"""),111.31)</f>
        <v>111.31</v>
      </c>
      <c r="D166" s="141">
        <f ca="1">IFERROR(__xludf.DUMMYFUNCTION("""COMPUTED_VALUE"""),111.33)</f>
        <v>111.33</v>
      </c>
      <c r="E166" s="141">
        <f ca="1">IFERROR(__xludf.DUMMYFUNCTION("""COMPUTED_VALUE"""),111.2)</f>
        <v>111.2</v>
      </c>
      <c r="F166" s="141">
        <f ca="1">IFERROR(__xludf.DUMMYFUNCTION("""COMPUTED_VALUE"""),111.23)</f>
        <v>111.23</v>
      </c>
      <c r="G166" s="143">
        <f ca="1">IFERROR(__xludf.DUMMYFUNCTION("""COMPUTED_VALUE"""),1844025)</f>
        <v>1844025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IFERROR(__xludf.DUMMYFUNCTION("""COMPUTED_VALUE"""),111.22)</f>
        <v>111.22</v>
      </c>
      <c r="D167" s="141">
        <f ca="1">IFERROR(__xludf.DUMMYFUNCTION("""COMPUTED_VALUE"""),111.29)</f>
        <v>111.29</v>
      </c>
      <c r="E167" s="141">
        <f ca="1">IFERROR(__xludf.DUMMYFUNCTION("""COMPUTED_VALUE"""),111.13)</f>
        <v>111.13</v>
      </c>
      <c r="F167" s="141">
        <f ca="1">IFERROR(__xludf.DUMMYFUNCTION("""COMPUTED_VALUE"""),111.16)</f>
        <v>111.16</v>
      </c>
      <c r="G167" s="143">
        <f ca="1">IFERROR(__xludf.DUMMYFUNCTION("""COMPUTED_VALUE"""),1939689)</f>
        <v>1939689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IFERROR(__xludf.DUMMYFUNCTION("""COMPUTED_VALUE"""),111.13)</f>
        <v>111.13</v>
      </c>
      <c r="D168" s="141">
        <f ca="1">IFERROR(__xludf.DUMMYFUNCTION("""COMPUTED_VALUE"""),111.34)</f>
        <v>111.34</v>
      </c>
      <c r="E168" s="141">
        <f ca="1">IFERROR(__xludf.DUMMYFUNCTION("""COMPUTED_VALUE"""),111.12)</f>
        <v>111.12</v>
      </c>
      <c r="F168" s="141">
        <f ca="1">IFERROR(__xludf.DUMMYFUNCTION("""COMPUTED_VALUE"""),111.25)</f>
        <v>111.25</v>
      </c>
      <c r="G168" s="143">
        <f ca="1">IFERROR(__xludf.DUMMYFUNCTION("""COMPUTED_VALUE"""),2665282)</f>
        <v>2665282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IFERROR(__xludf.DUMMYFUNCTION("""COMPUTED_VALUE"""),111.31)</f>
        <v>111.31</v>
      </c>
      <c r="D169" s="141">
        <f ca="1">IFERROR(__xludf.DUMMYFUNCTION("""COMPUTED_VALUE"""),111.31)</f>
        <v>111.31</v>
      </c>
      <c r="E169" s="141">
        <f ca="1">IFERROR(__xludf.DUMMYFUNCTION("""COMPUTED_VALUE"""),110.99)</f>
        <v>110.99</v>
      </c>
      <c r="F169" s="141">
        <f ca="1">IFERROR(__xludf.DUMMYFUNCTION("""COMPUTED_VALUE"""),111.19)</f>
        <v>111.19</v>
      </c>
      <c r="G169" s="143">
        <f ca="1">IFERROR(__xludf.DUMMYFUNCTION("""COMPUTED_VALUE"""),3085106)</f>
        <v>3085106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IFERROR(__xludf.DUMMYFUNCTION("""COMPUTED_VALUE"""),111.29)</f>
        <v>111.29</v>
      </c>
      <c r="D170" s="141">
        <f ca="1">IFERROR(__xludf.DUMMYFUNCTION("""COMPUTED_VALUE"""),111.46)</f>
        <v>111.46</v>
      </c>
      <c r="E170" s="141">
        <f ca="1">IFERROR(__xludf.DUMMYFUNCTION("""COMPUTED_VALUE"""),111.25)</f>
        <v>111.25</v>
      </c>
      <c r="F170" s="141">
        <f ca="1">IFERROR(__xludf.DUMMYFUNCTION("""COMPUTED_VALUE"""),111.29)</f>
        <v>111.29</v>
      </c>
      <c r="G170" s="143">
        <f ca="1">IFERROR(__xludf.DUMMYFUNCTION("""COMPUTED_VALUE"""),2315534)</f>
        <v>2315534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IFERROR(__xludf.DUMMYFUNCTION("""COMPUTED_VALUE"""),111.33)</f>
        <v>111.33</v>
      </c>
      <c r="D171" s="141">
        <f ca="1">IFERROR(__xludf.DUMMYFUNCTION("""COMPUTED_VALUE"""),111.36)</f>
        <v>111.36</v>
      </c>
      <c r="E171" s="141">
        <f ca="1">IFERROR(__xludf.DUMMYFUNCTION("""COMPUTED_VALUE"""),111.21)</f>
        <v>111.21</v>
      </c>
      <c r="F171" s="141">
        <f ca="1">IFERROR(__xludf.DUMMYFUNCTION("""COMPUTED_VALUE"""),111.31)</f>
        <v>111.31</v>
      </c>
      <c r="G171" s="143">
        <f ca="1">IFERROR(__xludf.DUMMYFUNCTION("""COMPUTED_VALUE"""),1227163)</f>
        <v>1227163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IFERROR(__xludf.DUMMYFUNCTION("""COMPUTED_VALUE"""),111.28)</f>
        <v>111.28</v>
      </c>
      <c r="D172" s="141">
        <f ca="1">IFERROR(__xludf.DUMMYFUNCTION("""COMPUTED_VALUE"""),111.46)</f>
        <v>111.46</v>
      </c>
      <c r="E172" s="141">
        <f ca="1">IFERROR(__xludf.DUMMYFUNCTION("""COMPUTED_VALUE"""),111.26)</f>
        <v>111.26</v>
      </c>
      <c r="F172" s="141">
        <f ca="1">IFERROR(__xludf.DUMMYFUNCTION("""COMPUTED_VALUE"""),111.41)</f>
        <v>111.41</v>
      </c>
      <c r="G172" s="143">
        <f ca="1">IFERROR(__xludf.DUMMYFUNCTION("""COMPUTED_VALUE"""),1549042)</f>
        <v>1549042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IFERROR(__xludf.DUMMYFUNCTION("""COMPUTED_VALUE"""),111.53)</f>
        <v>111.53</v>
      </c>
      <c r="D173" s="141">
        <f ca="1">IFERROR(__xludf.DUMMYFUNCTION("""COMPUTED_VALUE"""),111.72)</f>
        <v>111.72</v>
      </c>
      <c r="E173" s="141">
        <f ca="1">IFERROR(__xludf.DUMMYFUNCTION("""COMPUTED_VALUE"""),111.52)</f>
        <v>111.52</v>
      </c>
      <c r="F173" s="141">
        <f ca="1">IFERROR(__xludf.DUMMYFUNCTION("""COMPUTED_VALUE"""),111.71)</f>
        <v>111.71</v>
      </c>
      <c r="G173" s="143">
        <f ca="1">IFERROR(__xludf.DUMMYFUNCTION("""COMPUTED_VALUE"""),1545145)</f>
        <v>1545145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IFERROR(__xludf.DUMMYFUNCTION("""COMPUTED_VALUE"""),111.98)</f>
        <v>111.98</v>
      </c>
      <c r="D174" s="141">
        <f ca="1">IFERROR(__xludf.DUMMYFUNCTION("""COMPUTED_VALUE"""),111.98)</f>
        <v>111.98</v>
      </c>
      <c r="E174" s="141">
        <f ca="1">IFERROR(__xludf.DUMMYFUNCTION("""COMPUTED_VALUE"""),111.79)</f>
        <v>111.79</v>
      </c>
      <c r="F174" s="141">
        <f ca="1">IFERROR(__xludf.DUMMYFUNCTION("""COMPUTED_VALUE"""),111.88)</f>
        <v>111.88</v>
      </c>
      <c r="G174" s="143">
        <f ca="1">IFERROR(__xludf.DUMMYFUNCTION("""COMPUTED_VALUE"""),2462655)</f>
        <v>2462655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IFERROR(__xludf.DUMMYFUNCTION("""COMPUTED_VALUE"""),111.83)</f>
        <v>111.83</v>
      </c>
      <c r="D175" s="141">
        <f ca="1">IFERROR(__xludf.DUMMYFUNCTION("""COMPUTED_VALUE"""),111.83)</f>
        <v>111.83</v>
      </c>
      <c r="E175" s="141">
        <f ca="1">IFERROR(__xludf.DUMMYFUNCTION("""COMPUTED_VALUE"""),111.32)</f>
        <v>111.32</v>
      </c>
      <c r="F175" s="141">
        <f ca="1">IFERROR(__xludf.DUMMYFUNCTION("""COMPUTED_VALUE"""),111.57)</f>
        <v>111.57</v>
      </c>
      <c r="G175" s="143">
        <f ca="1">IFERROR(__xludf.DUMMYFUNCTION("""COMPUTED_VALUE"""),3294057)</f>
        <v>3294057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IFERROR(__xludf.DUMMYFUNCTION("""COMPUTED_VALUE"""),111.31)</f>
        <v>111.31</v>
      </c>
      <c r="D176" s="141">
        <f ca="1">IFERROR(__xludf.DUMMYFUNCTION("""COMPUTED_VALUE"""),111.63)</f>
        <v>111.63</v>
      </c>
      <c r="E176" s="141">
        <f ca="1">IFERROR(__xludf.DUMMYFUNCTION("""COMPUTED_VALUE"""),111.28)</f>
        <v>111.28</v>
      </c>
      <c r="F176" s="141">
        <f ca="1">IFERROR(__xludf.DUMMYFUNCTION("""COMPUTED_VALUE"""),111.5)</f>
        <v>111.5</v>
      </c>
      <c r="G176" s="143">
        <f ca="1">IFERROR(__xludf.DUMMYFUNCTION("""COMPUTED_VALUE"""),2665275)</f>
        <v>2665275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IFERROR(__xludf.DUMMYFUNCTION("""COMPUTED_VALUE"""),111.47)</f>
        <v>111.47</v>
      </c>
      <c r="D177" s="141">
        <f ca="1">IFERROR(__xludf.DUMMYFUNCTION("""COMPUTED_VALUE"""),111.48)</f>
        <v>111.48</v>
      </c>
      <c r="E177" s="141">
        <f ca="1">IFERROR(__xludf.DUMMYFUNCTION("""COMPUTED_VALUE"""),111.24)</f>
        <v>111.24</v>
      </c>
      <c r="F177" s="141">
        <f ca="1">IFERROR(__xludf.DUMMYFUNCTION("""COMPUTED_VALUE"""),111.25)</f>
        <v>111.25</v>
      </c>
      <c r="G177" s="143">
        <f ca="1">IFERROR(__xludf.DUMMYFUNCTION("""COMPUTED_VALUE"""),1760580)</f>
        <v>1760580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IFERROR(__xludf.DUMMYFUNCTION("""COMPUTED_VALUE"""),111.08)</f>
        <v>111.08</v>
      </c>
      <c r="D178" s="141">
        <f ca="1">IFERROR(__xludf.DUMMYFUNCTION("""COMPUTED_VALUE"""),111.32)</f>
        <v>111.32</v>
      </c>
      <c r="E178" s="141">
        <f ca="1">IFERROR(__xludf.DUMMYFUNCTION("""COMPUTED_VALUE"""),111.04)</f>
        <v>111.04</v>
      </c>
      <c r="F178" s="141">
        <f ca="1">IFERROR(__xludf.DUMMYFUNCTION("""COMPUTED_VALUE"""),111.22)</f>
        <v>111.22</v>
      </c>
      <c r="G178" s="143">
        <f ca="1">IFERROR(__xludf.DUMMYFUNCTION("""COMPUTED_VALUE"""),2467801)</f>
        <v>2467801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IFERROR(__xludf.DUMMYFUNCTION("""COMPUTED_VALUE"""),111.32)</f>
        <v>111.32</v>
      </c>
      <c r="D179" s="141">
        <f ca="1">IFERROR(__xludf.DUMMYFUNCTION("""COMPUTED_VALUE"""),111.71)</f>
        <v>111.71</v>
      </c>
      <c r="E179" s="141">
        <f ca="1">IFERROR(__xludf.DUMMYFUNCTION("""COMPUTED_VALUE"""),111.28)</f>
        <v>111.28</v>
      </c>
      <c r="F179" s="141">
        <f ca="1">IFERROR(__xludf.DUMMYFUNCTION("""COMPUTED_VALUE"""),111.43)</f>
        <v>111.43</v>
      </c>
      <c r="G179" s="143">
        <f ca="1">IFERROR(__xludf.DUMMYFUNCTION("""COMPUTED_VALUE"""),2774443)</f>
        <v>2774443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IFERROR(__xludf.DUMMYFUNCTION("""COMPUTED_VALUE"""),111.52)</f>
        <v>111.52</v>
      </c>
      <c r="D180" s="141">
        <f ca="1">IFERROR(__xludf.DUMMYFUNCTION("""COMPUTED_VALUE"""),111.7)</f>
        <v>111.7</v>
      </c>
      <c r="E180" s="141">
        <f ca="1">IFERROR(__xludf.DUMMYFUNCTION("""COMPUTED_VALUE"""),111.35)</f>
        <v>111.35</v>
      </c>
      <c r="F180" s="141">
        <f ca="1">IFERROR(__xludf.DUMMYFUNCTION("""COMPUTED_VALUE"""),111.61)</f>
        <v>111.61</v>
      </c>
      <c r="G180" s="143">
        <f ca="1">IFERROR(__xludf.DUMMYFUNCTION("""COMPUTED_VALUE"""),4619207)</f>
        <v>4619207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IFERROR(__xludf.DUMMYFUNCTION("""COMPUTED_VALUE"""),111.53)</f>
        <v>111.53</v>
      </c>
      <c r="D181" s="141">
        <f ca="1">IFERROR(__xludf.DUMMYFUNCTION("""COMPUTED_VALUE"""),111.55)</f>
        <v>111.55</v>
      </c>
      <c r="E181" s="141">
        <f ca="1">IFERROR(__xludf.DUMMYFUNCTION("""COMPUTED_VALUE"""),111.21)</f>
        <v>111.21</v>
      </c>
      <c r="F181" s="141">
        <f ca="1">IFERROR(__xludf.DUMMYFUNCTION("""COMPUTED_VALUE"""),111.24)</f>
        <v>111.24</v>
      </c>
      <c r="G181" s="143">
        <f ca="1">IFERROR(__xludf.DUMMYFUNCTION("""COMPUTED_VALUE"""),2975353)</f>
        <v>2975353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IFERROR(__xludf.DUMMYFUNCTION("""COMPUTED_VALUE"""),111.26)</f>
        <v>111.26</v>
      </c>
      <c r="D182" s="141">
        <f ca="1">IFERROR(__xludf.DUMMYFUNCTION("""COMPUTED_VALUE"""),111.26)</f>
        <v>111.26</v>
      </c>
      <c r="E182" s="141">
        <f ca="1">IFERROR(__xludf.DUMMYFUNCTION("""COMPUTED_VALUE"""),111.03)</f>
        <v>111.03</v>
      </c>
      <c r="F182" s="141">
        <f ca="1">IFERROR(__xludf.DUMMYFUNCTION("""COMPUTED_VALUE"""),111.07)</f>
        <v>111.07</v>
      </c>
      <c r="G182" s="143">
        <f ca="1">IFERROR(__xludf.DUMMYFUNCTION("""COMPUTED_VALUE"""),2860660)</f>
        <v>2860660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IFERROR(__xludf.DUMMYFUNCTION("""COMPUTED_VALUE"""),111.08)</f>
        <v>111.08</v>
      </c>
      <c r="D183" s="141">
        <f ca="1">IFERROR(__xludf.DUMMYFUNCTION("""COMPUTED_VALUE"""),111.19)</f>
        <v>111.19</v>
      </c>
      <c r="E183" s="141">
        <f ca="1">IFERROR(__xludf.DUMMYFUNCTION("""COMPUTED_VALUE"""),110.8)</f>
        <v>110.8</v>
      </c>
      <c r="F183" s="141">
        <f ca="1">IFERROR(__xludf.DUMMYFUNCTION("""COMPUTED_VALUE"""),110.93)</f>
        <v>110.93</v>
      </c>
      <c r="G183" s="143">
        <f ca="1">IFERROR(__xludf.DUMMYFUNCTION("""COMPUTED_VALUE"""),2417737)</f>
        <v>2417737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IFERROR(__xludf.DUMMYFUNCTION("""COMPUTED_VALUE"""),110.9)</f>
        <v>110.9</v>
      </c>
      <c r="D184" s="141">
        <f ca="1">IFERROR(__xludf.DUMMYFUNCTION("""COMPUTED_VALUE"""),110.94)</f>
        <v>110.94</v>
      </c>
      <c r="E184" s="141">
        <f ca="1">IFERROR(__xludf.DUMMYFUNCTION("""COMPUTED_VALUE"""),110.66)</f>
        <v>110.66</v>
      </c>
      <c r="F184" s="141">
        <f ca="1">IFERROR(__xludf.DUMMYFUNCTION("""COMPUTED_VALUE"""),110.71)</f>
        <v>110.71</v>
      </c>
      <c r="G184" s="143">
        <f ca="1">IFERROR(__xludf.DUMMYFUNCTION("""COMPUTED_VALUE"""),2274854)</f>
        <v>2274854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IFERROR(__xludf.DUMMYFUNCTION("""COMPUTED_VALUE"""),111.02)</f>
        <v>111.02</v>
      </c>
      <c r="D185" s="141">
        <f ca="1">IFERROR(__xludf.DUMMYFUNCTION("""COMPUTED_VALUE"""),111.09)</f>
        <v>111.09</v>
      </c>
      <c r="E185" s="141">
        <f ca="1">IFERROR(__xludf.DUMMYFUNCTION("""COMPUTED_VALUE"""),110.88)</f>
        <v>110.88</v>
      </c>
      <c r="F185" s="141">
        <f ca="1">IFERROR(__xludf.DUMMYFUNCTION("""COMPUTED_VALUE"""),111.06)</f>
        <v>111.06</v>
      </c>
      <c r="G185" s="143">
        <f ca="1">IFERROR(__xludf.DUMMYFUNCTION("""COMPUTED_VALUE"""),2260640)</f>
        <v>2260640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IFERROR(__xludf.DUMMYFUNCTION("""COMPUTED_VALUE"""),111.28)</f>
        <v>111.28</v>
      </c>
      <c r="D186" s="141">
        <f ca="1">IFERROR(__xludf.DUMMYFUNCTION("""COMPUTED_VALUE"""),111.48)</f>
        <v>111.48</v>
      </c>
      <c r="E186" s="141">
        <f ca="1">IFERROR(__xludf.DUMMYFUNCTION("""COMPUTED_VALUE"""),111.22)</f>
        <v>111.22</v>
      </c>
      <c r="F186" s="141">
        <f ca="1">IFERROR(__xludf.DUMMYFUNCTION("""COMPUTED_VALUE"""),111.45)</f>
        <v>111.45</v>
      </c>
      <c r="G186" s="143">
        <f ca="1">IFERROR(__xludf.DUMMYFUNCTION("""COMPUTED_VALUE"""),1821692)</f>
        <v>1821692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IFERROR(__xludf.DUMMYFUNCTION("""COMPUTED_VALUE"""),111.51)</f>
        <v>111.51</v>
      </c>
      <c r="D187" s="141">
        <f ca="1">IFERROR(__xludf.DUMMYFUNCTION("""COMPUTED_VALUE"""),111.56)</f>
        <v>111.56</v>
      </c>
      <c r="E187" s="141">
        <f ca="1">IFERROR(__xludf.DUMMYFUNCTION("""COMPUTED_VALUE"""),111.21)</f>
        <v>111.21</v>
      </c>
      <c r="F187" s="141">
        <f ca="1">IFERROR(__xludf.DUMMYFUNCTION("""COMPUTED_VALUE"""),111.24)</f>
        <v>111.24</v>
      </c>
      <c r="G187" s="143">
        <f ca="1">IFERROR(__xludf.DUMMYFUNCTION("""COMPUTED_VALUE"""),3350751)</f>
        <v>3350751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IFERROR(__xludf.DUMMYFUNCTION("""COMPUTED_VALUE"""),111)</f>
        <v>111</v>
      </c>
      <c r="D188" s="141">
        <f ca="1">IFERROR(__xludf.DUMMYFUNCTION("""COMPUTED_VALUE"""),111.23)</f>
        <v>111.23</v>
      </c>
      <c r="E188" s="141">
        <f ca="1">IFERROR(__xludf.DUMMYFUNCTION("""COMPUTED_VALUE"""),110.95)</f>
        <v>110.95</v>
      </c>
      <c r="F188" s="141">
        <f ca="1">IFERROR(__xludf.DUMMYFUNCTION("""COMPUTED_VALUE"""),111.11)</f>
        <v>111.11</v>
      </c>
      <c r="G188" s="143">
        <f ca="1">IFERROR(__xludf.DUMMYFUNCTION("""COMPUTED_VALUE"""),4816214)</f>
        <v>4816214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IFERROR(__xludf.DUMMYFUNCTION("""COMPUTED_VALUE"""),110.72)</f>
        <v>110.72</v>
      </c>
      <c r="D189" s="141">
        <f ca="1">IFERROR(__xludf.DUMMYFUNCTION("""COMPUTED_VALUE"""),110.73)</f>
        <v>110.73</v>
      </c>
      <c r="E189" s="141">
        <f ca="1">IFERROR(__xludf.DUMMYFUNCTION("""COMPUTED_VALUE"""),110.19)</f>
        <v>110.19</v>
      </c>
      <c r="F189" s="141">
        <f ca="1">IFERROR(__xludf.DUMMYFUNCTION("""COMPUTED_VALUE"""),110.22)</f>
        <v>110.22</v>
      </c>
      <c r="G189" s="143">
        <f ca="1">IFERROR(__xludf.DUMMYFUNCTION("""COMPUTED_VALUE"""),4004090)</f>
        <v>4004090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IFERROR(__xludf.DUMMYFUNCTION("""COMPUTED_VALUE"""),110.09)</f>
        <v>110.09</v>
      </c>
      <c r="D190" s="141">
        <f ca="1">IFERROR(__xludf.DUMMYFUNCTION("""COMPUTED_VALUE"""),110.39)</f>
        <v>110.39</v>
      </c>
      <c r="E190" s="141">
        <f ca="1">IFERROR(__xludf.DUMMYFUNCTION("""COMPUTED_VALUE"""),110)</f>
        <v>110</v>
      </c>
      <c r="F190" s="141">
        <f ca="1">IFERROR(__xludf.DUMMYFUNCTION("""COMPUTED_VALUE"""),110.19)</f>
        <v>110.19</v>
      </c>
      <c r="G190" s="143">
        <f ca="1">IFERROR(__xludf.DUMMYFUNCTION("""COMPUTED_VALUE"""),5753599)</f>
        <v>5753599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IFERROR(__xludf.DUMMYFUNCTION("""COMPUTED_VALUE"""),109.86)</f>
        <v>109.86</v>
      </c>
      <c r="D191" s="141">
        <f ca="1">IFERROR(__xludf.DUMMYFUNCTION("""COMPUTED_VALUE"""),110.07)</f>
        <v>110.07</v>
      </c>
      <c r="E191" s="141">
        <f ca="1">IFERROR(__xludf.DUMMYFUNCTION("""COMPUTED_VALUE"""),109.68)</f>
        <v>109.68</v>
      </c>
      <c r="F191" s="141">
        <f ca="1">IFERROR(__xludf.DUMMYFUNCTION("""COMPUTED_VALUE"""),109.83)</f>
        <v>109.83</v>
      </c>
      <c r="G191" s="143">
        <f ca="1">IFERROR(__xludf.DUMMYFUNCTION("""COMPUTED_VALUE"""),4523784)</f>
        <v>4523784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IFERROR(__xludf.DUMMYFUNCTION("""COMPUTED_VALUE"""),110.1)</f>
        <v>110.1</v>
      </c>
      <c r="D192" s="141">
        <f ca="1">IFERROR(__xludf.DUMMYFUNCTION("""COMPUTED_VALUE"""),110.17)</f>
        <v>110.17</v>
      </c>
      <c r="E192" s="141">
        <f ca="1">IFERROR(__xludf.DUMMYFUNCTION("""COMPUTED_VALUE"""),109.93)</f>
        <v>109.93</v>
      </c>
      <c r="F192" s="141">
        <f ca="1">IFERROR(__xludf.DUMMYFUNCTION("""COMPUTED_VALUE"""),110.16)</f>
        <v>110.16</v>
      </c>
      <c r="G192" s="143">
        <f ca="1">IFERROR(__xludf.DUMMYFUNCTION("""COMPUTED_VALUE"""),4294542)</f>
        <v>4294542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IFERROR(__xludf.DUMMYFUNCTION("""COMPUTED_VALUE"""),110.12)</f>
        <v>110.12</v>
      </c>
      <c r="D193" s="141">
        <f ca="1">IFERROR(__xludf.DUMMYFUNCTION("""COMPUTED_VALUE"""),110.21)</f>
        <v>110.21</v>
      </c>
      <c r="E193" s="141">
        <f ca="1">IFERROR(__xludf.DUMMYFUNCTION("""COMPUTED_VALUE"""),109.76)</f>
        <v>109.76</v>
      </c>
      <c r="F193" s="141">
        <f ca="1">IFERROR(__xludf.DUMMYFUNCTION("""COMPUTED_VALUE"""),109.76)</f>
        <v>109.76</v>
      </c>
      <c r="G193" s="143">
        <f ca="1">IFERROR(__xludf.DUMMYFUNCTION("""COMPUTED_VALUE"""),3267925)</f>
        <v>3267925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IFERROR(__xludf.DUMMYFUNCTION("""COMPUTED_VALUE"""),109.65)</f>
        <v>109.65</v>
      </c>
      <c r="D194" s="141">
        <f ca="1">IFERROR(__xludf.DUMMYFUNCTION("""COMPUTED_VALUE"""),109.87)</f>
        <v>109.87</v>
      </c>
      <c r="E194" s="141">
        <f ca="1">IFERROR(__xludf.DUMMYFUNCTION("""COMPUTED_VALUE"""),109.58)</f>
        <v>109.58</v>
      </c>
      <c r="F194" s="141">
        <f ca="1">IFERROR(__xludf.DUMMYFUNCTION("""COMPUTED_VALUE"""),109.67)</f>
        <v>109.67</v>
      </c>
      <c r="G194" s="143">
        <f ca="1">IFERROR(__xludf.DUMMYFUNCTION("""COMPUTED_VALUE"""),3071257)</f>
        <v>3071257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IFERROR(__xludf.DUMMYFUNCTION("""COMPUTED_VALUE"""),110.36)</f>
        <v>110.36</v>
      </c>
      <c r="D195" s="141">
        <f ca="1">IFERROR(__xludf.DUMMYFUNCTION("""COMPUTED_VALUE"""),110.52)</f>
        <v>110.52</v>
      </c>
      <c r="E195" s="141">
        <f ca="1">IFERROR(__xludf.DUMMYFUNCTION("""COMPUTED_VALUE"""),110.3)</f>
        <v>110.3</v>
      </c>
      <c r="F195" s="141">
        <f ca="1">IFERROR(__xludf.DUMMYFUNCTION("""COMPUTED_VALUE"""),110.35)</f>
        <v>110.35</v>
      </c>
      <c r="G195" s="143">
        <f ca="1">IFERROR(__xludf.DUMMYFUNCTION("""COMPUTED_VALUE"""),3452839)</f>
        <v>3452839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IFERROR(__xludf.DUMMYFUNCTION("""COMPUTED_VALUE"""),110.64)</f>
        <v>110.64</v>
      </c>
      <c r="D196" s="141">
        <f ca="1">IFERROR(__xludf.DUMMYFUNCTION("""COMPUTED_VALUE"""),110.68)</f>
        <v>110.68</v>
      </c>
      <c r="E196" s="141">
        <f ca="1">IFERROR(__xludf.DUMMYFUNCTION("""COMPUTED_VALUE"""),110.34)</f>
        <v>110.34</v>
      </c>
      <c r="F196" s="141">
        <f ca="1">IFERROR(__xludf.DUMMYFUNCTION("""COMPUTED_VALUE"""),110.36)</f>
        <v>110.36</v>
      </c>
      <c r="G196" s="143">
        <f ca="1">IFERROR(__xludf.DUMMYFUNCTION("""COMPUTED_VALUE"""),5512481)</f>
        <v>5512481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IFERROR(__xludf.DUMMYFUNCTION("""COMPUTED_VALUE"""),110.31)</f>
        <v>110.31</v>
      </c>
      <c r="D197" s="141">
        <f ca="1">IFERROR(__xludf.DUMMYFUNCTION("""COMPUTED_VALUE"""),110.52)</f>
        <v>110.52</v>
      </c>
      <c r="E197" s="141">
        <f ca="1">IFERROR(__xludf.DUMMYFUNCTION("""COMPUTED_VALUE"""),110.28)</f>
        <v>110.28</v>
      </c>
      <c r="F197" s="141">
        <f ca="1">IFERROR(__xludf.DUMMYFUNCTION("""COMPUTED_VALUE"""),110.36)</f>
        <v>110.36</v>
      </c>
      <c r="G197" s="143">
        <f ca="1">IFERROR(__xludf.DUMMYFUNCTION("""COMPUTED_VALUE"""),3328371)</f>
        <v>3328371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IFERROR(__xludf.DUMMYFUNCTION("""COMPUTED_VALUE"""),110.53)</f>
        <v>110.53</v>
      </c>
      <c r="D198" s="141">
        <f ca="1">IFERROR(__xludf.DUMMYFUNCTION("""COMPUTED_VALUE"""),110.83)</f>
        <v>110.83</v>
      </c>
      <c r="E198" s="141">
        <f ca="1">IFERROR(__xludf.DUMMYFUNCTION("""COMPUTED_VALUE"""),110.48)</f>
        <v>110.48</v>
      </c>
      <c r="F198" s="141">
        <f ca="1">IFERROR(__xludf.DUMMYFUNCTION("""COMPUTED_VALUE"""),110.81)</f>
        <v>110.81</v>
      </c>
      <c r="G198" s="143">
        <f ca="1">IFERROR(__xludf.DUMMYFUNCTION("""COMPUTED_VALUE"""),1976736)</f>
        <v>1976736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IFERROR(__xludf.DUMMYFUNCTION("""COMPUTED_VALUE"""),110.64)</f>
        <v>110.64</v>
      </c>
      <c r="D199" s="141">
        <f ca="1">IFERROR(__xludf.DUMMYFUNCTION("""COMPUTED_VALUE"""),110.84)</f>
        <v>110.84</v>
      </c>
      <c r="E199" s="141">
        <f ca="1">IFERROR(__xludf.DUMMYFUNCTION("""COMPUTED_VALUE"""),110.6)</f>
        <v>110.6</v>
      </c>
      <c r="F199" s="141">
        <f ca="1">IFERROR(__xludf.DUMMYFUNCTION("""COMPUTED_VALUE"""),110.76)</f>
        <v>110.76</v>
      </c>
      <c r="G199" s="143">
        <f ca="1">IFERROR(__xludf.DUMMYFUNCTION("""COMPUTED_VALUE"""),1532987)</f>
        <v>1532987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IFERROR(__xludf.DUMMYFUNCTION("""COMPUTED_VALUE"""),110.71)</f>
        <v>110.71</v>
      </c>
      <c r="D200" s="141">
        <f ca="1">IFERROR(__xludf.DUMMYFUNCTION("""COMPUTED_VALUE"""),110.96)</f>
        <v>110.96</v>
      </c>
      <c r="E200" s="141">
        <f ca="1">IFERROR(__xludf.DUMMYFUNCTION("""COMPUTED_VALUE"""),110.39)</f>
        <v>110.39</v>
      </c>
      <c r="F200" s="141">
        <f ca="1">IFERROR(__xludf.DUMMYFUNCTION("""COMPUTED_VALUE"""),110.89)</f>
        <v>110.89</v>
      </c>
      <c r="G200" s="143">
        <f ca="1">IFERROR(__xludf.DUMMYFUNCTION("""COMPUTED_VALUE"""),1765955)</f>
        <v>1765955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IFERROR(__xludf.DUMMYFUNCTION("""COMPUTED_VALUE"""),111.07)</f>
        <v>111.07</v>
      </c>
      <c r="D201" s="141">
        <f ca="1">IFERROR(__xludf.DUMMYFUNCTION("""COMPUTED_VALUE"""),111.08)</f>
        <v>111.08</v>
      </c>
      <c r="E201" s="141">
        <f ca="1">IFERROR(__xludf.DUMMYFUNCTION("""COMPUTED_VALUE"""),110.8)</f>
        <v>110.8</v>
      </c>
      <c r="F201" s="141">
        <f ca="1">IFERROR(__xludf.DUMMYFUNCTION("""COMPUTED_VALUE"""),110.91)</f>
        <v>110.91</v>
      </c>
      <c r="G201" s="143">
        <f ca="1">IFERROR(__xludf.DUMMYFUNCTION("""COMPUTED_VALUE"""),2723942)</f>
        <v>2723942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IFERROR(__xludf.DUMMYFUNCTION("""COMPUTED_VALUE"""),110.85)</f>
        <v>110.85</v>
      </c>
      <c r="D202" s="141">
        <f ca="1">IFERROR(__xludf.DUMMYFUNCTION("""COMPUTED_VALUE"""),111.06)</f>
        <v>111.06</v>
      </c>
      <c r="E202" s="141">
        <f ca="1">IFERROR(__xludf.DUMMYFUNCTION("""COMPUTED_VALUE"""),110.75)</f>
        <v>110.75</v>
      </c>
      <c r="F202" s="141">
        <f ca="1">IFERROR(__xludf.DUMMYFUNCTION("""COMPUTED_VALUE"""),110.96)</f>
        <v>110.96</v>
      </c>
      <c r="G202" s="143">
        <f ca="1">IFERROR(__xludf.DUMMYFUNCTION("""COMPUTED_VALUE"""),1862283)</f>
        <v>1862283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IFERROR(__xludf.DUMMYFUNCTION("""COMPUTED_VALUE"""),110.99)</f>
        <v>110.99</v>
      </c>
      <c r="D203" s="141">
        <f ca="1">IFERROR(__xludf.DUMMYFUNCTION("""COMPUTED_VALUE"""),111.11)</f>
        <v>111.11</v>
      </c>
      <c r="E203" s="141">
        <f ca="1">IFERROR(__xludf.DUMMYFUNCTION("""COMPUTED_VALUE"""),110.92)</f>
        <v>110.92</v>
      </c>
      <c r="F203" s="141">
        <f ca="1">IFERROR(__xludf.DUMMYFUNCTION("""COMPUTED_VALUE"""),111.02)</f>
        <v>111.02</v>
      </c>
      <c r="G203" s="143">
        <f ca="1">IFERROR(__xludf.DUMMYFUNCTION("""COMPUTED_VALUE"""),2252160)</f>
        <v>2252160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IFERROR(__xludf.DUMMYFUNCTION("""COMPUTED_VALUE"""),111.09)</f>
        <v>111.09</v>
      </c>
      <c r="D204" s="141">
        <f ca="1">IFERROR(__xludf.DUMMYFUNCTION("""COMPUTED_VALUE"""),111.31)</f>
        <v>111.31</v>
      </c>
      <c r="E204" s="141">
        <f ca="1">IFERROR(__xludf.DUMMYFUNCTION("""COMPUTED_VALUE"""),111.04)</f>
        <v>111.04</v>
      </c>
      <c r="F204" s="141">
        <f ca="1">IFERROR(__xludf.DUMMYFUNCTION("""COMPUTED_VALUE"""),111.28)</f>
        <v>111.28</v>
      </c>
      <c r="G204" s="143">
        <f ca="1">IFERROR(__xludf.DUMMYFUNCTION("""COMPUTED_VALUE"""),1574944)</f>
        <v>1574944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IFERROR(__xludf.DUMMYFUNCTION("""COMPUTED_VALUE"""),111.26)</f>
        <v>111.26</v>
      </c>
      <c r="D205" s="141">
        <f ca="1">IFERROR(__xludf.DUMMYFUNCTION("""COMPUTED_VALUE"""),111.54)</f>
        <v>111.54</v>
      </c>
      <c r="E205" s="141">
        <f ca="1">IFERROR(__xludf.DUMMYFUNCTION("""COMPUTED_VALUE"""),111.25)</f>
        <v>111.25</v>
      </c>
      <c r="F205" s="141">
        <f ca="1">IFERROR(__xludf.DUMMYFUNCTION("""COMPUTED_VALUE"""),111.53)</f>
        <v>111.53</v>
      </c>
      <c r="G205" s="143">
        <f ca="1">IFERROR(__xludf.DUMMYFUNCTION("""COMPUTED_VALUE"""),2181606)</f>
        <v>2181606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IFERROR(__xludf.DUMMYFUNCTION("""COMPUTED_VALUE"""),111.49)</f>
        <v>111.49</v>
      </c>
      <c r="D206" s="141">
        <f ca="1">IFERROR(__xludf.DUMMYFUNCTION("""COMPUTED_VALUE"""),111.5)</f>
        <v>111.5</v>
      </c>
      <c r="E206" s="141">
        <f ca="1">IFERROR(__xludf.DUMMYFUNCTION("""COMPUTED_VALUE"""),111.36)</f>
        <v>111.36</v>
      </c>
      <c r="F206" s="141">
        <f ca="1">IFERROR(__xludf.DUMMYFUNCTION("""COMPUTED_VALUE"""),111.43)</f>
        <v>111.43</v>
      </c>
      <c r="G206" s="143">
        <f ca="1">IFERROR(__xludf.DUMMYFUNCTION("""COMPUTED_VALUE"""),1815525)</f>
        <v>1815525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IFERROR(__xludf.DUMMYFUNCTION("""COMPUTED_VALUE"""),111.46)</f>
        <v>111.46</v>
      </c>
      <c r="D207" s="141">
        <f ca="1">IFERROR(__xludf.DUMMYFUNCTION("""COMPUTED_VALUE"""),111.5)</f>
        <v>111.5</v>
      </c>
      <c r="E207" s="141">
        <f ca="1">IFERROR(__xludf.DUMMYFUNCTION("""COMPUTED_VALUE"""),111.16)</f>
        <v>111.16</v>
      </c>
      <c r="F207" s="141">
        <f ca="1">IFERROR(__xludf.DUMMYFUNCTION("""COMPUTED_VALUE"""),111.19)</f>
        <v>111.19</v>
      </c>
      <c r="G207" s="143">
        <f ca="1">IFERROR(__xludf.DUMMYFUNCTION("""COMPUTED_VALUE"""),1588796)</f>
        <v>1588796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IFERROR(__xludf.DUMMYFUNCTION("""COMPUTED_VALUE"""),111.43)</f>
        <v>111.43</v>
      </c>
      <c r="D208" s="141">
        <f ca="1">IFERROR(__xludf.DUMMYFUNCTION("""COMPUTED_VALUE"""),111.49)</f>
        <v>111.49</v>
      </c>
      <c r="E208" s="141">
        <f ca="1">IFERROR(__xludf.DUMMYFUNCTION("""COMPUTED_VALUE"""),111.33)</f>
        <v>111.33</v>
      </c>
      <c r="F208" s="141">
        <f ca="1">IFERROR(__xludf.DUMMYFUNCTION("""COMPUTED_VALUE"""),111.48)</f>
        <v>111.48</v>
      </c>
      <c r="G208" s="143">
        <f ca="1">IFERROR(__xludf.DUMMYFUNCTION("""COMPUTED_VALUE"""),1507626)</f>
        <v>1507626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IFERROR(__xludf.DUMMYFUNCTION("""COMPUTED_VALUE"""),111.48)</f>
        <v>111.48</v>
      </c>
      <c r="D209" s="141">
        <f ca="1">IFERROR(__xludf.DUMMYFUNCTION("""COMPUTED_VALUE"""),111.49)</f>
        <v>111.49</v>
      </c>
      <c r="E209" s="141">
        <f ca="1">IFERROR(__xludf.DUMMYFUNCTION("""COMPUTED_VALUE"""),111.3)</f>
        <v>111.3</v>
      </c>
      <c r="F209" s="141">
        <f ca="1">IFERROR(__xludf.DUMMYFUNCTION("""COMPUTED_VALUE"""),111.41)</f>
        <v>111.41</v>
      </c>
      <c r="G209" s="143">
        <f ca="1">IFERROR(__xludf.DUMMYFUNCTION("""COMPUTED_VALUE"""),1463491)</f>
        <v>1463491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IFERROR(__xludf.DUMMYFUNCTION("""COMPUTED_VALUE"""),111.34)</f>
        <v>111.34</v>
      </c>
      <c r="D210" s="141">
        <f ca="1">IFERROR(__xludf.DUMMYFUNCTION("""COMPUTED_VALUE"""),111.39)</f>
        <v>111.39</v>
      </c>
      <c r="E210" s="141">
        <f ca="1">IFERROR(__xludf.DUMMYFUNCTION("""COMPUTED_VALUE"""),111.17)</f>
        <v>111.17</v>
      </c>
      <c r="F210" s="141">
        <f ca="1">IFERROR(__xludf.DUMMYFUNCTION("""COMPUTED_VALUE"""),111.22)</f>
        <v>111.22</v>
      </c>
      <c r="G210" s="143">
        <f ca="1">IFERROR(__xludf.DUMMYFUNCTION("""COMPUTED_VALUE"""),1064157)</f>
        <v>1064157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IFERROR(__xludf.DUMMYFUNCTION("""COMPUTED_VALUE"""),111.49)</f>
        <v>111.49</v>
      </c>
      <c r="D211" s="141">
        <f ca="1">IFERROR(__xludf.DUMMYFUNCTION("""COMPUTED_VALUE"""),111.55)</f>
        <v>111.55</v>
      </c>
      <c r="E211" s="141">
        <f ca="1">IFERROR(__xludf.DUMMYFUNCTION("""COMPUTED_VALUE"""),111.37)</f>
        <v>111.37</v>
      </c>
      <c r="F211" s="141">
        <f ca="1">IFERROR(__xludf.DUMMYFUNCTION("""COMPUTED_VALUE"""),111.39)</f>
        <v>111.39</v>
      </c>
      <c r="G211" s="143">
        <f ca="1">IFERROR(__xludf.DUMMYFUNCTION("""COMPUTED_VALUE"""),1435198)</f>
        <v>1435198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IFERROR(__xludf.DUMMYFUNCTION("""COMPUTED_VALUE"""),111.53)</f>
        <v>111.53</v>
      </c>
      <c r="D212" s="141">
        <f ca="1">IFERROR(__xludf.DUMMYFUNCTION("""COMPUTED_VALUE"""),111.6)</f>
        <v>111.6</v>
      </c>
      <c r="E212" s="141">
        <f ca="1">IFERROR(__xludf.DUMMYFUNCTION("""COMPUTED_VALUE"""),111.32)</f>
        <v>111.32</v>
      </c>
      <c r="F212" s="141">
        <f ca="1">IFERROR(__xludf.DUMMYFUNCTION("""COMPUTED_VALUE"""),111.57)</f>
        <v>111.57</v>
      </c>
      <c r="G212" s="143">
        <f ca="1">IFERROR(__xludf.DUMMYFUNCTION("""COMPUTED_VALUE"""),1074121)</f>
        <v>1074121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IFERROR(__xludf.DUMMYFUNCTION("""COMPUTED_VALUE"""),111.51)</f>
        <v>111.51</v>
      </c>
      <c r="D213" s="141">
        <f ca="1">IFERROR(__xludf.DUMMYFUNCTION("""COMPUTED_VALUE"""),111.84)</f>
        <v>111.84</v>
      </c>
      <c r="E213" s="141">
        <f ca="1">IFERROR(__xludf.DUMMYFUNCTION("""COMPUTED_VALUE"""),111.41)</f>
        <v>111.41</v>
      </c>
      <c r="F213" s="141">
        <f ca="1">IFERROR(__xludf.DUMMYFUNCTION("""COMPUTED_VALUE"""),111.8)</f>
        <v>111.8</v>
      </c>
      <c r="G213" s="143">
        <f ca="1">IFERROR(__xludf.DUMMYFUNCTION("""COMPUTED_VALUE"""),1133430)</f>
        <v>1133430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IFERROR(__xludf.DUMMYFUNCTION("""COMPUTED_VALUE"""),111.73)</f>
        <v>111.73</v>
      </c>
      <c r="D214" s="141">
        <f ca="1">IFERROR(__xludf.DUMMYFUNCTION("""COMPUTED_VALUE"""),111.88)</f>
        <v>111.88</v>
      </c>
      <c r="E214" s="141">
        <f ca="1">IFERROR(__xludf.DUMMYFUNCTION("""COMPUTED_VALUE"""),111.69)</f>
        <v>111.69</v>
      </c>
      <c r="F214" s="141">
        <f ca="1">IFERROR(__xludf.DUMMYFUNCTION("""COMPUTED_VALUE"""),111.77)</f>
        <v>111.77</v>
      </c>
      <c r="G214" s="143">
        <f ca="1">IFERROR(__xludf.DUMMYFUNCTION("""COMPUTED_VALUE"""),2115836)</f>
        <v>2115836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IFERROR(__xludf.DUMMYFUNCTION("""COMPUTED_VALUE"""),111.74)</f>
        <v>111.74</v>
      </c>
      <c r="D215" s="141">
        <f ca="1">IFERROR(__xludf.DUMMYFUNCTION("""COMPUTED_VALUE"""),111.74)</f>
        <v>111.74</v>
      </c>
      <c r="E215" s="141">
        <f ca="1">IFERROR(__xludf.DUMMYFUNCTION("""COMPUTED_VALUE"""),111.54)</f>
        <v>111.54</v>
      </c>
      <c r="F215" s="141">
        <f ca="1">IFERROR(__xludf.DUMMYFUNCTION("""COMPUTED_VALUE"""),111.73)</f>
        <v>111.73</v>
      </c>
      <c r="G215" s="143">
        <f ca="1">IFERROR(__xludf.DUMMYFUNCTION("""COMPUTED_VALUE"""),1535965)</f>
        <v>1535965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IFERROR(__xludf.DUMMYFUNCTION("""COMPUTED_VALUE"""),111.59)</f>
        <v>111.59</v>
      </c>
      <c r="D216" s="141">
        <f ca="1">IFERROR(__xludf.DUMMYFUNCTION("""COMPUTED_VALUE"""),111.63)</f>
        <v>111.63</v>
      </c>
      <c r="E216" s="141">
        <f ca="1">IFERROR(__xludf.DUMMYFUNCTION("""COMPUTED_VALUE"""),111.32)</f>
        <v>111.32</v>
      </c>
      <c r="F216" s="141">
        <f ca="1">IFERROR(__xludf.DUMMYFUNCTION("""COMPUTED_VALUE"""),111.39)</f>
        <v>111.39</v>
      </c>
      <c r="G216" s="143">
        <f ca="1">IFERROR(__xludf.DUMMYFUNCTION("""COMPUTED_VALUE"""),1201194)</f>
        <v>1201194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IFERROR(__xludf.DUMMYFUNCTION("""COMPUTED_VALUE"""),111.47)</f>
        <v>111.47</v>
      </c>
      <c r="D217" s="141">
        <f ca="1">IFERROR(__xludf.DUMMYFUNCTION("""COMPUTED_VALUE"""),111.64)</f>
        <v>111.64</v>
      </c>
      <c r="E217" s="141">
        <f ca="1">IFERROR(__xludf.DUMMYFUNCTION("""COMPUTED_VALUE"""),111.41)</f>
        <v>111.41</v>
      </c>
      <c r="F217" s="141">
        <f ca="1">IFERROR(__xludf.DUMMYFUNCTION("""COMPUTED_VALUE"""),111.56)</f>
        <v>111.56</v>
      </c>
      <c r="G217" s="143">
        <f ca="1">IFERROR(__xludf.DUMMYFUNCTION("""COMPUTED_VALUE"""),1958545)</f>
        <v>1958545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IFERROR(__xludf.DUMMYFUNCTION("""COMPUTED_VALUE"""),111.27)</f>
        <v>111.27</v>
      </c>
      <c r="D218" s="141">
        <f ca="1">IFERROR(__xludf.DUMMYFUNCTION("""COMPUTED_VALUE"""),111.49)</f>
        <v>111.49</v>
      </c>
      <c r="E218" s="141">
        <f ca="1">IFERROR(__xludf.DUMMYFUNCTION("""COMPUTED_VALUE"""),111.21)</f>
        <v>111.21</v>
      </c>
      <c r="F218" s="141">
        <f ca="1">IFERROR(__xludf.DUMMYFUNCTION("""COMPUTED_VALUE"""),111.35)</f>
        <v>111.35</v>
      </c>
      <c r="G218" s="143">
        <f ca="1">IFERROR(__xludf.DUMMYFUNCTION("""COMPUTED_VALUE"""),1507708)</f>
        <v>1507708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IFERROR(__xludf.DUMMYFUNCTION("""COMPUTED_VALUE"""),111.27)</f>
        <v>111.27</v>
      </c>
      <c r="D219" s="141">
        <f ca="1">IFERROR(__xludf.DUMMYFUNCTION("""COMPUTED_VALUE"""),111.27)</f>
        <v>111.27</v>
      </c>
      <c r="E219" s="141">
        <f ca="1">IFERROR(__xludf.DUMMYFUNCTION("""COMPUTED_VALUE"""),111.02)</f>
        <v>111.02</v>
      </c>
      <c r="F219" s="141">
        <f ca="1">IFERROR(__xludf.DUMMYFUNCTION("""COMPUTED_VALUE"""),111.15)</f>
        <v>111.15</v>
      </c>
      <c r="G219" s="143">
        <f ca="1">IFERROR(__xludf.DUMMYFUNCTION("""COMPUTED_VALUE"""),1214639)</f>
        <v>1214639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IFERROR(__xludf.DUMMYFUNCTION("""COMPUTED_VALUE"""),111.11)</f>
        <v>111.11</v>
      </c>
      <c r="D220" s="141">
        <f ca="1">IFERROR(__xludf.DUMMYFUNCTION("""COMPUTED_VALUE"""),111.19)</f>
        <v>111.19</v>
      </c>
      <c r="E220" s="141">
        <f ca="1">IFERROR(__xludf.DUMMYFUNCTION("""COMPUTED_VALUE"""),111.04)</f>
        <v>111.04</v>
      </c>
      <c r="F220" s="141">
        <f ca="1">IFERROR(__xludf.DUMMYFUNCTION("""COMPUTED_VALUE"""),111.07)</f>
        <v>111.07</v>
      </c>
      <c r="G220" s="143">
        <f ca="1">IFERROR(__xludf.DUMMYFUNCTION("""COMPUTED_VALUE"""),1442908)</f>
        <v>1442908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IFERROR(__xludf.DUMMYFUNCTION("""COMPUTED_VALUE"""),111.21)</f>
        <v>111.21</v>
      </c>
      <c r="D221" s="141">
        <f ca="1">IFERROR(__xludf.DUMMYFUNCTION("""COMPUTED_VALUE"""),111.24)</f>
        <v>111.24</v>
      </c>
      <c r="E221" s="141">
        <f ca="1">IFERROR(__xludf.DUMMYFUNCTION("""COMPUTED_VALUE"""),111.09)</f>
        <v>111.09</v>
      </c>
      <c r="F221" s="141">
        <f ca="1">IFERROR(__xludf.DUMMYFUNCTION("""COMPUTED_VALUE"""),111.15)</f>
        <v>111.15</v>
      </c>
      <c r="G221" s="143">
        <f ca="1">IFERROR(__xludf.DUMMYFUNCTION("""COMPUTED_VALUE"""),1538822)</f>
        <v>1538822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IFERROR(__xludf.DUMMYFUNCTION("""COMPUTED_VALUE"""),111.24)</f>
        <v>111.24</v>
      </c>
      <c r="D222" s="141">
        <f ca="1">IFERROR(__xludf.DUMMYFUNCTION("""COMPUTED_VALUE"""),111.24)</f>
        <v>111.24</v>
      </c>
      <c r="E222" s="141">
        <f ca="1">IFERROR(__xludf.DUMMYFUNCTION("""COMPUTED_VALUE"""),110.95)</f>
        <v>110.95</v>
      </c>
      <c r="F222" s="141">
        <f ca="1">IFERROR(__xludf.DUMMYFUNCTION("""COMPUTED_VALUE"""),111.03)</f>
        <v>111.03</v>
      </c>
      <c r="G222" s="143">
        <f ca="1">IFERROR(__xludf.DUMMYFUNCTION("""COMPUTED_VALUE"""),1529945)</f>
        <v>1529945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IFERROR(__xludf.DUMMYFUNCTION("""COMPUTED_VALUE"""),111.4)</f>
        <v>111.4</v>
      </c>
      <c r="D223" s="141">
        <f ca="1">IFERROR(__xludf.DUMMYFUNCTION("""COMPUTED_VALUE"""),111.44)</f>
        <v>111.44</v>
      </c>
      <c r="E223" s="141">
        <f ca="1">IFERROR(__xludf.DUMMYFUNCTION("""COMPUTED_VALUE"""),111.31)</f>
        <v>111.31</v>
      </c>
      <c r="F223" s="141">
        <f ca="1">IFERROR(__xludf.DUMMYFUNCTION("""COMPUTED_VALUE"""),111.4)</f>
        <v>111.4</v>
      </c>
      <c r="G223" s="143">
        <f ca="1">IFERROR(__xludf.DUMMYFUNCTION("""COMPUTED_VALUE"""),1142748)</f>
        <v>1142748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IFERROR(__xludf.DUMMYFUNCTION("""COMPUTED_VALUE"""),111.35)</f>
        <v>111.35</v>
      </c>
      <c r="D224" s="141">
        <f ca="1">IFERROR(__xludf.DUMMYFUNCTION("""COMPUTED_VALUE"""),111.38)</f>
        <v>111.38</v>
      </c>
      <c r="E224" s="141">
        <f ca="1">IFERROR(__xludf.DUMMYFUNCTION("""COMPUTED_VALUE"""),111.26)</f>
        <v>111.26</v>
      </c>
      <c r="F224" s="141">
        <f ca="1">IFERROR(__xludf.DUMMYFUNCTION("""COMPUTED_VALUE"""),111.31)</f>
        <v>111.31</v>
      </c>
      <c r="G224" s="143">
        <f ca="1">IFERROR(__xludf.DUMMYFUNCTION("""COMPUTED_VALUE"""),1752988)</f>
        <v>1752988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IFERROR(__xludf.DUMMYFUNCTION("""COMPUTED_VALUE"""),111.28)</f>
        <v>111.28</v>
      </c>
      <c r="D225" s="141">
        <f ca="1">IFERROR(__xludf.DUMMYFUNCTION("""COMPUTED_VALUE"""),111.28)</f>
        <v>111.28</v>
      </c>
      <c r="E225" s="141">
        <f ca="1">IFERROR(__xludf.DUMMYFUNCTION("""COMPUTED_VALUE"""),111.05)</f>
        <v>111.05</v>
      </c>
      <c r="F225" s="141">
        <f ca="1">IFERROR(__xludf.DUMMYFUNCTION("""COMPUTED_VALUE"""),111.12)</f>
        <v>111.12</v>
      </c>
      <c r="G225" s="143">
        <f ca="1">IFERROR(__xludf.DUMMYFUNCTION("""COMPUTED_VALUE"""),1253127)</f>
        <v>1253127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IFERROR(__xludf.DUMMYFUNCTION("""COMPUTED_VALUE"""),111.17)</f>
        <v>111.17</v>
      </c>
      <c r="D226" s="141">
        <f ca="1">IFERROR(__xludf.DUMMYFUNCTION("""COMPUTED_VALUE"""),111.21)</f>
        <v>111.21</v>
      </c>
      <c r="E226" s="141">
        <f ca="1">IFERROR(__xludf.DUMMYFUNCTION("""COMPUTED_VALUE"""),111.02)</f>
        <v>111.02</v>
      </c>
      <c r="F226" s="141">
        <f ca="1">IFERROR(__xludf.DUMMYFUNCTION("""COMPUTED_VALUE"""),111.12)</f>
        <v>111.12</v>
      </c>
      <c r="G226" s="143">
        <f ca="1">IFERROR(__xludf.DUMMYFUNCTION("""COMPUTED_VALUE"""),869603)</f>
        <v>869603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IFERROR(__xludf.DUMMYFUNCTION("""COMPUTED_VALUE"""),111.24)</f>
        <v>111.24</v>
      </c>
      <c r="D227" s="141">
        <f ca="1">IFERROR(__xludf.DUMMYFUNCTION("""COMPUTED_VALUE"""),111.29)</f>
        <v>111.29</v>
      </c>
      <c r="E227" s="141">
        <f ca="1">IFERROR(__xludf.DUMMYFUNCTION("""COMPUTED_VALUE"""),110.99)</f>
        <v>110.99</v>
      </c>
      <c r="F227" s="141">
        <f ca="1">IFERROR(__xludf.DUMMYFUNCTION("""COMPUTED_VALUE"""),111.01)</f>
        <v>111.01</v>
      </c>
      <c r="G227" s="143">
        <f ca="1">IFERROR(__xludf.DUMMYFUNCTION("""COMPUTED_VALUE"""),3152581)</f>
        <v>3152581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IFERROR(__xludf.DUMMYFUNCTION("""COMPUTED_VALUE"""),110.6)</f>
        <v>110.6</v>
      </c>
      <c r="D228" s="141">
        <f ca="1">IFERROR(__xludf.DUMMYFUNCTION("""COMPUTED_VALUE"""),110.66)</f>
        <v>110.66</v>
      </c>
      <c r="E228" s="141">
        <f ca="1">IFERROR(__xludf.DUMMYFUNCTION("""COMPUTED_VALUE"""),110.47)</f>
        <v>110.47</v>
      </c>
      <c r="F228" s="141">
        <f ca="1">IFERROR(__xludf.DUMMYFUNCTION("""COMPUTED_VALUE"""),110.61)</f>
        <v>110.61</v>
      </c>
      <c r="G228" s="143">
        <f ca="1">IFERROR(__xludf.DUMMYFUNCTION("""COMPUTED_VALUE"""),7481147)</f>
        <v>7481147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IFERROR(__xludf.DUMMYFUNCTION("""COMPUTED_VALUE"""),110.58)</f>
        <v>110.58</v>
      </c>
      <c r="D229" s="141">
        <f ca="1">IFERROR(__xludf.DUMMYFUNCTION("""COMPUTED_VALUE"""),110.66)</f>
        <v>110.66</v>
      </c>
      <c r="E229" s="141">
        <f ca="1">IFERROR(__xludf.DUMMYFUNCTION("""COMPUTED_VALUE"""),110.39)</f>
        <v>110.39</v>
      </c>
      <c r="F229" s="141">
        <f ca="1">IFERROR(__xludf.DUMMYFUNCTION("""COMPUTED_VALUE"""),110.48)</f>
        <v>110.48</v>
      </c>
      <c r="G229" s="143">
        <f ca="1">IFERROR(__xludf.DUMMYFUNCTION("""COMPUTED_VALUE"""),2490153)</f>
        <v>2490153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IFERROR(__xludf.DUMMYFUNCTION("""COMPUTED_VALUE"""),110.15)</f>
        <v>110.15</v>
      </c>
      <c r="D230" s="141">
        <f ca="1">IFERROR(__xludf.DUMMYFUNCTION("""COMPUTED_VALUE"""),110.27)</f>
        <v>110.27</v>
      </c>
      <c r="E230" s="141">
        <f ca="1">IFERROR(__xludf.DUMMYFUNCTION("""COMPUTED_VALUE"""),109.94)</f>
        <v>109.94</v>
      </c>
      <c r="F230" s="141">
        <f ca="1">IFERROR(__xludf.DUMMYFUNCTION("""COMPUTED_VALUE"""),110.11)</f>
        <v>110.11</v>
      </c>
      <c r="G230" s="143">
        <f ca="1">IFERROR(__xludf.DUMMYFUNCTION("""COMPUTED_VALUE"""),2623684)</f>
        <v>2623684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IFERROR(__xludf.DUMMYFUNCTION("""COMPUTED_VALUE"""),110.11)</f>
        <v>110.11</v>
      </c>
      <c r="D231" s="141">
        <f ca="1">IFERROR(__xludf.DUMMYFUNCTION("""COMPUTED_VALUE"""),110.45)</f>
        <v>110.45</v>
      </c>
      <c r="E231" s="141">
        <f ca="1">IFERROR(__xludf.DUMMYFUNCTION("""COMPUTED_VALUE"""),110.1)</f>
        <v>110.1</v>
      </c>
      <c r="F231" s="141">
        <f ca="1">IFERROR(__xludf.DUMMYFUNCTION("""COMPUTED_VALUE"""),110.37)</f>
        <v>110.37</v>
      </c>
      <c r="G231" s="143">
        <f ca="1">IFERROR(__xludf.DUMMYFUNCTION("""COMPUTED_VALUE"""),2915597)</f>
        <v>2915597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IFERROR(__xludf.DUMMYFUNCTION("""COMPUTED_VALUE"""),110.3)</f>
        <v>110.3</v>
      </c>
      <c r="D232" s="141">
        <f ca="1">IFERROR(__xludf.DUMMYFUNCTION("""COMPUTED_VALUE"""),110.39)</f>
        <v>110.39</v>
      </c>
      <c r="E232" s="141">
        <f ca="1">IFERROR(__xludf.DUMMYFUNCTION("""COMPUTED_VALUE"""),110.15)</f>
        <v>110.15</v>
      </c>
      <c r="F232" s="141">
        <f ca="1">IFERROR(__xludf.DUMMYFUNCTION("""COMPUTED_VALUE"""),110.37)</f>
        <v>110.37</v>
      </c>
      <c r="G232" s="143">
        <f ca="1">IFERROR(__xludf.DUMMYFUNCTION("""COMPUTED_VALUE"""),2792522)</f>
        <v>2792522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IFERROR(__xludf.DUMMYFUNCTION("""COMPUTED_VALUE"""),110.51)</f>
        <v>110.51</v>
      </c>
      <c r="D233" s="141">
        <f ca="1">IFERROR(__xludf.DUMMYFUNCTION("""COMPUTED_VALUE"""),110.54)</f>
        <v>110.54</v>
      </c>
      <c r="E233" s="141">
        <f ca="1">IFERROR(__xludf.DUMMYFUNCTION("""COMPUTED_VALUE"""),110.12)</f>
        <v>110.12</v>
      </c>
      <c r="F233" s="141">
        <f ca="1">IFERROR(__xludf.DUMMYFUNCTION("""COMPUTED_VALUE"""),110.38)</f>
        <v>110.38</v>
      </c>
      <c r="G233" s="143">
        <f ca="1">IFERROR(__xludf.DUMMYFUNCTION("""COMPUTED_VALUE"""),1410795)</f>
        <v>1410795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IFERROR(__xludf.DUMMYFUNCTION("""COMPUTED_VALUE"""),110.7)</f>
        <v>110.7</v>
      </c>
      <c r="D234" s="141">
        <f ca="1">IFERROR(__xludf.DUMMYFUNCTION("""COMPUTED_VALUE"""),110.84)</f>
        <v>110.84</v>
      </c>
      <c r="E234" s="141">
        <f ca="1">IFERROR(__xludf.DUMMYFUNCTION("""COMPUTED_VALUE"""),110.63)</f>
        <v>110.63</v>
      </c>
      <c r="F234" s="141">
        <f ca="1">IFERROR(__xludf.DUMMYFUNCTION("""COMPUTED_VALUE"""),110.82)</f>
        <v>110.82</v>
      </c>
      <c r="G234" s="143">
        <f ca="1">IFERROR(__xludf.DUMMYFUNCTION("""COMPUTED_VALUE"""),2183660)</f>
        <v>2183660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IFERROR(__xludf.DUMMYFUNCTION("""COMPUTED_VALUE"""),110.86)</f>
        <v>110.86</v>
      </c>
      <c r="D235" s="141">
        <f ca="1">IFERROR(__xludf.DUMMYFUNCTION("""COMPUTED_VALUE"""),111.01)</f>
        <v>111.01</v>
      </c>
      <c r="E235" s="141">
        <f ca="1">IFERROR(__xludf.DUMMYFUNCTION("""COMPUTED_VALUE"""),110.83)</f>
        <v>110.83</v>
      </c>
      <c r="F235" s="141">
        <f ca="1">IFERROR(__xludf.DUMMYFUNCTION("""COMPUTED_VALUE"""),110.88)</f>
        <v>110.88</v>
      </c>
      <c r="G235" s="143">
        <f ca="1">IFERROR(__xludf.DUMMYFUNCTION("""COMPUTED_VALUE"""),1963133)</f>
        <v>1963133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IFERROR(__xludf.DUMMYFUNCTION("""COMPUTED_VALUE"""),111.06)</f>
        <v>111.06</v>
      </c>
      <c r="D236" s="141">
        <f ca="1">IFERROR(__xludf.DUMMYFUNCTION("""COMPUTED_VALUE"""),111.27)</f>
        <v>111.27</v>
      </c>
      <c r="E236" s="141">
        <f ca="1">IFERROR(__xludf.DUMMYFUNCTION("""COMPUTED_VALUE"""),110.97)</f>
        <v>110.97</v>
      </c>
      <c r="F236" s="141">
        <f ca="1">IFERROR(__xludf.DUMMYFUNCTION("""COMPUTED_VALUE"""),111.18)</f>
        <v>111.18</v>
      </c>
      <c r="G236" s="143">
        <f ca="1">IFERROR(__xludf.DUMMYFUNCTION("""COMPUTED_VALUE"""),1702822)</f>
        <v>1702822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IFERROR(__xludf.DUMMYFUNCTION("""COMPUTED_VALUE"""),111.17)</f>
        <v>111.17</v>
      </c>
      <c r="D237" s="141">
        <f ca="1">IFERROR(__xludf.DUMMYFUNCTION("""COMPUTED_VALUE"""),111.29)</f>
        <v>111.29</v>
      </c>
      <c r="E237" s="141">
        <f ca="1">IFERROR(__xludf.DUMMYFUNCTION("""COMPUTED_VALUE"""),111.11)</f>
        <v>111.11</v>
      </c>
      <c r="F237" s="141">
        <f ca="1">IFERROR(__xludf.DUMMYFUNCTION("""COMPUTED_VALUE"""),111.21)</f>
        <v>111.21</v>
      </c>
      <c r="G237" s="143">
        <f ca="1">IFERROR(__xludf.DUMMYFUNCTION("""COMPUTED_VALUE"""),3078477)</f>
        <v>3078477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IFERROR(__xludf.DUMMYFUNCTION("""COMPUTED_VALUE"""),109.87)</f>
        <v>109.87</v>
      </c>
      <c r="D238" s="141">
        <f ca="1">IFERROR(__xludf.DUMMYFUNCTION("""COMPUTED_VALUE"""),109.99)</f>
        <v>109.99</v>
      </c>
      <c r="E238" s="141">
        <f ca="1">IFERROR(__xludf.DUMMYFUNCTION("""COMPUTED_VALUE"""),109.76)</f>
        <v>109.76</v>
      </c>
      <c r="F238" s="141">
        <f ca="1">IFERROR(__xludf.DUMMYFUNCTION("""COMPUTED_VALUE"""),109.98)</f>
        <v>109.98</v>
      </c>
      <c r="G238" s="143">
        <f ca="1">IFERROR(__xludf.DUMMYFUNCTION("""COMPUTED_VALUE"""),1844048)</f>
        <v>1844048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IFERROR(__xludf.DUMMYFUNCTION("""COMPUTED_VALUE"""),110.11)</f>
        <v>110.11</v>
      </c>
      <c r="D239" s="141">
        <f ca="1">IFERROR(__xludf.DUMMYFUNCTION("""COMPUTED_VALUE"""),110.12)</f>
        <v>110.12</v>
      </c>
      <c r="E239" s="141">
        <f ca="1">IFERROR(__xludf.DUMMYFUNCTION("""COMPUTED_VALUE"""),109.96)</f>
        <v>109.96</v>
      </c>
      <c r="F239" s="141">
        <f ca="1">IFERROR(__xludf.DUMMYFUNCTION("""COMPUTED_VALUE"""),109.97)</f>
        <v>109.97</v>
      </c>
      <c r="G239" s="143">
        <f ca="1">IFERROR(__xludf.DUMMYFUNCTION("""COMPUTED_VALUE"""),1386452)</f>
        <v>1386452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IFERROR(__xludf.DUMMYFUNCTION("""COMPUTED_VALUE"""),109.81)</f>
        <v>109.81</v>
      </c>
      <c r="D240" s="141">
        <f ca="1">IFERROR(__xludf.DUMMYFUNCTION("""COMPUTED_VALUE"""),109.91)</f>
        <v>109.91</v>
      </c>
      <c r="E240" s="141">
        <f ca="1">IFERROR(__xludf.DUMMYFUNCTION("""COMPUTED_VALUE"""),109.68)</f>
        <v>109.68</v>
      </c>
      <c r="F240" s="141">
        <f ca="1">IFERROR(__xludf.DUMMYFUNCTION("""COMPUTED_VALUE"""),109.77)</f>
        <v>109.77</v>
      </c>
      <c r="G240" s="143">
        <f ca="1">IFERROR(__xludf.DUMMYFUNCTION("""COMPUTED_VALUE"""),1077171)</f>
        <v>1077171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IFERROR(__xludf.DUMMYFUNCTION("""COMPUTED_VALUE"""),109.84)</f>
        <v>109.84</v>
      </c>
      <c r="D241" s="141">
        <f ca="1">IFERROR(__xludf.DUMMYFUNCTION("""COMPUTED_VALUE"""),109.86)</f>
        <v>109.86</v>
      </c>
      <c r="E241" s="141">
        <f ca="1">IFERROR(__xludf.DUMMYFUNCTION("""COMPUTED_VALUE"""),109.73)</f>
        <v>109.73</v>
      </c>
      <c r="F241" s="141">
        <f ca="1">IFERROR(__xludf.DUMMYFUNCTION("""COMPUTED_VALUE"""),109.78)</f>
        <v>109.78</v>
      </c>
      <c r="G241" s="143">
        <f ca="1">IFERROR(__xludf.DUMMYFUNCTION("""COMPUTED_VALUE"""),1483260)</f>
        <v>1483260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IFERROR(__xludf.DUMMYFUNCTION("""COMPUTED_VALUE"""),109.42)</f>
        <v>109.42</v>
      </c>
      <c r="D242" s="141">
        <f ca="1">IFERROR(__xludf.DUMMYFUNCTION("""COMPUTED_VALUE"""),109.48)</f>
        <v>109.48</v>
      </c>
      <c r="E242" s="141">
        <f ca="1">IFERROR(__xludf.DUMMYFUNCTION("""COMPUTED_VALUE"""),109.25)</f>
        <v>109.25</v>
      </c>
      <c r="F242" s="141">
        <f ca="1">IFERROR(__xludf.DUMMYFUNCTION("""COMPUTED_VALUE"""),109.25)</f>
        <v>109.25</v>
      </c>
      <c r="G242" s="143">
        <f ca="1">IFERROR(__xludf.DUMMYFUNCTION("""COMPUTED_VALUE"""),1816398)</f>
        <v>1816398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IFERROR(__xludf.DUMMYFUNCTION("""COMPUTED_VALUE"""),109.5)</f>
        <v>109.5</v>
      </c>
      <c r="D243" s="141">
        <f ca="1">IFERROR(__xludf.DUMMYFUNCTION("""COMPUTED_VALUE"""),109.52)</f>
        <v>109.52</v>
      </c>
      <c r="E243" s="141">
        <f ca="1">IFERROR(__xludf.DUMMYFUNCTION("""COMPUTED_VALUE"""),109.12)</f>
        <v>109.12</v>
      </c>
      <c r="F243" s="141">
        <f ca="1">IFERROR(__xludf.DUMMYFUNCTION("""COMPUTED_VALUE"""),109.13)</f>
        <v>109.13</v>
      </c>
      <c r="G243" s="143">
        <f ca="1">IFERROR(__xludf.DUMMYFUNCTION("""COMPUTED_VALUE"""),2522655)</f>
        <v>2522655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IFERROR(__xludf.DUMMYFUNCTION("""COMPUTED_VALUE"""),109.34)</f>
        <v>109.34</v>
      </c>
      <c r="D244" s="141">
        <f ca="1">IFERROR(__xludf.DUMMYFUNCTION("""COMPUTED_VALUE"""),109.4)</f>
        <v>109.4</v>
      </c>
      <c r="E244" s="141">
        <f ca="1">IFERROR(__xludf.DUMMYFUNCTION("""COMPUTED_VALUE"""),109.19)</f>
        <v>109.19</v>
      </c>
      <c r="F244" s="141">
        <f ca="1">IFERROR(__xludf.DUMMYFUNCTION("""COMPUTED_VALUE"""),109.32)</f>
        <v>109.32</v>
      </c>
      <c r="G244" s="143">
        <f ca="1">IFERROR(__xludf.DUMMYFUNCTION("""COMPUTED_VALUE"""),2372809)</f>
        <v>2372809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IFERROR(__xludf.DUMMYFUNCTION("""COMPUTED_VALUE"""),109.46)</f>
        <v>109.46</v>
      </c>
      <c r="D245" s="141">
        <f ca="1">IFERROR(__xludf.DUMMYFUNCTION("""COMPUTED_VALUE"""),109.56)</f>
        <v>109.56</v>
      </c>
      <c r="E245" s="141">
        <f ca="1">IFERROR(__xludf.DUMMYFUNCTION("""COMPUTED_VALUE"""),109.21)</f>
        <v>109.21</v>
      </c>
      <c r="F245" s="141">
        <f ca="1">IFERROR(__xludf.DUMMYFUNCTION("""COMPUTED_VALUE"""),109.21)</f>
        <v>109.21</v>
      </c>
      <c r="G245" s="143">
        <f ca="1">IFERROR(__xludf.DUMMYFUNCTION("""COMPUTED_VALUE"""),1522112)</f>
        <v>1522112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IFERROR(__xludf.DUMMYFUNCTION("""COMPUTED_VALUE"""),109.33)</f>
        <v>109.33</v>
      </c>
      <c r="D246" s="141">
        <f ca="1">IFERROR(__xludf.DUMMYFUNCTION("""COMPUTED_VALUE"""),109.66)</f>
        <v>109.66</v>
      </c>
      <c r="E246" s="141">
        <f ca="1">IFERROR(__xludf.DUMMYFUNCTION("""COMPUTED_VALUE"""),109.21)</f>
        <v>109.21</v>
      </c>
      <c r="F246" s="141">
        <f ca="1">IFERROR(__xludf.DUMMYFUNCTION("""COMPUTED_VALUE"""),109.6)</f>
        <v>109.6</v>
      </c>
      <c r="G246" s="143">
        <f ca="1">IFERROR(__xludf.DUMMYFUNCTION("""COMPUTED_VALUE"""),1874025)</f>
        <v>1874025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IFERROR(__xludf.DUMMYFUNCTION("""COMPUTED_VALUE"""),109.48)</f>
        <v>109.48</v>
      </c>
      <c r="D247" s="141">
        <f ca="1">IFERROR(__xludf.DUMMYFUNCTION("""COMPUTED_VALUE"""),109.62)</f>
        <v>109.62</v>
      </c>
      <c r="E247" s="141">
        <f ca="1">IFERROR(__xludf.DUMMYFUNCTION("""COMPUTED_VALUE"""),109.39)</f>
        <v>109.39</v>
      </c>
      <c r="F247" s="141">
        <f ca="1">IFERROR(__xludf.DUMMYFUNCTION("""COMPUTED_VALUE"""),109.61)</f>
        <v>109.61</v>
      </c>
      <c r="G247" s="143">
        <f ca="1">IFERROR(__xludf.DUMMYFUNCTION("""COMPUTED_VALUE"""),2610350)</f>
        <v>2610350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IFERROR(__xludf.DUMMYFUNCTION("""COMPUTED_VALUE"""),109.71)</f>
        <v>109.71</v>
      </c>
      <c r="D248" s="141">
        <f ca="1">IFERROR(__xludf.DUMMYFUNCTION("""COMPUTED_VALUE"""),109.78)</f>
        <v>109.78</v>
      </c>
      <c r="E248" s="141">
        <f ca="1">IFERROR(__xludf.DUMMYFUNCTION("""COMPUTED_VALUE"""),109.64)</f>
        <v>109.64</v>
      </c>
      <c r="F248" s="141">
        <f ca="1">IFERROR(__xludf.DUMMYFUNCTION("""COMPUTED_VALUE"""),109.76)</f>
        <v>109.76</v>
      </c>
      <c r="G248" s="143">
        <f ca="1">IFERROR(__xludf.DUMMYFUNCTION("""COMPUTED_VALUE"""),1183092)</f>
        <v>1183092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IFERROR(__xludf.DUMMYFUNCTION("""COMPUTED_VALUE"""),109.73)</f>
        <v>109.73</v>
      </c>
      <c r="D249" s="141">
        <f ca="1">IFERROR(__xludf.DUMMYFUNCTION("""COMPUTED_VALUE"""),109.87)</f>
        <v>109.87</v>
      </c>
      <c r="E249" s="141">
        <f ca="1">IFERROR(__xludf.DUMMYFUNCTION("""COMPUTED_VALUE"""),109.67)</f>
        <v>109.67</v>
      </c>
      <c r="F249" s="141">
        <f ca="1">IFERROR(__xludf.DUMMYFUNCTION("""COMPUTED_VALUE"""),109.76)</f>
        <v>109.76</v>
      </c>
      <c r="G249" s="143">
        <f ca="1">IFERROR(__xludf.DUMMYFUNCTION("""COMPUTED_VALUE"""),1022799)</f>
        <v>1022799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IFERROR(__xludf.DUMMYFUNCTION("""COMPUTED_VALUE"""),109.82)</f>
        <v>109.82</v>
      </c>
      <c r="D250" s="141">
        <f ca="1">IFERROR(__xludf.DUMMYFUNCTION("""COMPUTED_VALUE"""),109.82)</f>
        <v>109.82</v>
      </c>
      <c r="E250" s="141">
        <f ca="1">IFERROR(__xludf.DUMMYFUNCTION("""COMPUTED_VALUE"""),109.02)</f>
        <v>109.02</v>
      </c>
      <c r="F250" s="141">
        <f ca="1">IFERROR(__xludf.DUMMYFUNCTION("""COMPUTED_VALUE"""),109.03)</f>
        <v>109.03</v>
      </c>
      <c r="G250" s="143">
        <f ca="1">IFERROR(__xludf.DUMMYFUNCTION("""COMPUTED_VALUE"""),2044670)</f>
        <v>2044670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IFERROR(__xludf.DUMMYFUNCTION("""COMPUTED_VALUE"""),109.31)</f>
        <v>109.31</v>
      </c>
      <c r="D251" s="141">
        <f ca="1">IFERROR(__xludf.DUMMYFUNCTION("""COMPUTED_VALUE"""),109.53)</f>
        <v>109.53</v>
      </c>
      <c r="E251" s="141">
        <f ca="1">IFERROR(__xludf.DUMMYFUNCTION("""COMPUTED_VALUE"""),109.28)</f>
        <v>109.28</v>
      </c>
      <c r="F251" s="141">
        <f ca="1">IFERROR(__xludf.DUMMYFUNCTION("""COMPUTED_VALUE"""),109.39)</f>
        <v>109.39</v>
      </c>
      <c r="G251" s="143">
        <f ca="1">IFERROR(__xludf.DUMMYFUNCTION("""COMPUTED_VALUE"""),2912140)</f>
        <v>2912140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IFERROR(__xludf.DUMMYFUNCTION("""COMPUTED_VALUE"""),109.25)</f>
        <v>109.25</v>
      </c>
      <c r="D252" s="141">
        <f ca="1">IFERROR(__xludf.DUMMYFUNCTION("""COMPUTED_VALUE"""),109.26)</f>
        <v>109.26</v>
      </c>
      <c r="E252" s="141">
        <f ca="1">IFERROR(__xludf.DUMMYFUNCTION("""COMPUTED_VALUE"""),108.93)</f>
        <v>108.93</v>
      </c>
      <c r="F252" s="141">
        <f ca="1">IFERROR(__xludf.DUMMYFUNCTION("""COMPUTED_VALUE"""),108.94)</f>
        <v>108.94</v>
      </c>
      <c r="G252" s="143">
        <f ca="1">IFERROR(__xludf.DUMMYFUNCTION("""COMPUTED_VALUE"""),1156430)</f>
        <v>1156430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IFERROR(__xludf.DUMMYFUNCTION("""COMPUTED_VALUE"""),108.94)</f>
        <v>108.94</v>
      </c>
      <c r="D253" s="141">
        <f ca="1">IFERROR(__xludf.DUMMYFUNCTION("""COMPUTED_VALUE"""),109.05)</f>
        <v>109.05</v>
      </c>
      <c r="E253" s="141">
        <f ca="1">IFERROR(__xludf.DUMMYFUNCTION("""COMPUTED_VALUE"""),108.88)</f>
        <v>108.88</v>
      </c>
      <c r="F253" s="141">
        <f ca="1">IFERROR(__xludf.DUMMYFUNCTION("""COMPUTED_VALUE"""),108.9)</f>
        <v>108.9</v>
      </c>
      <c r="G253" s="143">
        <f ca="1">IFERROR(__xludf.DUMMYFUNCTION("""COMPUTED_VALUE"""),2626040)</f>
        <v>2626040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IFERROR(__xludf.DUMMYFUNCTION("""COMPUTED_VALUE"""),109.05)</f>
        <v>109.05</v>
      </c>
      <c r="D254" s="141">
        <f ca="1">IFERROR(__xludf.DUMMYFUNCTION("""COMPUTED_VALUE"""),109.34)</f>
        <v>109.34</v>
      </c>
      <c r="E254" s="141">
        <f ca="1">IFERROR(__xludf.DUMMYFUNCTION("""COMPUTED_VALUE"""),109.05)</f>
        <v>109.05</v>
      </c>
      <c r="F254" s="141">
        <f ca="1">IFERROR(__xludf.DUMMYFUNCTION("""COMPUTED_VALUE"""),109.32)</f>
        <v>109.32</v>
      </c>
      <c r="G254" s="143">
        <f ca="1">IFERROR(__xludf.DUMMYFUNCTION("""COMPUTED_VALUE"""),1243917)</f>
        <v>1243917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IFERROR(__xludf.DUMMYFUNCTION("""COMPUTED_VALUE"""),109.57)</f>
        <v>109.57</v>
      </c>
      <c r="D255" s="141">
        <f ca="1">IFERROR(__xludf.DUMMYFUNCTION("""COMPUTED_VALUE"""),109.76)</f>
        <v>109.76</v>
      </c>
      <c r="E255" s="141">
        <f ca="1">IFERROR(__xludf.DUMMYFUNCTION("""COMPUTED_VALUE"""),109.49)</f>
        <v>109.49</v>
      </c>
      <c r="F255" s="141">
        <f ca="1">IFERROR(__xludf.DUMMYFUNCTION("""COMPUTED_VALUE"""),109.5)</f>
        <v>109.5</v>
      </c>
      <c r="G255" s="143">
        <f ca="1">IFERROR(__xludf.DUMMYFUNCTION("""COMPUTED_VALUE"""),2947123)</f>
        <v>2947123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IFERROR(__xludf.DUMMYFUNCTION("""COMPUTED_VALUE"""),109.55)</f>
        <v>109.55</v>
      </c>
      <c r="D256" s="141">
        <f ca="1">IFERROR(__xludf.DUMMYFUNCTION("""COMPUTED_VALUE"""),109.75)</f>
        <v>109.75</v>
      </c>
      <c r="E256" s="141">
        <f ca="1">IFERROR(__xludf.DUMMYFUNCTION("""COMPUTED_VALUE"""),109.53)</f>
        <v>109.53</v>
      </c>
      <c r="F256" s="141">
        <f ca="1">IFERROR(__xludf.DUMMYFUNCTION("""COMPUTED_VALUE"""),109.7)</f>
        <v>109.7</v>
      </c>
      <c r="G256" s="143">
        <f ca="1">IFERROR(__xludf.DUMMYFUNCTION("""COMPUTED_VALUE"""),2679253)</f>
        <v>2679253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IFERROR(__xludf.DUMMYFUNCTION("""COMPUTED_VALUE"""),109.78)</f>
        <v>109.78</v>
      </c>
      <c r="D257" s="141">
        <f ca="1">IFERROR(__xludf.DUMMYFUNCTION("""COMPUTED_VALUE"""),109.91)</f>
        <v>109.91</v>
      </c>
      <c r="E257" s="141">
        <f ca="1">IFERROR(__xludf.DUMMYFUNCTION("""COMPUTED_VALUE"""),109.78)</f>
        <v>109.78</v>
      </c>
      <c r="F257" s="141">
        <f ca="1">IFERROR(__xludf.DUMMYFUNCTION("""COMPUTED_VALUE"""),109.9)</f>
        <v>109.9</v>
      </c>
      <c r="G257" s="143">
        <f ca="1">IFERROR(__xludf.DUMMYFUNCTION("""COMPUTED_VALUE"""),2428814)</f>
        <v>2428814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IFERROR(__xludf.DUMMYFUNCTION("""COMPUTED_VALUE"""),109.84)</f>
        <v>109.84</v>
      </c>
      <c r="D258" s="141">
        <f ca="1">IFERROR(__xludf.DUMMYFUNCTION("""COMPUTED_VALUE"""),109.86)</f>
        <v>109.86</v>
      </c>
      <c r="E258" s="141">
        <f ca="1">IFERROR(__xludf.DUMMYFUNCTION("""COMPUTED_VALUE"""),109.43)</f>
        <v>109.43</v>
      </c>
      <c r="F258" s="141">
        <f ca="1">IFERROR(__xludf.DUMMYFUNCTION("""COMPUTED_VALUE"""),109.43)</f>
        <v>109.43</v>
      </c>
      <c r="G258" s="143">
        <f ca="1">IFERROR(__xludf.DUMMYFUNCTION("""COMPUTED_VALUE"""),4144975)</f>
        <v>4144975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IFERROR(__xludf.DUMMYFUNCTION("""COMPUTED_VALUE"""),108.29)</f>
        <v>108.29</v>
      </c>
      <c r="D259" s="141">
        <f ca="1">IFERROR(__xludf.DUMMYFUNCTION("""COMPUTED_VALUE"""),108.46)</f>
        <v>108.46</v>
      </c>
      <c r="E259" s="141">
        <f ca="1">IFERROR(__xludf.DUMMYFUNCTION("""COMPUTED_VALUE"""),108.16)</f>
        <v>108.16</v>
      </c>
      <c r="F259" s="141">
        <f ca="1">IFERROR(__xludf.DUMMYFUNCTION("""COMPUTED_VALUE"""),108.17)</f>
        <v>108.17</v>
      </c>
      <c r="G259" s="143">
        <f ca="1">IFERROR(__xludf.DUMMYFUNCTION("""COMPUTED_VALUE"""),1691011)</f>
        <v>1691011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IFERROR(__xludf.DUMMYFUNCTION("""COMPUTED_VALUE"""),108.31)</f>
        <v>108.31</v>
      </c>
      <c r="D260" s="141">
        <f ca="1">IFERROR(__xludf.DUMMYFUNCTION("""COMPUTED_VALUE"""),108.43)</f>
        <v>108.43</v>
      </c>
      <c r="E260" s="141">
        <f ca="1">IFERROR(__xludf.DUMMYFUNCTION("""COMPUTED_VALUE"""),108.24)</f>
        <v>108.24</v>
      </c>
      <c r="F260" s="141">
        <f ca="1">IFERROR(__xludf.DUMMYFUNCTION("""COMPUTED_VALUE"""),108.33)</f>
        <v>108.33</v>
      </c>
      <c r="G260" s="143">
        <f ca="1">IFERROR(__xludf.DUMMYFUNCTION("""COMPUTED_VALUE"""),2011799)</f>
        <v>2011799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IFERROR(__xludf.DUMMYFUNCTION("""COMPUTED_VALUE"""),108.43)</f>
        <v>108.43</v>
      </c>
      <c r="D261" s="141">
        <f ca="1">IFERROR(__xludf.DUMMYFUNCTION("""COMPUTED_VALUE"""),108.49)</f>
        <v>108.49</v>
      </c>
      <c r="E261" s="141">
        <f ca="1">IFERROR(__xludf.DUMMYFUNCTION("""COMPUTED_VALUE"""),108.3)</f>
        <v>108.3</v>
      </c>
      <c r="F261" s="141">
        <f ca="1">IFERROR(__xludf.DUMMYFUNCTION("""COMPUTED_VALUE"""),108.49)</f>
        <v>108.49</v>
      </c>
      <c r="G261" s="143">
        <f ca="1">IFERROR(__xludf.DUMMYFUNCTION("""COMPUTED_VALUE"""),1346147)</f>
        <v>1346147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IFERROR(__xludf.DUMMYFUNCTION("""COMPUTED_VALUE"""),108.36)</f>
        <v>108.36</v>
      </c>
      <c r="D262" s="141">
        <f ca="1">IFERROR(__xludf.DUMMYFUNCTION("""COMPUTED_VALUE"""),108.36)</f>
        <v>108.36</v>
      </c>
      <c r="E262" s="141">
        <f ca="1">IFERROR(__xludf.DUMMYFUNCTION("""COMPUTED_VALUE"""),108.11)</f>
        <v>108.11</v>
      </c>
      <c r="F262" s="141">
        <f ca="1">IFERROR(__xludf.DUMMYFUNCTION("""COMPUTED_VALUE"""),108.17)</f>
        <v>108.17</v>
      </c>
      <c r="G262" s="143">
        <f ca="1">IFERROR(__xludf.DUMMYFUNCTION("""COMPUTED_VALUE"""),1755111)</f>
        <v>1755111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IFERROR(__xludf.DUMMYFUNCTION("""COMPUTED_VALUE"""),108.09)</f>
        <v>108.09</v>
      </c>
      <c r="D263" s="141">
        <f ca="1">IFERROR(__xludf.DUMMYFUNCTION("""COMPUTED_VALUE"""),108.12)</f>
        <v>108.12</v>
      </c>
      <c r="E263" s="141">
        <f ca="1">IFERROR(__xludf.DUMMYFUNCTION("""COMPUTED_VALUE"""),107.98)</f>
        <v>107.98</v>
      </c>
      <c r="F263" s="141">
        <f ca="1">IFERROR(__xludf.DUMMYFUNCTION("""COMPUTED_VALUE"""),108.05)</f>
        <v>108.05</v>
      </c>
      <c r="G263" s="143">
        <f ca="1">IFERROR(__xludf.DUMMYFUNCTION("""COMPUTED_VALUE"""),941742)</f>
        <v>941742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IFERROR(__xludf.DUMMYFUNCTION("""COMPUTED_VALUE"""),108.14)</f>
        <v>108.14</v>
      </c>
      <c r="D264" s="141">
        <f ca="1">IFERROR(__xludf.DUMMYFUNCTION("""COMPUTED_VALUE"""),108.22)</f>
        <v>108.22</v>
      </c>
      <c r="E264" s="141">
        <f ca="1">IFERROR(__xludf.DUMMYFUNCTION("""COMPUTED_VALUE"""),108.09)</f>
        <v>108.09</v>
      </c>
      <c r="F264" s="141">
        <f ca="1">IFERROR(__xludf.DUMMYFUNCTION("""COMPUTED_VALUE"""),108.12)</f>
        <v>108.12</v>
      </c>
      <c r="G264" s="143">
        <f ca="1">IFERROR(__xludf.DUMMYFUNCTION("""COMPUTED_VALUE"""),1170758)</f>
        <v>1170758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IFERROR(__xludf.DUMMYFUNCTION("""COMPUTED_VALUE"""),108.08)</f>
        <v>108.08</v>
      </c>
      <c r="D265" s="141">
        <f ca="1">IFERROR(__xludf.DUMMYFUNCTION("""COMPUTED_VALUE"""),108.15)</f>
        <v>108.15</v>
      </c>
      <c r="E265" s="141">
        <f ca="1">IFERROR(__xludf.DUMMYFUNCTION("""COMPUTED_VALUE"""),107.98)</f>
        <v>107.98</v>
      </c>
      <c r="F265" s="141">
        <f ca="1">IFERROR(__xludf.DUMMYFUNCTION("""COMPUTED_VALUE"""),108.13)</f>
        <v>108.13</v>
      </c>
      <c r="G265" s="143">
        <f ca="1">IFERROR(__xludf.DUMMYFUNCTION("""COMPUTED_VALUE"""),1162651)</f>
        <v>1162651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IFERROR(__xludf.DUMMYFUNCTION("""COMPUTED_VALUE"""),108.05)</f>
        <v>108.05</v>
      </c>
      <c r="D266" s="141">
        <f ca="1">IFERROR(__xludf.DUMMYFUNCTION("""COMPUTED_VALUE"""),108.05)</f>
        <v>108.05</v>
      </c>
      <c r="E266" s="141">
        <f ca="1">IFERROR(__xludf.DUMMYFUNCTION("""COMPUTED_VALUE"""),107.82)</f>
        <v>107.82</v>
      </c>
      <c r="F266" s="141">
        <f ca="1">IFERROR(__xludf.DUMMYFUNCTION("""COMPUTED_VALUE"""),107.91)</f>
        <v>107.91</v>
      </c>
      <c r="G266" s="143">
        <f ca="1">IFERROR(__xludf.DUMMYFUNCTION("""COMPUTED_VALUE"""),1153865)</f>
        <v>1153865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IFERROR(__xludf.DUMMYFUNCTION("""COMPUTED_VALUE"""),107.95)</f>
        <v>107.95</v>
      </c>
      <c r="D267" s="141">
        <f ca="1">IFERROR(__xludf.DUMMYFUNCTION("""COMPUTED_VALUE"""),108.13)</f>
        <v>108.13</v>
      </c>
      <c r="E267" s="141">
        <f ca="1">IFERROR(__xludf.DUMMYFUNCTION("""COMPUTED_VALUE"""),107.91)</f>
        <v>107.91</v>
      </c>
      <c r="F267" s="141">
        <f ca="1">IFERROR(__xludf.DUMMYFUNCTION("""COMPUTED_VALUE"""),108.01)</f>
        <v>108.01</v>
      </c>
      <c r="G267" s="143">
        <f ca="1">IFERROR(__xludf.DUMMYFUNCTION("""COMPUTED_VALUE"""),1451503)</f>
        <v>1451503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IFERROR(__xludf.DUMMYFUNCTION("""COMPUTED_VALUE"""),107.99)</f>
        <v>107.99</v>
      </c>
      <c r="D268" s="141">
        <f ca="1">IFERROR(__xludf.DUMMYFUNCTION("""COMPUTED_VALUE"""),108.16)</f>
        <v>108.16</v>
      </c>
      <c r="E268" s="141">
        <f ca="1">IFERROR(__xludf.DUMMYFUNCTION("""COMPUTED_VALUE"""),107.99)</f>
        <v>107.99</v>
      </c>
      <c r="F268" s="141">
        <f ca="1">IFERROR(__xludf.DUMMYFUNCTION("""COMPUTED_VALUE"""),108.07)</f>
        <v>108.07</v>
      </c>
      <c r="G268" s="143">
        <f ca="1">IFERROR(__xludf.DUMMYFUNCTION("""COMPUTED_VALUE"""),1900371)</f>
        <v>1900371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IFERROR(__xludf.DUMMYFUNCTION("""COMPUTED_VALUE"""),107.98)</f>
        <v>107.98</v>
      </c>
      <c r="D269" s="141">
        <f ca="1">IFERROR(__xludf.DUMMYFUNCTION("""COMPUTED_VALUE"""),108.05)</f>
        <v>108.05</v>
      </c>
      <c r="E269" s="141">
        <f ca="1">IFERROR(__xludf.DUMMYFUNCTION("""COMPUTED_VALUE"""),107.92)</f>
        <v>107.92</v>
      </c>
      <c r="F269" s="141">
        <f ca="1">IFERROR(__xludf.DUMMYFUNCTION("""COMPUTED_VALUE"""),107.97)</f>
        <v>107.97</v>
      </c>
      <c r="G269" s="143">
        <f ca="1">IFERROR(__xludf.DUMMYFUNCTION("""COMPUTED_VALUE"""),863889)</f>
        <v>863889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IFERROR(__xludf.DUMMYFUNCTION("""COMPUTED_VALUE"""),108.27)</f>
        <v>108.27</v>
      </c>
      <c r="D270" s="141">
        <f ca="1">IFERROR(__xludf.DUMMYFUNCTION("""COMPUTED_VALUE"""),108.37)</f>
        <v>108.37</v>
      </c>
      <c r="E270" s="141">
        <f ca="1">IFERROR(__xludf.DUMMYFUNCTION("""COMPUTED_VALUE"""),108.17)</f>
        <v>108.17</v>
      </c>
      <c r="F270" s="141">
        <f ca="1">IFERROR(__xludf.DUMMYFUNCTION("""COMPUTED_VALUE"""),108.27)</f>
        <v>108.27</v>
      </c>
      <c r="G270" s="143">
        <f ca="1">IFERROR(__xludf.DUMMYFUNCTION("""COMPUTED_VALUE"""),1788968)</f>
        <v>1788968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IFERROR(__xludf.DUMMYFUNCTION("""COMPUTED_VALUE"""),108.19)</f>
        <v>108.19</v>
      </c>
      <c r="D271" s="141">
        <f ca="1">IFERROR(__xludf.DUMMYFUNCTION("""COMPUTED_VALUE"""),108.22)</f>
        <v>108.22</v>
      </c>
      <c r="E271" s="141">
        <f ca="1">IFERROR(__xludf.DUMMYFUNCTION("""COMPUTED_VALUE"""),108.01)</f>
        <v>108.01</v>
      </c>
      <c r="F271" s="141">
        <f ca="1">IFERROR(__xludf.DUMMYFUNCTION("""COMPUTED_VALUE"""),108.05)</f>
        <v>108.05</v>
      </c>
      <c r="G271" s="143">
        <f ca="1">IFERROR(__xludf.DUMMYFUNCTION("""COMPUTED_VALUE"""),1010496)</f>
        <v>1010496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IFERROR(__xludf.DUMMYFUNCTION("""COMPUTED_VALUE"""),108)</f>
        <v>108</v>
      </c>
      <c r="D272" s="141">
        <f ca="1">IFERROR(__xludf.DUMMYFUNCTION("""COMPUTED_VALUE"""),108.01)</f>
        <v>108.01</v>
      </c>
      <c r="E272" s="141">
        <f ca="1">IFERROR(__xludf.DUMMYFUNCTION("""COMPUTED_VALUE"""),107.84)</f>
        <v>107.84</v>
      </c>
      <c r="F272" s="141">
        <f ca="1">IFERROR(__xludf.DUMMYFUNCTION("""COMPUTED_VALUE"""),107.88)</f>
        <v>107.88</v>
      </c>
      <c r="G272" s="143">
        <f ca="1">IFERROR(__xludf.DUMMYFUNCTION("""COMPUTED_VALUE"""),1487896)</f>
        <v>1487896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IFERROR(__xludf.DUMMYFUNCTION("""COMPUTED_VALUE"""),107.95)</f>
        <v>107.95</v>
      </c>
      <c r="D273" s="141">
        <f ca="1">IFERROR(__xludf.DUMMYFUNCTION("""COMPUTED_VALUE"""),107.96)</f>
        <v>107.96</v>
      </c>
      <c r="E273" s="141">
        <f ca="1">IFERROR(__xludf.DUMMYFUNCTION("""COMPUTED_VALUE"""),107.76)</f>
        <v>107.76</v>
      </c>
      <c r="F273" s="141">
        <f ca="1">IFERROR(__xludf.DUMMYFUNCTION("""COMPUTED_VALUE"""),107.77)</f>
        <v>107.77</v>
      </c>
      <c r="G273" s="143">
        <f ca="1">IFERROR(__xludf.DUMMYFUNCTION("""COMPUTED_VALUE"""),1743307)</f>
        <v>1743307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IFERROR(__xludf.DUMMYFUNCTION("""COMPUTED_VALUE"""),107.54)</f>
        <v>107.54</v>
      </c>
      <c r="D274" s="141">
        <f ca="1">IFERROR(__xludf.DUMMYFUNCTION("""COMPUTED_VALUE"""),107.65)</f>
        <v>107.65</v>
      </c>
      <c r="E274" s="141">
        <f ca="1">IFERROR(__xludf.DUMMYFUNCTION("""COMPUTED_VALUE"""),107.48)</f>
        <v>107.48</v>
      </c>
      <c r="F274" s="141">
        <f ca="1">IFERROR(__xludf.DUMMYFUNCTION("""COMPUTED_VALUE"""),107.49)</f>
        <v>107.49</v>
      </c>
      <c r="G274" s="143">
        <f ca="1">IFERROR(__xludf.DUMMYFUNCTION("""COMPUTED_VALUE"""),2261380)</f>
        <v>2261380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IFERROR(__xludf.DUMMYFUNCTION("""COMPUTED_VALUE"""),107.55)</f>
        <v>107.55</v>
      </c>
      <c r="D275" s="141">
        <f ca="1">IFERROR(__xludf.DUMMYFUNCTION("""COMPUTED_VALUE"""),107.74)</f>
        <v>107.74</v>
      </c>
      <c r="E275" s="141">
        <f ca="1">IFERROR(__xludf.DUMMYFUNCTION("""COMPUTED_VALUE"""),107.5)</f>
        <v>107.5</v>
      </c>
      <c r="F275" s="141">
        <f ca="1">IFERROR(__xludf.DUMMYFUNCTION("""COMPUTED_VALUE"""),107.5)</f>
        <v>107.5</v>
      </c>
      <c r="G275" s="143">
        <f ca="1">IFERROR(__xludf.DUMMYFUNCTION("""COMPUTED_VALUE"""),1220737)</f>
        <v>1220737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IFERROR(__xludf.DUMMYFUNCTION("""COMPUTED_VALUE"""),107.57)</f>
        <v>107.57</v>
      </c>
      <c r="D276" s="141">
        <f ca="1">IFERROR(__xludf.DUMMYFUNCTION("""COMPUTED_VALUE"""),107.63)</f>
        <v>107.63</v>
      </c>
      <c r="E276" s="141">
        <f ca="1">IFERROR(__xludf.DUMMYFUNCTION("""COMPUTED_VALUE"""),107.39)</f>
        <v>107.39</v>
      </c>
      <c r="F276" s="141">
        <f ca="1">IFERROR(__xludf.DUMMYFUNCTION("""COMPUTED_VALUE"""),107.39)</f>
        <v>107.39</v>
      </c>
      <c r="G276" s="143">
        <f ca="1">IFERROR(__xludf.DUMMYFUNCTION("""COMPUTED_VALUE"""),1262376)</f>
        <v>1262376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IFERROR(__xludf.DUMMYFUNCTION("""COMPUTED_VALUE"""),107.5)</f>
        <v>107.5</v>
      </c>
      <c r="D277" s="141">
        <f ca="1">IFERROR(__xludf.DUMMYFUNCTION("""COMPUTED_VALUE"""),107.8)</f>
        <v>107.8</v>
      </c>
      <c r="E277" s="141">
        <f ca="1">IFERROR(__xludf.DUMMYFUNCTION("""COMPUTED_VALUE"""),107.48)</f>
        <v>107.48</v>
      </c>
      <c r="F277" s="141">
        <f ca="1">IFERROR(__xludf.DUMMYFUNCTION("""COMPUTED_VALUE"""),107.66)</f>
        <v>107.66</v>
      </c>
      <c r="G277" s="143">
        <f ca="1">IFERROR(__xludf.DUMMYFUNCTION("""COMPUTED_VALUE"""),2765917)</f>
        <v>2765917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IFERROR(__xludf.DUMMYFUNCTION("""COMPUTED_VALUE"""),107.64)</f>
        <v>107.64</v>
      </c>
      <c r="D278" s="141">
        <f ca="1">IFERROR(__xludf.DUMMYFUNCTION("""COMPUTED_VALUE"""),108.01)</f>
        <v>108.01</v>
      </c>
      <c r="E278" s="141">
        <f ca="1">IFERROR(__xludf.DUMMYFUNCTION("""COMPUTED_VALUE"""),107.48)</f>
        <v>107.48</v>
      </c>
      <c r="F278" s="141">
        <f ca="1">IFERROR(__xludf.DUMMYFUNCTION("""COMPUTED_VALUE"""),107.77)</f>
        <v>107.77</v>
      </c>
      <c r="G278" s="143">
        <f ca="1">IFERROR(__xludf.DUMMYFUNCTION("""COMPUTED_VALUE"""),1757989)</f>
        <v>1757989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59" priority="5" operator="lessThan">
      <formula>0</formula>
    </cfRule>
    <cfRule type="cellIs" dxfId="58" priority="6" operator="greaterThan">
      <formula>0</formula>
    </cfRule>
  </conditionalFormatting>
  <conditionalFormatting sqref="F28:F1000">
    <cfRule type="expression" dxfId="57" priority="1">
      <formula>AND(F28=MAX(F$28:F$1000),F28&gt;0)</formula>
    </cfRule>
    <cfRule type="expression" dxfId="56" priority="2">
      <formula>AND(F28=MIN(F$28:F$1000),F28&gt;0)</formula>
    </cfRule>
  </conditionalFormatting>
  <conditionalFormatting sqref="F29:F1000">
    <cfRule type="expression" dxfId="55" priority="3">
      <formula>F29&gt;F27</formula>
    </cfRule>
    <cfRule type="expression" dxfId="54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000-000000000000}">
      <formula1>"1 Month,3 Months,6 Months,12 Months,36 Months"</formula1>
    </dataValidation>
  </dataValidations>
  <hyperlinks>
    <hyperlink ref="G2" r:id="rId1" xr:uid="{00000000-0004-0000-10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75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MSCI EAFE ETF")</f>
        <v>iShares MSCI EAFE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IFERROR(__xludf.DUMMYFUNCTION("GOOGLEFINANCE(B18,""price"")"),103.37)</f>
        <v>103.37</v>
      </c>
      <c r="C10" s="322"/>
      <c r="D10" s="100">
        <f ca="1">IFERROR(__xludf.DUMMYFUNCTION("IFERROR(GOOGLEFINANCE(B18,""change""),""-"")"),-0.52)</f>
        <v>-0.52</v>
      </c>
      <c r="E10" s="103">
        <f ca="1">IFERROR(__xludf.DUMMYFUNCTION("IFERROR(GOOGLEFINANCE(B18,""changepct"")/100,""-"")"),-0.005)</f>
        <v>-5.0000000000000001E-3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IFERROR(__xludf.DUMMYFUNCTION("IFERROR(GOOGLEFINANCE(B18,""marketcap""),""-"")"),710082466)</f>
        <v>710082466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EFA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IFERROR(__xludf.DUMMYFUNCTION("""COMPUTED_VALUE"""),88.83)</f>
        <v>88.83</v>
      </c>
      <c r="D28" s="141">
        <f ca="1">IFERROR(__xludf.DUMMYFUNCTION("""COMPUTED_VALUE"""),89.08)</f>
        <v>89.08</v>
      </c>
      <c r="E28" s="141">
        <f ca="1">IFERROR(__xludf.DUMMYFUNCTION("""COMPUTED_VALUE"""),88.14)</f>
        <v>88.14</v>
      </c>
      <c r="F28" s="141">
        <f ca="1">IFERROR(__xludf.DUMMYFUNCTION("""COMPUTED_VALUE"""),88.47)</f>
        <v>88.47</v>
      </c>
      <c r="G28" s="143">
        <f ca="1">IFERROR(__xludf.DUMMYFUNCTION("""COMPUTED_VALUE"""),14623006)</f>
        <v>14623006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IFERROR(__xludf.DUMMYFUNCTION("""COMPUTED_VALUE"""),88.1)</f>
        <v>88.1</v>
      </c>
      <c r="D29" s="141">
        <f ca="1">IFERROR(__xludf.DUMMYFUNCTION("""COMPUTED_VALUE"""),88.14)</f>
        <v>88.14</v>
      </c>
      <c r="E29" s="141">
        <f ca="1">IFERROR(__xludf.DUMMYFUNCTION("""COMPUTED_VALUE"""),87.35)</f>
        <v>87.35</v>
      </c>
      <c r="F29" s="141">
        <f ca="1">IFERROR(__xludf.DUMMYFUNCTION("""COMPUTED_VALUE"""),87.52)</f>
        <v>87.52</v>
      </c>
      <c r="G29" s="143">
        <f ca="1">IFERROR(__xludf.DUMMYFUNCTION("""COMPUTED_VALUE"""),29271575)</f>
        <v>29271575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IFERROR(__xludf.DUMMYFUNCTION("""COMPUTED_VALUE"""),87.28)</f>
        <v>87.28</v>
      </c>
      <c r="D30" s="141">
        <f ca="1">IFERROR(__xludf.DUMMYFUNCTION("""COMPUTED_VALUE"""),87.43)</f>
        <v>87.43</v>
      </c>
      <c r="E30" s="141">
        <f ca="1">IFERROR(__xludf.DUMMYFUNCTION("""COMPUTED_VALUE"""),86.74)</f>
        <v>86.74</v>
      </c>
      <c r="F30" s="141">
        <f ca="1">IFERROR(__xludf.DUMMYFUNCTION("""COMPUTED_VALUE"""),87.29)</f>
        <v>87.29</v>
      </c>
      <c r="G30" s="143">
        <f ca="1">IFERROR(__xludf.DUMMYFUNCTION("""COMPUTED_VALUE"""),18658183)</f>
        <v>18658183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IFERROR(__xludf.DUMMYFUNCTION("""COMPUTED_VALUE"""),88.23)</f>
        <v>88.23</v>
      </c>
      <c r="D31" s="141">
        <f ca="1">IFERROR(__xludf.DUMMYFUNCTION("""COMPUTED_VALUE"""),88.47)</f>
        <v>88.47</v>
      </c>
      <c r="E31" s="141">
        <f ca="1">IFERROR(__xludf.DUMMYFUNCTION("""COMPUTED_VALUE"""),88.11)</f>
        <v>88.11</v>
      </c>
      <c r="F31" s="141">
        <f ca="1">IFERROR(__xludf.DUMMYFUNCTION("""COMPUTED_VALUE"""),88.45)</f>
        <v>88.45</v>
      </c>
      <c r="G31" s="143">
        <f ca="1">IFERROR(__xludf.DUMMYFUNCTION("""COMPUTED_VALUE"""),14718054)</f>
        <v>14718054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IFERROR(__xludf.DUMMYFUNCTION("""COMPUTED_VALUE"""),88.6)</f>
        <v>88.6</v>
      </c>
      <c r="D32" s="141">
        <f ca="1">IFERROR(__xludf.DUMMYFUNCTION("""COMPUTED_VALUE"""),88.64)</f>
        <v>88.64</v>
      </c>
      <c r="E32" s="141">
        <f ca="1">IFERROR(__xludf.DUMMYFUNCTION("""COMPUTED_VALUE"""),88.17)</f>
        <v>88.17</v>
      </c>
      <c r="F32" s="141">
        <f ca="1">IFERROR(__xludf.DUMMYFUNCTION("""COMPUTED_VALUE"""),88.44)</f>
        <v>88.44</v>
      </c>
      <c r="G32" s="143">
        <f ca="1">IFERROR(__xludf.DUMMYFUNCTION("""COMPUTED_VALUE"""),11634139)</f>
        <v>11634139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IFERROR(__xludf.DUMMYFUNCTION("""COMPUTED_VALUE"""),88.84)</f>
        <v>88.84</v>
      </c>
      <c r="D33" s="141">
        <f ca="1">IFERROR(__xludf.DUMMYFUNCTION("""COMPUTED_VALUE"""),89.17)</f>
        <v>89.17</v>
      </c>
      <c r="E33" s="141">
        <f ca="1">IFERROR(__xludf.DUMMYFUNCTION("""COMPUTED_VALUE"""),88.77)</f>
        <v>88.77</v>
      </c>
      <c r="F33" s="141">
        <f ca="1">IFERROR(__xludf.DUMMYFUNCTION("""COMPUTED_VALUE"""),89.02)</f>
        <v>89.02</v>
      </c>
      <c r="G33" s="143">
        <f ca="1">IFERROR(__xludf.DUMMYFUNCTION("""COMPUTED_VALUE"""),11499873)</f>
        <v>11499873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IFERROR(__xludf.DUMMYFUNCTION("""COMPUTED_VALUE"""),90.02)</f>
        <v>90.02</v>
      </c>
      <c r="D34" s="141">
        <f ca="1">IFERROR(__xludf.DUMMYFUNCTION("""COMPUTED_VALUE"""),90.09)</f>
        <v>90.09</v>
      </c>
      <c r="E34" s="141">
        <f ca="1">IFERROR(__xludf.DUMMYFUNCTION("""COMPUTED_VALUE"""),89.44)</f>
        <v>89.44</v>
      </c>
      <c r="F34" s="141">
        <f ca="1">IFERROR(__xludf.DUMMYFUNCTION("""COMPUTED_VALUE"""),89.82)</f>
        <v>89.82</v>
      </c>
      <c r="G34" s="143">
        <f ca="1">IFERROR(__xludf.DUMMYFUNCTION("""COMPUTED_VALUE"""),11525591)</f>
        <v>11525591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IFERROR(__xludf.DUMMYFUNCTION("""COMPUTED_VALUE"""),90.15)</f>
        <v>90.15</v>
      </c>
      <c r="D35" s="141">
        <f ca="1">IFERROR(__xludf.DUMMYFUNCTION("""COMPUTED_VALUE"""),90.53)</f>
        <v>90.53</v>
      </c>
      <c r="E35" s="141">
        <f ca="1">IFERROR(__xludf.DUMMYFUNCTION("""COMPUTED_VALUE"""),90.08)</f>
        <v>90.08</v>
      </c>
      <c r="F35" s="141">
        <f ca="1">IFERROR(__xludf.DUMMYFUNCTION("""COMPUTED_VALUE"""),90.37)</f>
        <v>90.37</v>
      </c>
      <c r="G35" s="143">
        <f ca="1">IFERROR(__xludf.DUMMYFUNCTION("""COMPUTED_VALUE"""),10367276)</f>
        <v>10367276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IFERROR(__xludf.DUMMYFUNCTION("""COMPUTED_VALUE"""),90.12)</f>
        <v>90.12</v>
      </c>
      <c r="D36" s="141">
        <f ca="1">IFERROR(__xludf.DUMMYFUNCTION("""COMPUTED_VALUE"""),90.2)</f>
        <v>90.2</v>
      </c>
      <c r="E36" s="141">
        <f ca="1">IFERROR(__xludf.DUMMYFUNCTION("""COMPUTED_VALUE"""),89.88)</f>
        <v>89.88</v>
      </c>
      <c r="F36" s="141">
        <f ca="1">IFERROR(__xludf.DUMMYFUNCTION("""COMPUTED_VALUE"""),89.99)</f>
        <v>89.99</v>
      </c>
      <c r="G36" s="143">
        <f ca="1">IFERROR(__xludf.DUMMYFUNCTION("""COMPUTED_VALUE"""),8516640)</f>
        <v>8516640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IFERROR(__xludf.DUMMYFUNCTION("""COMPUTED_VALUE"""),90.39)</f>
        <v>90.39</v>
      </c>
      <c r="D37" s="141">
        <f ca="1">IFERROR(__xludf.DUMMYFUNCTION("""COMPUTED_VALUE"""),91.15)</f>
        <v>91.15</v>
      </c>
      <c r="E37" s="141">
        <f ca="1">IFERROR(__xludf.DUMMYFUNCTION("""COMPUTED_VALUE"""),90.28)</f>
        <v>90.28</v>
      </c>
      <c r="F37" s="141">
        <f ca="1">IFERROR(__xludf.DUMMYFUNCTION("""COMPUTED_VALUE"""),91.09)</f>
        <v>91.09</v>
      </c>
      <c r="G37" s="143">
        <f ca="1">IFERROR(__xludf.DUMMYFUNCTION("""COMPUTED_VALUE"""),12302860)</f>
        <v>12302860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IFERROR(__xludf.DUMMYFUNCTION("""COMPUTED_VALUE"""),91.39)</f>
        <v>91.39</v>
      </c>
      <c r="D38" s="141">
        <f ca="1">IFERROR(__xludf.DUMMYFUNCTION("""COMPUTED_VALUE"""),91.66)</f>
        <v>91.66</v>
      </c>
      <c r="E38" s="141">
        <f ca="1">IFERROR(__xludf.DUMMYFUNCTION("""COMPUTED_VALUE"""),91.37)</f>
        <v>91.37</v>
      </c>
      <c r="F38" s="141">
        <f ca="1">IFERROR(__xludf.DUMMYFUNCTION("""COMPUTED_VALUE"""),91.64)</f>
        <v>91.64</v>
      </c>
      <c r="G38" s="143">
        <f ca="1">IFERROR(__xludf.DUMMYFUNCTION("""COMPUTED_VALUE"""),9490537)</f>
        <v>9490537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IFERROR(__xludf.DUMMYFUNCTION("""COMPUTED_VALUE"""),91.23)</f>
        <v>91.23</v>
      </c>
      <c r="D39" s="141">
        <f ca="1">IFERROR(__xludf.DUMMYFUNCTION("""COMPUTED_VALUE"""),91.68)</f>
        <v>91.68</v>
      </c>
      <c r="E39" s="141">
        <f ca="1">IFERROR(__xludf.DUMMYFUNCTION("""COMPUTED_VALUE"""),91.2)</f>
        <v>91.2</v>
      </c>
      <c r="F39" s="141">
        <f ca="1">IFERROR(__xludf.DUMMYFUNCTION("""COMPUTED_VALUE"""),91.65)</f>
        <v>91.65</v>
      </c>
      <c r="G39" s="143">
        <f ca="1">IFERROR(__xludf.DUMMYFUNCTION("""COMPUTED_VALUE"""),11790572)</f>
        <v>11790572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IFERROR(__xludf.DUMMYFUNCTION("""COMPUTED_VALUE"""),92.22)</f>
        <v>92.22</v>
      </c>
      <c r="D40" s="141">
        <f ca="1">IFERROR(__xludf.DUMMYFUNCTION("""COMPUTED_VALUE"""),92.28)</f>
        <v>92.28</v>
      </c>
      <c r="E40" s="141">
        <f ca="1">IFERROR(__xludf.DUMMYFUNCTION("""COMPUTED_VALUE"""),92.04)</f>
        <v>92.04</v>
      </c>
      <c r="F40" s="141">
        <f ca="1">IFERROR(__xludf.DUMMYFUNCTION("""COMPUTED_VALUE"""),92.19)</f>
        <v>92.19</v>
      </c>
      <c r="G40" s="143">
        <f ca="1">IFERROR(__xludf.DUMMYFUNCTION("""COMPUTED_VALUE"""),11864283)</f>
        <v>11864283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IFERROR(__xludf.DUMMYFUNCTION("""COMPUTED_VALUE"""),91.95)</f>
        <v>91.95</v>
      </c>
      <c r="D41" s="141">
        <f ca="1">IFERROR(__xludf.DUMMYFUNCTION("""COMPUTED_VALUE"""),92.14)</f>
        <v>92.14</v>
      </c>
      <c r="E41" s="141">
        <f ca="1">IFERROR(__xludf.DUMMYFUNCTION("""COMPUTED_VALUE"""),91.8)</f>
        <v>91.8</v>
      </c>
      <c r="F41" s="141">
        <f ca="1">IFERROR(__xludf.DUMMYFUNCTION("""COMPUTED_VALUE"""),92.09)</f>
        <v>92.09</v>
      </c>
      <c r="G41" s="143">
        <f ca="1">IFERROR(__xludf.DUMMYFUNCTION("""COMPUTED_VALUE"""),11577829)</f>
        <v>11577829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IFERROR(__xludf.DUMMYFUNCTION("""COMPUTED_VALUE"""),92.33)</f>
        <v>92.33</v>
      </c>
      <c r="D42" s="141">
        <f ca="1">IFERROR(__xludf.DUMMYFUNCTION("""COMPUTED_VALUE"""),92.49)</f>
        <v>92.49</v>
      </c>
      <c r="E42" s="141">
        <f ca="1">IFERROR(__xludf.DUMMYFUNCTION("""COMPUTED_VALUE"""),92.02)</f>
        <v>92.02</v>
      </c>
      <c r="F42" s="141">
        <f ca="1">IFERROR(__xludf.DUMMYFUNCTION("""COMPUTED_VALUE"""),92.1)</f>
        <v>92.1</v>
      </c>
      <c r="G42" s="143">
        <f ca="1">IFERROR(__xludf.DUMMYFUNCTION("""COMPUTED_VALUE"""),10721578)</f>
        <v>10721578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IFERROR(__xludf.DUMMYFUNCTION("""COMPUTED_VALUE"""),92.27)</f>
        <v>92.27</v>
      </c>
      <c r="D43" s="141">
        <f ca="1">IFERROR(__xludf.DUMMYFUNCTION("""COMPUTED_VALUE"""),92.46)</f>
        <v>92.46</v>
      </c>
      <c r="E43" s="141">
        <f ca="1">IFERROR(__xludf.DUMMYFUNCTION("""COMPUTED_VALUE"""),92.11)</f>
        <v>92.11</v>
      </c>
      <c r="F43" s="141">
        <f ca="1">IFERROR(__xludf.DUMMYFUNCTION("""COMPUTED_VALUE"""),92.43)</f>
        <v>92.43</v>
      </c>
      <c r="G43" s="143">
        <f ca="1">IFERROR(__xludf.DUMMYFUNCTION("""COMPUTED_VALUE"""),15871192)</f>
        <v>15871192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IFERROR(__xludf.DUMMYFUNCTION("""COMPUTED_VALUE"""),91.92)</f>
        <v>91.92</v>
      </c>
      <c r="D44" s="141">
        <f ca="1">IFERROR(__xludf.DUMMYFUNCTION("""COMPUTED_VALUE"""),92.07)</f>
        <v>92.07</v>
      </c>
      <c r="E44" s="141">
        <f ca="1">IFERROR(__xludf.DUMMYFUNCTION("""COMPUTED_VALUE"""),91.69)</f>
        <v>91.69</v>
      </c>
      <c r="F44" s="141">
        <f ca="1">IFERROR(__xludf.DUMMYFUNCTION("""COMPUTED_VALUE"""),91.85)</f>
        <v>91.85</v>
      </c>
      <c r="G44" s="143">
        <f ca="1">IFERROR(__xludf.DUMMYFUNCTION("""COMPUTED_VALUE"""),11258869)</f>
        <v>11258869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IFERROR(__xludf.DUMMYFUNCTION("""COMPUTED_VALUE"""),92.21)</f>
        <v>92.21</v>
      </c>
      <c r="D45" s="141">
        <f ca="1">IFERROR(__xludf.DUMMYFUNCTION("""COMPUTED_VALUE"""),93.38)</f>
        <v>93.38</v>
      </c>
      <c r="E45" s="141">
        <f ca="1">IFERROR(__xludf.DUMMYFUNCTION("""COMPUTED_VALUE"""),92.18)</f>
        <v>92.18</v>
      </c>
      <c r="F45" s="141">
        <f ca="1">IFERROR(__xludf.DUMMYFUNCTION("""COMPUTED_VALUE"""),93.23)</f>
        <v>93.23</v>
      </c>
      <c r="G45" s="143">
        <f ca="1">IFERROR(__xludf.DUMMYFUNCTION("""COMPUTED_VALUE"""),15827472)</f>
        <v>15827472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IFERROR(__xludf.DUMMYFUNCTION("""COMPUTED_VALUE"""),92.79)</f>
        <v>92.79</v>
      </c>
      <c r="D46" s="141">
        <f ca="1">IFERROR(__xludf.DUMMYFUNCTION("""COMPUTED_VALUE"""),92.95)</f>
        <v>92.95</v>
      </c>
      <c r="E46" s="141">
        <f ca="1">IFERROR(__xludf.DUMMYFUNCTION("""COMPUTED_VALUE"""),91.98)</f>
        <v>91.98</v>
      </c>
      <c r="F46" s="141">
        <f ca="1">IFERROR(__xludf.DUMMYFUNCTION("""COMPUTED_VALUE"""),92)</f>
        <v>92</v>
      </c>
      <c r="G46" s="143">
        <f ca="1">IFERROR(__xludf.DUMMYFUNCTION("""COMPUTED_VALUE"""),11700869)</f>
        <v>11700869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IFERROR(__xludf.DUMMYFUNCTION("""COMPUTED_VALUE"""),91.74)</f>
        <v>91.74</v>
      </c>
      <c r="D47" s="141">
        <f ca="1">IFERROR(__xludf.DUMMYFUNCTION("""COMPUTED_VALUE"""),91.95)</f>
        <v>91.95</v>
      </c>
      <c r="E47" s="141">
        <f ca="1">IFERROR(__xludf.DUMMYFUNCTION("""COMPUTED_VALUE"""),91.67)</f>
        <v>91.67</v>
      </c>
      <c r="F47" s="141">
        <f ca="1">IFERROR(__xludf.DUMMYFUNCTION("""COMPUTED_VALUE"""),91.9)</f>
        <v>91.9</v>
      </c>
      <c r="G47" s="143">
        <f ca="1">IFERROR(__xludf.DUMMYFUNCTION("""COMPUTED_VALUE"""),11788856)</f>
        <v>11788856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IFERROR(__xludf.DUMMYFUNCTION("""COMPUTED_VALUE"""),91.22)</f>
        <v>91.22</v>
      </c>
      <c r="D48" s="141">
        <f ca="1">IFERROR(__xludf.DUMMYFUNCTION("""COMPUTED_VALUE"""),91.72)</f>
        <v>91.72</v>
      </c>
      <c r="E48" s="141">
        <f ca="1">IFERROR(__xludf.DUMMYFUNCTION("""COMPUTED_VALUE"""),91.04)</f>
        <v>91.04</v>
      </c>
      <c r="F48" s="141">
        <f ca="1">IFERROR(__xludf.DUMMYFUNCTION("""COMPUTED_VALUE"""),91.68)</f>
        <v>91.68</v>
      </c>
      <c r="G48" s="143">
        <f ca="1">IFERROR(__xludf.DUMMYFUNCTION("""COMPUTED_VALUE"""),13054224)</f>
        <v>13054224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IFERROR(__xludf.DUMMYFUNCTION("""COMPUTED_VALUE"""),92)</f>
        <v>92</v>
      </c>
      <c r="D49" s="141">
        <f ca="1">IFERROR(__xludf.DUMMYFUNCTION("""COMPUTED_VALUE"""),92.14)</f>
        <v>92.14</v>
      </c>
      <c r="E49" s="141">
        <f ca="1">IFERROR(__xludf.DUMMYFUNCTION("""COMPUTED_VALUE"""),91.83)</f>
        <v>91.83</v>
      </c>
      <c r="F49" s="141">
        <f ca="1">IFERROR(__xludf.DUMMYFUNCTION("""COMPUTED_VALUE"""),92.02)</f>
        <v>92.02</v>
      </c>
      <c r="G49" s="143">
        <f ca="1">IFERROR(__xludf.DUMMYFUNCTION("""COMPUTED_VALUE"""),11136419)</f>
        <v>11136419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IFERROR(__xludf.DUMMYFUNCTION("""COMPUTED_VALUE"""),91.53)</f>
        <v>91.53</v>
      </c>
      <c r="D50" s="141">
        <f ca="1">IFERROR(__xludf.DUMMYFUNCTION("""COMPUTED_VALUE"""),91.65)</f>
        <v>91.65</v>
      </c>
      <c r="E50" s="141">
        <f ca="1">IFERROR(__xludf.DUMMYFUNCTION("""COMPUTED_VALUE"""),91.33)</f>
        <v>91.33</v>
      </c>
      <c r="F50" s="141">
        <f ca="1">IFERROR(__xludf.DUMMYFUNCTION("""COMPUTED_VALUE"""),91.48)</f>
        <v>91.48</v>
      </c>
      <c r="G50" s="143">
        <f ca="1">IFERROR(__xludf.DUMMYFUNCTION("""COMPUTED_VALUE"""),18544492)</f>
        <v>18544492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IFERROR(__xludf.DUMMYFUNCTION("""COMPUTED_VALUE"""),90.1)</f>
        <v>90.1</v>
      </c>
      <c r="D51" s="141">
        <f ca="1">IFERROR(__xludf.DUMMYFUNCTION("""COMPUTED_VALUE"""),90.74)</f>
        <v>90.74</v>
      </c>
      <c r="E51" s="141">
        <f ca="1">IFERROR(__xludf.DUMMYFUNCTION("""COMPUTED_VALUE"""),90.04)</f>
        <v>90.04</v>
      </c>
      <c r="F51" s="141">
        <f ca="1">IFERROR(__xludf.DUMMYFUNCTION("""COMPUTED_VALUE"""),90.58)</f>
        <v>90.58</v>
      </c>
      <c r="G51" s="143">
        <f ca="1">IFERROR(__xludf.DUMMYFUNCTION("""COMPUTED_VALUE"""),15496271)</f>
        <v>15496271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IFERROR(__xludf.DUMMYFUNCTION("""COMPUTED_VALUE"""),90.45)</f>
        <v>90.45</v>
      </c>
      <c r="D52" s="141">
        <f ca="1">IFERROR(__xludf.DUMMYFUNCTION("""COMPUTED_VALUE"""),90.8)</f>
        <v>90.8</v>
      </c>
      <c r="E52" s="141">
        <f ca="1">IFERROR(__xludf.DUMMYFUNCTION("""COMPUTED_VALUE"""),90.37)</f>
        <v>90.37</v>
      </c>
      <c r="F52" s="141">
        <f ca="1">IFERROR(__xludf.DUMMYFUNCTION("""COMPUTED_VALUE"""),90.72)</f>
        <v>90.72</v>
      </c>
      <c r="G52" s="143">
        <f ca="1">IFERROR(__xludf.DUMMYFUNCTION("""COMPUTED_VALUE"""),14418844)</f>
        <v>14418844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IFERROR(__xludf.DUMMYFUNCTION("""COMPUTED_VALUE"""),91)</f>
        <v>91</v>
      </c>
      <c r="D53" s="141">
        <f ca="1">IFERROR(__xludf.DUMMYFUNCTION("""COMPUTED_VALUE"""),91.4)</f>
        <v>91.4</v>
      </c>
      <c r="E53" s="141">
        <f ca="1">IFERROR(__xludf.DUMMYFUNCTION("""COMPUTED_VALUE"""),90.94)</f>
        <v>90.94</v>
      </c>
      <c r="F53" s="141">
        <f ca="1">IFERROR(__xludf.DUMMYFUNCTION("""COMPUTED_VALUE"""),91.38)</f>
        <v>91.38</v>
      </c>
      <c r="G53" s="143">
        <f ca="1">IFERROR(__xludf.DUMMYFUNCTION("""COMPUTED_VALUE"""),10348031)</f>
        <v>10348031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IFERROR(__xludf.DUMMYFUNCTION("""COMPUTED_VALUE"""),92.12)</f>
        <v>92.12</v>
      </c>
      <c r="D54" s="141">
        <f ca="1">IFERROR(__xludf.DUMMYFUNCTION("""COMPUTED_VALUE"""),92.39)</f>
        <v>92.39</v>
      </c>
      <c r="E54" s="141">
        <f ca="1">IFERROR(__xludf.DUMMYFUNCTION("""COMPUTED_VALUE"""),91.5)</f>
        <v>91.5</v>
      </c>
      <c r="F54" s="141">
        <f ca="1">IFERROR(__xludf.DUMMYFUNCTION("""COMPUTED_VALUE"""),91.79)</f>
        <v>91.79</v>
      </c>
      <c r="G54" s="143">
        <f ca="1">IFERROR(__xludf.DUMMYFUNCTION("""COMPUTED_VALUE"""),15510643)</f>
        <v>15510643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IFERROR(__xludf.DUMMYFUNCTION("""COMPUTED_VALUE"""),92.46)</f>
        <v>92.46</v>
      </c>
      <c r="D55" s="141">
        <f ca="1">IFERROR(__xludf.DUMMYFUNCTION("""COMPUTED_VALUE"""),92.74)</f>
        <v>92.74</v>
      </c>
      <c r="E55" s="141">
        <f ca="1">IFERROR(__xludf.DUMMYFUNCTION("""COMPUTED_VALUE"""),92.24)</f>
        <v>92.24</v>
      </c>
      <c r="F55" s="141">
        <f ca="1">IFERROR(__xludf.DUMMYFUNCTION("""COMPUTED_VALUE"""),92.71)</f>
        <v>92.71</v>
      </c>
      <c r="G55" s="143">
        <f ca="1">IFERROR(__xludf.DUMMYFUNCTION("""COMPUTED_VALUE"""),12010731)</f>
        <v>12010731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IFERROR(__xludf.DUMMYFUNCTION("""COMPUTED_VALUE"""),92.33)</f>
        <v>92.33</v>
      </c>
      <c r="D56" s="141">
        <f ca="1">IFERROR(__xludf.DUMMYFUNCTION("""COMPUTED_VALUE"""),92.5)</f>
        <v>92.5</v>
      </c>
      <c r="E56" s="141">
        <f ca="1">IFERROR(__xludf.DUMMYFUNCTION("""COMPUTED_VALUE"""),92.15)</f>
        <v>92.15</v>
      </c>
      <c r="F56" s="141">
        <f ca="1">IFERROR(__xludf.DUMMYFUNCTION("""COMPUTED_VALUE"""),92.4)</f>
        <v>92.4</v>
      </c>
      <c r="G56" s="143">
        <f ca="1">IFERROR(__xludf.DUMMYFUNCTION("""COMPUTED_VALUE"""),10893174)</f>
        <v>10893174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IFERROR(__xludf.DUMMYFUNCTION("""COMPUTED_VALUE"""),92.65)</f>
        <v>92.65</v>
      </c>
      <c r="D57" s="141">
        <f ca="1">IFERROR(__xludf.DUMMYFUNCTION("""COMPUTED_VALUE"""),92.77)</f>
        <v>92.77</v>
      </c>
      <c r="E57" s="141">
        <f ca="1">IFERROR(__xludf.DUMMYFUNCTION("""COMPUTED_VALUE"""),92.27)</f>
        <v>92.27</v>
      </c>
      <c r="F57" s="141">
        <f ca="1">IFERROR(__xludf.DUMMYFUNCTION("""COMPUTED_VALUE"""),92.38)</f>
        <v>92.38</v>
      </c>
      <c r="G57" s="143">
        <f ca="1">IFERROR(__xludf.DUMMYFUNCTION("""COMPUTED_VALUE"""),11838438)</f>
        <v>11838438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IFERROR(__xludf.DUMMYFUNCTION("""COMPUTED_VALUE"""),92.78)</f>
        <v>92.78</v>
      </c>
      <c r="D58" s="141">
        <f ca="1">IFERROR(__xludf.DUMMYFUNCTION("""COMPUTED_VALUE"""),93.39)</f>
        <v>93.39</v>
      </c>
      <c r="E58" s="141">
        <f ca="1">IFERROR(__xludf.DUMMYFUNCTION("""COMPUTED_VALUE"""),92.75)</f>
        <v>92.75</v>
      </c>
      <c r="F58" s="141">
        <f ca="1">IFERROR(__xludf.DUMMYFUNCTION("""COMPUTED_VALUE"""),93.36)</f>
        <v>93.36</v>
      </c>
      <c r="G58" s="143">
        <f ca="1">IFERROR(__xludf.DUMMYFUNCTION("""COMPUTED_VALUE"""),11013030)</f>
        <v>11013030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IFERROR(__xludf.DUMMYFUNCTION("""COMPUTED_VALUE"""),92.99)</f>
        <v>92.99</v>
      </c>
      <c r="D59" s="141">
        <f ca="1">IFERROR(__xludf.DUMMYFUNCTION("""COMPUTED_VALUE"""),93.13)</f>
        <v>93.13</v>
      </c>
      <c r="E59" s="141">
        <f ca="1">IFERROR(__xludf.DUMMYFUNCTION("""COMPUTED_VALUE"""),92.77)</f>
        <v>92.77</v>
      </c>
      <c r="F59" s="141">
        <f ca="1">IFERROR(__xludf.DUMMYFUNCTION("""COMPUTED_VALUE"""),92.99)</f>
        <v>92.99</v>
      </c>
      <c r="G59" s="143">
        <f ca="1">IFERROR(__xludf.DUMMYFUNCTION("""COMPUTED_VALUE"""),10010534)</f>
        <v>10010534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IFERROR(__xludf.DUMMYFUNCTION("""COMPUTED_VALUE"""),93.45)</f>
        <v>93.45</v>
      </c>
      <c r="D60" s="141">
        <f ca="1">IFERROR(__xludf.DUMMYFUNCTION("""COMPUTED_VALUE"""),93.68)</f>
        <v>93.68</v>
      </c>
      <c r="E60" s="141">
        <f ca="1">IFERROR(__xludf.DUMMYFUNCTION("""COMPUTED_VALUE"""),93.32)</f>
        <v>93.32</v>
      </c>
      <c r="F60" s="141">
        <f ca="1">IFERROR(__xludf.DUMMYFUNCTION("""COMPUTED_VALUE"""),93.61)</f>
        <v>93.61</v>
      </c>
      <c r="G60" s="143">
        <f ca="1">IFERROR(__xludf.DUMMYFUNCTION("""COMPUTED_VALUE"""),18108014)</f>
        <v>18108014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IFERROR(__xludf.DUMMYFUNCTION("""COMPUTED_VALUE"""),93.52)</f>
        <v>93.52</v>
      </c>
      <c r="D61" s="141">
        <f ca="1">IFERROR(__xludf.DUMMYFUNCTION("""COMPUTED_VALUE"""),93.54)</f>
        <v>93.54</v>
      </c>
      <c r="E61" s="141">
        <f ca="1">IFERROR(__xludf.DUMMYFUNCTION("""COMPUTED_VALUE"""),93.08)</f>
        <v>93.08</v>
      </c>
      <c r="F61" s="141">
        <f ca="1">IFERROR(__xludf.DUMMYFUNCTION("""COMPUTED_VALUE"""),93.35)</f>
        <v>93.35</v>
      </c>
      <c r="G61" s="143">
        <f ca="1">IFERROR(__xludf.DUMMYFUNCTION("""COMPUTED_VALUE"""),25226898)</f>
        <v>25226898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IFERROR(__xludf.DUMMYFUNCTION("""COMPUTED_VALUE"""),93.24)</f>
        <v>93.24</v>
      </c>
      <c r="D62" s="141">
        <f ca="1">IFERROR(__xludf.DUMMYFUNCTION("""COMPUTED_VALUE"""),93.77)</f>
        <v>93.77</v>
      </c>
      <c r="E62" s="141">
        <f ca="1">IFERROR(__xludf.DUMMYFUNCTION("""COMPUTED_VALUE"""),92.61)</f>
        <v>92.61</v>
      </c>
      <c r="F62" s="141">
        <f ca="1">IFERROR(__xludf.DUMMYFUNCTION("""COMPUTED_VALUE"""),93)</f>
        <v>93</v>
      </c>
      <c r="G62" s="143">
        <f ca="1">IFERROR(__xludf.DUMMYFUNCTION("""COMPUTED_VALUE"""),17013573)</f>
        <v>17013573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IFERROR(__xludf.DUMMYFUNCTION("""COMPUTED_VALUE"""),93.1)</f>
        <v>93.1</v>
      </c>
      <c r="D63" s="141">
        <f ca="1">IFERROR(__xludf.DUMMYFUNCTION("""COMPUTED_VALUE"""),93.48)</f>
        <v>93.48</v>
      </c>
      <c r="E63" s="141">
        <f ca="1">IFERROR(__xludf.DUMMYFUNCTION("""COMPUTED_VALUE"""),92.82)</f>
        <v>92.82</v>
      </c>
      <c r="F63" s="141">
        <f ca="1">IFERROR(__xludf.DUMMYFUNCTION("""COMPUTED_VALUE"""),93.36)</f>
        <v>93.36</v>
      </c>
      <c r="G63" s="143">
        <f ca="1">IFERROR(__xludf.DUMMYFUNCTION("""COMPUTED_VALUE"""),15791635)</f>
        <v>15791635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IFERROR(__xludf.DUMMYFUNCTION("""COMPUTED_VALUE"""),93.04)</f>
        <v>93.04</v>
      </c>
      <c r="D64" s="141">
        <f ca="1">IFERROR(__xludf.DUMMYFUNCTION("""COMPUTED_VALUE"""),93.15)</f>
        <v>93.15</v>
      </c>
      <c r="E64" s="141">
        <f ca="1">IFERROR(__xludf.DUMMYFUNCTION("""COMPUTED_VALUE"""),92.76)</f>
        <v>92.76</v>
      </c>
      <c r="F64" s="141">
        <f ca="1">IFERROR(__xludf.DUMMYFUNCTION("""COMPUTED_VALUE"""),93)</f>
        <v>93</v>
      </c>
      <c r="G64" s="143">
        <f ca="1">IFERROR(__xludf.DUMMYFUNCTION("""COMPUTED_VALUE"""),21889338)</f>
        <v>21889338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IFERROR(__xludf.DUMMYFUNCTION("""COMPUTED_VALUE"""),92.96)</f>
        <v>92.96</v>
      </c>
      <c r="D65" s="141">
        <f ca="1">IFERROR(__xludf.DUMMYFUNCTION("""COMPUTED_VALUE"""),93.34)</f>
        <v>93.34</v>
      </c>
      <c r="E65" s="141">
        <f ca="1">IFERROR(__xludf.DUMMYFUNCTION("""COMPUTED_VALUE"""),92.73)</f>
        <v>92.73</v>
      </c>
      <c r="F65" s="141">
        <f ca="1">IFERROR(__xludf.DUMMYFUNCTION("""COMPUTED_VALUE"""),93.3)</f>
        <v>93.3</v>
      </c>
      <c r="G65" s="143">
        <f ca="1">IFERROR(__xludf.DUMMYFUNCTION("""COMPUTED_VALUE"""),13692268)</f>
        <v>13692268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IFERROR(__xludf.DUMMYFUNCTION("""COMPUTED_VALUE"""),93.51)</f>
        <v>93.51</v>
      </c>
      <c r="D66" s="141">
        <f ca="1">IFERROR(__xludf.DUMMYFUNCTION("""COMPUTED_VALUE"""),93.67)</f>
        <v>93.67</v>
      </c>
      <c r="E66" s="141">
        <f ca="1">IFERROR(__xludf.DUMMYFUNCTION("""COMPUTED_VALUE"""),93.02)</f>
        <v>93.02</v>
      </c>
      <c r="F66" s="141">
        <f ca="1">IFERROR(__xludf.DUMMYFUNCTION("""COMPUTED_VALUE"""),93.12)</f>
        <v>93.12</v>
      </c>
      <c r="G66" s="143">
        <f ca="1">IFERROR(__xludf.DUMMYFUNCTION("""COMPUTED_VALUE"""),14688387)</f>
        <v>14688387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IFERROR(__xludf.DUMMYFUNCTION("""COMPUTED_VALUE"""),92.69)</f>
        <v>92.69</v>
      </c>
      <c r="D67" s="141">
        <f ca="1">IFERROR(__xludf.DUMMYFUNCTION("""COMPUTED_VALUE"""),92.92)</f>
        <v>92.92</v>
      </c>
      <c r="E67" s="141">
        <f ca="1">IFERROR(__xludf.DUMMYFUNCTION("""COMPUTED_VALUE"""),92.46)</f>
        <v>92.46</v>
      </c>
      <c r="F67" s="141">
        <f ca="1">IFERROR(__xludf.DUMMYFUNCTION("""COMPUTED_VALUE"""),92.58)</f>
        <v>92.58</v>
      </c>
      <c r="G67" s="143">
        <f ca="1">IFERROR(__xludf.DUMMYFUNCTION("""COMPUTED_VALUE"""),14910666)</f>
        <v>14910666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IFERROR(__xludf.DUMMYFUNCTION("""COMPUTED_VALUE"""),91.95)</f>
        <v>91.95</v>
      </c>
      <c r="D68" s="141">
        <f ca="1">IFERROR(__xludf.DUMMYFUNCTION("""COMPUTED_VALUE"""),92.02)</f>
        <v>92.02</v>
      </c>
      <c r="E68" s="141">
        <f ca="1">IFERROR(__xludf.DUMMYFUNCTION("""COMPUTED_VALUE"""),91.53)</f>
        <v>91.53</v>
      </c>
      <c r="F68" s="141">
        <f ca="1">IFERROR(__xludf.DUMMYFUNCTION("""COMPUTED_VALUE"""),91.92)</f>
        <v>91.92</v>
      </c>
      <c r="G68" s="143">
        <f ca="1">IFERROR(__xludf.DUMMYFUNCTION("""COMPUTED_VALUE"""),22434553)</f>
        <v>22434553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IFERROR(__xludf.DUMMYFUNCTION("""COMPUTED_VALUE"""),92.31)</f>
        <v>92.31</v>
      </c>
      <c r="D69" s="141">
        <f ca="1">IFERROR(__xludf.DUMMYFUNCTION("""COMPUTED_VALUE"""),92.64)</f>
        <v>92.64</v>
      </c>
      <c r="E69" s="141">
        <f ca="1">IFERROR(__xludf.DUMMYFUNCTION("""COMPUTED_VALUE"""),92.23)</f>
        <v>92.23</v>
      </c>
      <c r="F69" s="141">
        <f ca="1">IFERROR(__xludf.DUMMYFUNCTION("""COMPUTED_VALUE"""),92.63)</f>
        <v>92.63</v>
      </c>
      <c r="G69" s="143">
        <f ca="1">IFERROR(__xludf.DUMMYFUNCTION("""COMPUTED_VALUE"""),18137958)</f>
        <v>18137958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IFERROR(__xludf.DUMMYFUNCTION("""COMPUTED_VALUE"""),92.92)</f>
        <v>92.92</v>
      </c>
      <c r="D70" s="141">
        <f ca="1">IFERROR(__xludf.DUMMYFUNCTION("""COMPUTED_VALUE"""),93.06)</f>
        <v>93.06</v>
      </c>
      <c r="E70" s="141">
        <f ca="1">IFERROR(__xludf.DUMMYFUNCTION("""COMPUTED_VALUE"""),92.77)</f>
        <v>92.77</v>
      </c>
      <c r="F70" s="141">
        <f ca="1">IFERROR(__xludf.DUMMYFUNCTION("""COMPUTED_VALUE"""),92.99)</f>
        <v>92.99</v>
      </c>
      <c r="G70" s="143">
        <f ca="1">IFERROR(__xludf.DUMMYFUNCTION("""COMPUTED_VALUE"""),13807071)</f>
        <v>13807071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IFERROR(__xludf.DUMMYFUNCTION("""COMPUTED_VALUE"""),92.89)</f>
        <v>92.89</v>
      </c>
      <c r="D71" s="141">
        <f ca="1">IFERROR(__xludf.DUMMYFUNCTION("""COMPUTED_VALUE"""),93.46)</f>
        <v>93.46</v>
      </c>
      <c r="E71" s="141">
        <f ca="1">IFERROR(__xludf.DUMMYFUNCTION("""COMPUTED_VALUE"""),92.86)</f>
        <v>92.86</v>
      </c>
      <c r="F71" s="141">
        <f ca="1">IFERROR(__xludf.DUMMYFUNCTION("""COMPUTED_VALUE"""),93.37)</f>
        <v>93.37</v>
      </c>
      <c r="G71" s="143">
        <f ca="1">IFERROR(__xludf.DUMMYFUNCTION("""COMPUTED_VALUE"""),24294994)</f>
        <v>24294994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IFERROR(__xludf.DUMMYFUNCTION("""COMPUTED_VALUE"""),93.88)</f>
        <v>93.88</v>
      </c>
      <c r="D72" s="141">
        <f ca="1">IFERROR(__xludf.DUMMYFUNCTION("""COMPUTED_VALUE"""),94.27)</f>
        <v>94.27</v>
      </c>
      <c r="E72" s="141">
        <f ca="1">IFERROR(__xludf.DUMMYFUNCTION("""COMPUTED_VALUE"""),93.86)</f>
        <v>93.86</v>
      </c>
      <c r="F72" s="141">
        <f ca="1">IFERROR(__xludf.DUMMYFUNCTION("""COMPUTED_VALUE"""),94.14)</f>
        <v>94.14</v>
      </c>
      <c r="G72" s="143">
        <f ca="1">IFERROR(__xludf.DUMMYFUNCTION("""COMPUTED_VALUE"""),17167910)</f>
        <v>17167910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IFERROR(__xludf.DUMMYFUNCTION("""COMPUTED_VALUE"""),94.54)</f>
        <v>94.54</v>
      </c>
      <c r="D73" s="141">
        <f ca="1">IFERROR(__xludf.DUMMYFUNCTION("""COMPUTED_VALUE"""),94.6)</f>
        <v>94.6</v>
      </c>
      <c r="E73" s="141">
        <f ca="1">IFERROR(__xludf.DUMMYFUNCTION("""COMPUTED_VALUE"""),93.87)</f>
        <v>93.87</v>
      </c>
      <c r="F73" s="141">
        <f ca="1">IFERROR(__xludf.DUMMYFUNCTION("""COMPUTED_VALUE"""),94.29)</f>
        <v>94.29</v>
      </c>
      <c r="G73" s="143">
        <f ca="1">IFERROR(__xludf.DUMMYFUNCTION("""COMPUTED_VALUE"""),15300541)</f>
        <v>15300541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IFERROR(__xludf.DUMMYFUNCTION("""COMPUTED_VALUE"""),94.97)</f>
        <v>94.97</v>
      </c>
      <c r="D74" s="141">
        <f ca="1">IFERROR(__xludf.DUMMYFUNCTION("""COMPUTED_VALUE"""),95.27)</f>
        <v>95.27</v>
      </c>
      <c r="E74" s="141">
        <f ca="1">IFERROR(__xludf.DUMMYFUNCTION("""COMPUTED_VALUE"""),94.85)</f>
        <v>94.85</v>
      </c>
      <c r="F74" s="141">
        <f ca="1">IFERROR(__xludf.DUMMYFUNCTION("""COMPUTED_VALUE"""),95.08)</f>
        <v>95.08</v>
      </c>
      <c r="G74" s="143">
        <f ca="1">IFERROR(__xludf.DUMMYFUNCTION("""COMPUTED_VALUE"""),13985532)</f>
        <v>13985532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IFERROR(__xludf.DUMMYFUNCTION("""COMPUTED_VALUE"""),95.25)</f>
        <v>95.25</v>
      </c>
      <c r="D75" s="141">
        <f ca="1">IFERROR(__xludf.DUMMYFUNCTION("""COMPUTED_VALUE"""),95.53)</f>
        <v>95.53</v>
      </c>
      <c r="E75" s="141">
        <f ca="1">IFERROR(__xludf.DUMMYFUNCTION("""COMPUTED_VALUE"""),95.15)</f>
        <v>95.15</v>
      </c>
      <c r="F75" s="141">
        <f ca="1">IFERROR(__xludf.DUMMYFUNCTION("""COMPUTED_VALUE"""),95.3)</f>
        <v>95.3</v>
      </c>
      <c r="G75" s="143">
        <f ca="1">IFERROR(__xludf.DUMMYFUNCTION("""COMPUTED_VALUE"""),12812709)</f>
        <v>12812709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IFERROR(__xludf.DUMMYFUNCTION("""COMPUTED_VALUE"""),94.96)</f>
        <v>94.96</v>
      </c>
      <c r="D76" s="141">
        <f ca="1">IFERROR(__xludf.DUMMYFUNCTION("""COMPUTED_VALUE"""),95.01)</f>
        <v>95.01</v>
      </c>
      <c r="E76" s="141">
        <f ca="1">IFERROR(__xludf.DUMMYFUNCTION("""COMPUTED_VALUE"""),94.43)</f>
        <v>94.43</v>
      </c>
      <c r="F76" s="141">
        <f ca="1">IFERROR(__xludf.DUMMYFUNCTION("""COMPUTED_VALUE"""),94.47)</f>
        <v>94.47</v>
      </c>
      <c r="G76" s="143">
        <f ca="1">IFERROR(__xludf.DUMMYFUNCTION("""COMPUTED_VALUE"""),9074987)</f>
        <v>9074987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IFERROR(__xludf.DUMMYFUNCTION("""COMPUTED_VALUE"""),94.79)</f>
        <v>94.79</v>
      </c>
      <c r="D77" s="141">
        <f ca="1">IFERROR(__xludf.DUMMYFUNCTION("""COMPUTED_VALUE"""),94.93)</f>
        <v>94.93</v>
      </c>
      <c r="E77" s="141">
        <f ca="1">IFERROR(__xludf.DUMMYFUNCTION("""COMPUTED_VALUE"""),94.55)</f>
        <v>94.55</v>
      </c>
      <c r="F77" s="141">
        <f ca="1">IFERROR(__xludf.DUMMYFUNCTION("""COMPUTED_VALUE"""),94.75)</f>
        <v>94.75</v>
      </c>
      <c r="G77" s="143">
        <f ca="1">IFERROR(__xludf.DUMMYFUNCTION("""COMPUTED_VALUE"""),11159395)</f>
        <v>11159395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IFERROR(__xludf.DUMMYFUNCTION("""COMPUTED_VALUE"""),94.79)</f>
        <v>94.79</v>
      </c>
      <c r="D78" s="141">
        <f ca="1">IFERROR(__xludf.DUMMYFUNCTION("""COMPUTED_VALUE"""),94.79)</f>
        <v>94.79</v>
      </c>
      <c r="E78" s="141">
        <f ca="1">IFERROR(__xludf.DUMMYFUNCTION("""COMPUTED_VALUE"""),93.74)</f>
        <v>93.74</v>
      </c>
      <c r="F78" s="141">
        <f ca="1">IFERROR(__xludf.DUMMYFUNCTION("""COMPUTED_VALUE"""),93.97)</f>
        <v>93.97</v>
      </c>
      <c r="G78" s="143">
        <f ca="1">IFERROR(__xludf.DUMMYFUNCTION("""COMPUTED_VALUE"""),10567894)</f>
        <v>10567894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IFERROR(__xludf.DUMMYFUNCTION("""COMPUTED_VALUE"""),93.69)</f>
        <v>93.69</v>
      </c>
      <c r="D79" s="141">
        <f ca="1">IFERROR(__xludf.DUMMYFUNCTION("""COMPUTED_VALUE"""),93.77)</f>
        <v>93.77</v>
      </c>
      <c r="E79" s="141">
        <f ca="1">IFERROR(__xludf.DUMMYFUNCTION("""COMPUTED_VALUE"""),92.12)</f>
        <v>92.12</v>
      </c>
      <c r="F79" s="141">
        <f ca="1">IFERROR(__xludf.DUMMYFUNCTION("""COMPUTED_VALUE"""),92.24)</f>
        <v>92.24</v>
      </c>
      <c r="G79" s="143">
        <f ca="1">IFERROR(__xludf.DUMMYFUNCTION("""COMPUTED_VALUE"""),26137180)</f>
        <v>26137180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IFERROR(__xludf.DUMMYFUNCTION("""COMPUTED_VALUE"""),92.65)</f>
        <v>92.65</v>
      </c>
      <c r="D80" s="141">
        <f ca="1">IFERROR(__xludf.DUMMYFUNCTION("""COMPUTED_VALUE"""),93.08)</f>
        <v>93.08</v>
      </c>
      <c r="E80" s="141">
        <f ca="1">IFERROR(__xludf.DUMMYFUNCTION("""COMPUTED_VALUE"""),92.53)</f>
        <v>92.53</v>
      </c>
      <c r="F80" s="141">
        <f ca="1">IFERROR(__xludf.DUMMYFUNCTION("""COMPUTED_VALUE"""),92.98)</f>
        <v>92.98</v>
      </c>
      <c r="G80" s="143">
        <f ca="1">IFERROR(__xludf.DUMMYFUNCTION("""COMPUTED_VALUE"""),11132883)</f>
        <v>11132883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IFERROR(__xludf.DUMMYFUNCTION("""COMPUTED_VALUE"""),92.45)</f>
        <v>92.45</v>
      </c>
      <c r="D81" s="141">
        <f ca="1">IFERROR(__xludf.DUMMYFUNCTION("""COMPUTED_VALUE"""),93.68)</f>
        <v>93.68</v>
      </c>
      <c r="E81" s="141">
        <f ca="1">IFERROR(__xludf.DUMMYFUNCTION("""COMPUTED_VALUE"""),92.34)</f>
        <v>92.34</v>
      </c>
      <c r="F81" s="141">
        <f ca="1">IFERROR(__xludf.DUMMYFUNCTION("""COMPUTED_VALUE"""),93.4)</f>
        <v>93.4</v>
      </c>
      <c r="G81" s="143">
        <f ca="1">IFERROR(__xludf.DUMMYFUNCTION("""COMPUTED_VALUE"""),15119002)</f>
        <v>15119002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IFERROR(__xludf.DUMMYFUNCTION("""COMPUTED_VALUE"""),93.86)</f>
        <v>93.86</v>
      </c>
      <c r="D82" s="141">
        <f ca="1">IFERROR(__xludf.DUMMYFUNCTION("""COMPUTED_VALUE"""),94.13)</f>
        <v>94.13</v>
      </c>
      <c r="E82" s="141">
        <f ca="1">IFERROR(__xludf.DUMMYFUNCTION("""COMPUTED_VALUE"""),93.32)</f>
        <v>93.32</v>
      </c>
      <c r="F82" s="141">
        <f ca="1">IFERROR(__xludf.DUMMYFUNCTION("""COMPUTED_VALUE"""),93.85)</f>
        <v>93.85</v>
      </c>
      <c r="G82" s="143">
        <f ca="1">IFERROR(__xludf.DUMMYFUNCTION("""COMPUTED_VALUE"""),15005514)</f>
        <v>15005514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IFERROR(__xludf.DUMMYFUNCTION("""COMPUTED_VALUE"""),94.42)</f>
        <v>94.42</v>
      </c>
      <c r="D83" s="141">
        <f ca="1">IFERROR(__xludf.DUMMYFUNCTION("""COMPUTED_VALUE"""),94.74)</f>
        <v>94.74</v>
      </c>
      <c r="E83" s="141">
        <f ca="1">IFERROR(__xludf.DUMMYFUNCTION("""COMPUTED_VALUE"""),94)</f>
        <v>94</v>
      </c>
      <c r="F83" s="141">
        <f ca="1">IFERROR(__xludf.DUMMYFUNCTION("""COMPUTED_VALUE"""),94.34)</f>
        <v>94.34</v>
      </c>
      <c r="G83" s="143">
        <f ca="1">IFERROR(__xludf.DUMMYFUNCTION("""COMPUTED_VALUE"""),24970280)</f>
        <v>24970280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IFERROR(__xludf.DUMMYFUNCTION("""COMPUTED_VALUE"""),94.04)</f>
        <v>94.04</v>
      </c>
      <c r="D84" s="141">
        <f ca="1">IFERROR(__xludf.DUMMYFUNCTION("""COMPUTED_VALUE"""),94.57)</f>
        <v>94.57</v>
      </c>
      <c r="E84" s="141">
        <f ca="1">IFERROR(__xludf.DUMMYFUNCTION("""COMPUTED_VALUE"""),93.92)</f>
        <v>93.92</v>
      </c>
      <c r="F84" s="141">
        <f ca="1">IFERROR(__xludf.DUMMYFUNCTION("""COMPUTED_VALUE"""),94.51)</f>
        <v>94.51</v>
      </c>
      <c r="G84" s="143">
        <f ca="1">IFERROR(__xludf.DUMMYFUNCTION("""COMPUTED_VALUE"""),16789486)</f>
        <v>16789486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IFERROR(__xludf.DUMMYFUNCTION("""COMPUTED_VALUE"""),94.95)</f>
        <v>94.95</v>
      </c>
      <c r="D85" s="141">
        <f ca="1">IFERROR(__xludf.DUMMYFUNCTION("""COMPUTED_VALUE"""),95.38)</f>
        <v>95.38</v>
      </c>
      <c r="E85" s="141">
        <f ca="1">IFERROR(__xludf.DUMMYFUNCTION("""COMPUTED_VALUE"""),94.93)</f>
        <v>94.93</v>
      </c>
      <c r="F85" s="141">
        <f ca="1">IFERROR(__xludf.DUMMYFUNCTION("""COMPUTED_VALUE"""),95.29)</f>
        <v>95.29</v>
      </c>
      <c r="G85" s="143">
        <f ca="1">IFERROR(__xludf.DUMMYFUNCTION("""COMPUTED_VALUE"""),12951059)</f>
        <v>12951059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IFERROR(__xludf.DUMMYFUNCTION("""COMPUTED_VALUE"""),94.86)</f>
        <v>94.86</v>
      </c>
      <c r="D86" s="141">
        <f ca="1">IFERROR(__xludf.DUMMYFUNCTION("""COMPUTED_VALUE"""),95)</f>
        <v>95</v>
      </c>
      <c r="E86" s="141">
        <f ca="1">IFERROR(__xludf.DUMMYFUNCTION("""COMPUTED_VALUE"""),94.55)</f>
        <v>94.55</v>
      </c>
      <c r="F86" s="141">
        <f ca="1">IFERROR(__xludf.DUMMYFUNCTION("""COMPUTED_VALUE"""),94.59)</f>
        <v>94.59</v>
      </c>
      <c r="G86" s="143">
        <f ca="1">IFERROR(__xludf.DUMMYFUNCTION("""COMPUTED_VALUE"""),16644262)</f>
        <v>16644262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IFERROR(__xludf.DUMMYFUNCTION("""COMPUTED_VALUE"""),94.6)</f>
        <v>94.6</v>
      </c>
      <c r="D87" s="141">
        <f ca="1">IFERROR(__xludf.DUMMYFUNCTION("""COMPUTED_VALUE"""),94.76)</f>
        <v>94.76</v>
      </c>
      <c r="E87" s="141">
        <f ca="1">IFERROR(__xludf.DUMMYFUNCTION("""COMPUTED_VALUE"""),94.05)</f>
        <v>94.05</v>
      </c>
      <c r="F87" s="141">
        <f ca="1">IFERROR(__xludf.DUMMYFUNCTION("""COMPUTED_VALUE"""),94.45)</f>
        <v>94.45</v>
      </c>
      <c r="G87" s="143">
        <f ca="1">IFERROR(__xludf.DUMMYFUNCTION("""COMPUTED_VALUE"""),15028680)</f>
        <v>15028680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IFERROR(__xludf.DUMMYFUNCTION("""COMPUTED_VALUE"""),94.62)</f>
        <v>94.62</v>
      </c>
      <c r="D88" s="141">
        <f ca="1">IFERROR(__xludf.DUMMYFUNCTION("""COMPUTED_VALUE"""),95)</f>
        <v>95</v>
      </c>
      <c r="E88" s="141">
        <f ca="1">IFERROR(__xludf.DUMMYFUNCTION("""COMPUTED_VALUE"""),94.62)</f>
        <v>94.62</v>
      </c>
      <c r="F88" s="141">
        <f ca="1">IFERROR(__xludf.DUMMYFUNCTION("""COMPUTED_VALUE"""),94.89)</f>
        <v>94.89</v>
      </c>
      <c r="G88" s="143">
        <f ca="1">IFERROR(__xludf.DUMMYFUNCTION("""COMPUTED_VALUE"""),10584494)</f>
        <v>10584494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IFERROR(__xludf.DUMMYFUNCTION("""COMPUTED_VALUE"""),95.08)</f>
        <v>95.08</v>
      </c>
      <c r="D89" s="141">
        <f ca="1">IFERROR(__xludf.DUMMYFUNCTION("""COMPUTED_VALUE"""),95.21)</f>
        <v>95.21</v>
      </c>
      <c r="E89" s="141">
        <f ca="1">IFERROR(__xludf.DUMMYFUNCTION("""COMPUTED_VALUE"""),94.94)</f>
        <v>94.94</v>
      </c>
      <c r="F89" s="141">
        <f ca="1">IFERROR(__xludf.DUMMYFUNCTION("""COMPUTED_VALUE"""),95.04)</f>
        <v>95.04</v>
      </c>
      <c r="G89" s="143">
        <f ca="1">IFERROR(__xludf.DUMMYFUNCTION("""COMPUTED_VALUE"""),8967861)</f>
        <v>8967861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IFERROR(__xludf.DUMMYFUNCTION("""COMPUTED_VALUE"""),95.56)</f>
        <v>95.56</v>
      </c>
      <c r="D90" s="141">
        <f ca="1">IFERROR(__xludf.DUMMYFUNCTION("""COMPUTED_VALUE"""),95.73)</f>
        <v>95.73</v>
      </c>
      <c r="E90" s="141">
        <f ca="1">IFERROR(__xludf.DUMMYFUNCTION("""COMPUTED_VALUE"""),95.48)</f>
        <v>95.48</v>
      </c>
      <c r="F90" s="141">
        <f ca="1">IFERROR(__xludf.DUMMYFUNCTION("""COMPUTED_VALUE"""),95.7)</f>
        <v>95.7</v>
      </c>
      <c r="G90" s="143">
        <f ca="1">IFERROR(__xludf.DUMMYFUNCTION("""COMPUTED_VALUE"""),10612646)</f>
        <v>10612646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IFERROR(__xludf.DUMMYFUNCTION("""COMPUTED_VALUE"""),95.63)</f>
        <v>95.63</v>
      </c>
      <c r="D91" s="141">
        <f ca="1">IFERROR(__xludf.DUMMYFUNCTION("""COMPUTED_VALUE"""),95.95)</f>
        <v>95.95</v>
      </c>
      <c r="E91" s="141">
        <f ca="1">IFERROR(__xludf.DUMMYFUNCTION("""COMPUTED_VALUE"""),95.47)</f>
        <v>95.47</v>
      </c>
      <c r="F91" s="141">
        <f ca="1">IFERROR(__xludf.DUMMYFUNCTION("""COMPUTED_VALUE"""),95.66)</f>
        <v>95.66</v>
      </c>
      <c r="G91" s="143">
        <f ca="1">IFERROR(__xludf.DUMMYFUNCTION("""COMPUTED_VALUE"""),9187623)</f>
        <v>9187623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IFERROR(__xludf.DUMMYFUNCTION("""COMPUTED_VALUE"""),95.66)</f>
        <v>95.66</v>
      </c>
      <c r="D92" s="141">
        <f ca="1">IFERROR(__xludf.DUMMYFUNCTION("""COMPUTED_VALUE"""),95.75)</f>
        <v>95.75</v>
      </c>
      <c r="E92" s="141">
        <f ca="1">IFERROR(__xludf.DUMMYFUNCTION("""COMPUTED_VALUE"""),94.65)</f>
        <v>94.65</v>
      </c>
      <c r="F92" s="141">
        <f ca="1">IFERROR(__xludf.DUMMYFUNCTION("""COMPUTED_VALUE"""),95.12)</f>
        <v>95.12</v>
      </c>
      <c r="G92" s="143">
        <f ca="1">IFERROR(__xludf.DUMMYFUNCTION("""COMPUTED_VALUE"""),17914374)</f>
        <v>17914374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IFERROR(__xludf.DUMMYFUNCTION("""COMPUTED_VALUE"""),94.57)</f>
        <v>94.57</v>
      </c>
      <c r="D93" s="141">
        <f ca="1">IFERROR(__xludf.DUMMYFUNCTION("""COMPUTED_VALUE"""),95.08)</f>
        <v>95.08</v>
      </c>
      <c r="E93" s="141">
        <f ca="1">IFERROR(__xludf.DUMMYFUNCTION("""COMPUTED_VALUE"""),94.5)</f>
        <v>94.5</v>
      </c>
      <c r="F93" s="141">
        <f ca="1">IFERROR(__xludf.DUMMYFUNCTION("""COMPUTED_VALUE"""),94.7)</f>
        <v>94.7</v>
      </c>
      <c r="G93" s="143">
        <f ca="1">IFERROR(__xludf.DUMMYFUNCTION("""COMPUTED_VALUE"""),13967840)</f>
        <v>13967840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IFERROR(__xludf.DUMMYFUNCTION("""COMPUTED_VALUE"""),94.59)</f>
        <v>94.59</v>
      </c>
      <c r="D94" s="141">
        <f ca="1">IFERROR(__xludf.DUMMYFUNCTION("""COMPUTED_VALUE"""),94.61)</f>
        <v>94.61</v>
      </c>
      <c r="E94" s="141">
        <f ca="1">IFERROR(__xludf.DUMMYFUNCTION("""COMPUTED_VALUE"""),94.13)</f>
        <v>94.13</v>
      </c>
      <c r="F94" s="141">
        <f ca="1">IFERROR(__xludf.DUMMYFUNCTION("""COMPUTED_VALUE"""),94.49)</f>
        <v>94.49</v>
      </c>
      <c r="G94" s="143">
        <f ca="1">IFERROR(__xludf.DUMMYFUNCTION("""COMPUTED_VALUE"""),19459165)</f>
        <v>19459165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IFERROR(__xludf.DUMMYFUNCTION("""COMPUTED_VALUE"""),94.56)</f>
        <v>94.56</v>
      </c>
      <c r="D95" s="141">
        <f ca="1">IFERROR(__xludf.DUMMYFUNCTION("""COMPUTED_VALUE"""),94.64)</f>
        <v>94.64</v>
      </c>
      <c r="E95" s="141">
        <f ca="1">IFERROR(__xludf.DUMMYFUNCTION("""COMPUTED_VALUE"""),94.26)</f>
        <v>94.26</v>
      </c>
      <c r="F95" s="141">
        <f ca="1">IFERROR(__xludf.DUMMYFUNCTION("""COMPUTED_VALUE"""),94.53)</f>
        <v>94.53</v>
      </c>
      <c r="G95" s="143">
        <f ca="1">IFERROR(__xludf.DUMMYFUNCTION("""COMPUTED_VALUE"""),10681370)</f>
        <v>10681370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IFERROR(__xludf.DUMMYFUNCTION("""COMPUTED_VALUE"""),93.53)</f>
        <v>93.53</v>
      </c>
      <c r="D96" s="141">
        <f ca="1">IFERROR(__xludf.DUMMYFUNCTION("""COMPUTED_VALUE"""),94.03)</f>
        <v>94.03</v>
      </c>
      <c r="E96" s="141">
        <f ca="1">IFERROR(__xludf.DUMMYFUNCTION("""COMPUTED_VALUE"""),93.45)</f>
        <v>93.45</v>
      </c>
      <c r="F96" s="141">
        <f ca="1">IFERROR(__xludf.DUMMYFUNCTION("""COMPUTED_VALUE"""),93.56)</f>
        <v>93.56</v>
      </c>
      <c r="G96" s="143">
        <f ca="1">IFERROR(__xludf.DUMMYFUNCTION("""COMPUTED_VALUE"""),10349018)</f>
        <v>10349018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IFERROR(__xludf.DUMMYFUNCTION("""COMPUTED_VALUE"""),93.68)</f>
        <v>93.68</v>
      </c>
      <c r="D97" s="141">
        <f ca="1">IFERROR(__xludf.DUMMYFUNCTION("""COMPUTED_VALUE"""),94.32)</f>
        <v>94.32</v>
      </c>
      <c r="E97" s="141">
        <f ca="1">IFERROR(__xludf.DUMMYFUNCTION("""COMPUTED_VALUE"""),93.67)</f>
        <v>93.67</v>
      </c>
      <c r="F97" s="141">
        <f ca="1">IFERROR(__xludf.DUMMYFUNCTION("""COMPUTED_VALUE"""),94.16)</f>
        <v>94.16</v>
      </c>
      <c r="G97" s="143">
        <f ca="1">IFERROR(__xludf.DUMMYFUNCTION("""COMPUTED_VALUE"""),12451335)</f>
        <v>12451335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IFERROR(__xludf.DUMMYFUNCTION("""COMPUTED_VALUE"""),94.27)</f>
        <v>94.27</v>
      </c>
      <c r="D98" s="141">
        <f ca="1">IFERROR(__xludf.DUMMYFUNCTION("""COMPUTED_VALUE"""),94.36)</f>
        <v>94.36</v>
      </c>
      <c r="E98" s="141">
        <f ca="1">IFERROR(__xludf.DUMMYFUNCTION("""COMPUTED_VALUE"""),93.71)</f>
        <v>93.71</v>
      </c>
      <c r="F98" s="141">
        <f ca="1">IFERROR(__xludf.DUMMYFUNCTION("""COMPUTED_VALUE"""),93.95)</f>
        <v>93.95</v>
      </c>
      <c r="G98" s="143">
        <f ca="1">IFERROR(__xludf.DUMMYFUNCTION("""COMPUTED_VALUE"""),16175998)</f>
        <v>16175998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IFERROR(__xludf.DUMMYFUNCTION("""COMPUTED_VALUE"""),93.57)</f>
        <v>93.57</v>
      </c>
      <c r="D99" s="141">
        <f ca="1">IFERROR(__xludf.DUMMYFUNCTION("""COMPUTED_VALUE"""),94.32)</f>
        <v>94.32</v>
      </c>
      <c r="E99" s="141">
        <f ca="1">IFERROR(__xludf.DUMMYFUNCTION("""COMPUTED_VALUE"""),93.34)</f>
        <v>93.34</v>
      </c>
      <c r="F99" s="141">
        <f ca="1">IFERROR(__xludf.DUMMYFUNCTION("""COMPUTED_VALUE"""),94.3)</f>
        <v>94.3</v>
      </c>
      <c r="G99" s="143">
        <f ca="1">IFERROR(__xludf.DUMMYFUNCTION("""COMPUTED_VALUE"""),13976941)</f>
        <v>13976941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IFERROR(__xludf.DUMMYFUNCTION("""COMPUTED_VALUE"""),94.86)</f>
        <v>94.86</v>
      </c>
      <c r="D100" s="141">
        <f ca="1">IFERROR(__xludf.DUMMYFUNCTION("""COMPUTED_VALUE"""),95.35)</f>
        <v>95.35</v>
      </c>
      <c r="E100" s="141">
        <f ca="1">IFERROR(__xludf.DUMMYFUNCTION("""COMPUTED_VALUE"""),94.59)</f>
        <v>94.59</v>
      </c>
      <c r="F100" s="141">
        <f ca="1">IFERROR(__xludf.DUMMYFUNCTION("""COMPUTED_VALUE"""),95.29)</f>
        <v>95.29</v>
      </c>
      <c r="G100" s="143">
        <f ca="1">IFERROR(__xludf.DUMMYFUNCTION("""COMPUTED_VALUE"""),15682792)</f>
        <v>15682792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IFERROR(__xludf.DUMMYFUNCTION("""COMPUTED_VALUE"""),95.67)</f>
        <v>95.67</v>
      </c>
      <c r="D101" s="141">
        <f ca="1">IFERROR(__xludf.DUMMYFUNCTION("""COMPUTED_VALUE"""),96.14)</f>
        <v>96.14</v>
      </c>
      <c r="E101" s="141">
        <f ca="1">IFERROR(__xludf.DUMMYFUNCTION("""COMPUTED_VALUE"""),95.67)</f>
        <v>95.67</v>
      </c>
      <c r="F101" s="141">
        <f ca="1">IFERROR(__xludf.DUMMYFUNCTION("""COMPUTED_VALUE"""),95.99)</f>
        <v>95.99</v>
      </c>
      <c r="G101" s="143">
        <f ca="1">IFERROR(__xludf.DUMMYFUNCTION("""COMPUTED_VALUE"""),12959431)</f>
        <v>12959431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IFERROR(__xludf.DUMMYFUNCTION("""COMPUTED_VALUE"""),96.31)</f>
        <v>96.31</v>
      </c>
      <c r="D102" s="141">
        <f ca="1">IFERROR(__xludf.DUMMYFUNCTION("""COMPUTED_VALUE"""),96.69)</f>
        <v>96.69</v>
      </c>
      <c r="E102" s="141">
        <f ca="1">IFERROR(__xludf.DUMMYFUNCTION("""COMPUTED_VALUE"""),96.31)</f>
        <v>96.31</v>
      </c>
      <c r="F102" s="141">
        <f ca="1">IFERROR(__xludf.DUMMYFUNCTION("""COMPUTED_VALUE"""),96.56)</f>
        <v>96.56</v>
      </c>
      <c r="G102" s="143">
        <f ca="1">IFERROR(__xludf.DUMMYFUNCTION("""COMPUTED_VALUE"""),9532343)</f>
        <v>9532343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IFERROR(__xludf.DUMMYFUNCTION("""COMPUTED_VALUE"""),96.35)</f>
        <v>96.35</v>
      </c>
      <c r="D103" s="141">
        <f ca="1">IFERROR(__xludf.DUMMYFUNCTION("""COMPUTED_VALUE"""),96.46)</f>
        <v>96.46</v>
      </c>
      <c r="E103" s="141">
        <f ca="1">IFERROR(__xludf.DUMMYFUNCTION("""COMPUTED_VALUE"""),95.43)</f>
        <v>95.43</v>
      </c>
      <c r="F103" s="141">
        <f ca="1">IFERROR(__xludf.DUMMYFUNCTION("""COMPUTED_VALUE"""),95.53)</f>
        <v>95.53</v>
      </c>
      <c r="G103" s="143">
        <f ca="1">IFERROR(__xludf.DUMMYFUNCTION("""COMPUTED_VALUE"""),15864780)</f>
        <v>15864780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IFERROR(__xludf.DUMMYFUNCTION("""COMPUTED_VALUE"""),94.88)</f>
        <v>94.88</v>
      </c>
      <c r="D104" s="141">
        <f ca="1">IFERROR(__xludf.DUMMYFUNCTION("""COMPUTED_VALUE"""),95.53)</f>
        <v>95.53</v>
      </c>
      <c r="E104" s="141">
        <f ca="1">IFERROR(__xludf.DUMMYFUNCTION("""COMPUTED_VALUE"""),94.78)</f>
        <v>94.78</v>
      </c>
      <c r="F104" s="141">
        <f ca="1">IFERROR(__xludf.DUMMYFUNCTION("""COMPUTED_VALUE"""),95.26)</f>
        <v>95.26</v>
      </c>
      <c r="G104" s="143">
        <f ca="1">IFERROR(__xludf.DUMMYFUNCTION("""COMPUTED_VALUE"""),17396354)</f>
        <v>17396354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IFERROR(__xludf.DUMMYFUNCTION("""COMPUTED_VALUE"""),94.6)</f>
        <v>94.6</v>
      </c>
      <c r="D105" s="141">
        <f ca="1">IFERROR(__xludf.DUMMYFUNCTION("""COMPUTED_VALUE"""),94.88)</f>
        <v>94.88</v>
      </c>
      <c r="E105" s="141">
        <f ca="1">IFERROR(__xludf.DUMMYFUNCTION("""COMPUTED_VALUE"""),93.68)</f>
        <v>93.68</v>
      </c>
      <c r="F105" s="141">
        <f ca="1">IFERROR(__xludf.DUMMYFUNCTION("""COMPUTED_VALUE"""),94.02)</f>
        <v>94.02</v>
      </c>
      <c r="G105" s="143">
        <f ca="1">IFERROR(__xludf.DUMMYFUNCTION("""COMPUTED_VALUE"""),18850876)</f>
        <v>18850876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IFERROR(__xludf.DUMMYFUNCTION("""COMPUTED_VALUE"""),92.81)</f>
        <v>92.81</v>
      </c>
      <c r="D106" s="141">
        <f ca="1">IFERROR(__xludf.DUMMYFUNCTION("""COMPUTED_VALUE"""),93.15)</f>
        <v>93.15</v>
      </c>
      <c r="E106" s="141">
        <f ca="1">IFERROR(__xludf.DUMMYFUNCTION("""COMPUTED_VALUE"""),92.3)</f>
        <v>92.3</v>
      </c>
      <c r="F106" s="141">
        <f ca="1">IFERROR(__xludf.DUMMYFUNCTION("""COMPUTED_VALUE"""),92.8)</f>
        <v>92.8</v>
      </c>
      <c r="G106" s="143">
        <f ca="1">IFERROR(__xludf.DUMMYFUNCTION("""COMPUTED_VALUE"""),22482259)</f>
        <v>22482259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IFERROR(__xludf.DUMMYFUNCTION("""COMPUTED_VALUE"""),92.71)</f>
        <v>92.71</v>
      </c>
      <c r="D107" s="141">
        <f ca="1">IFERROR(__xludf.DUMMYFUNCTION("""COMPUTED_VALUE"""),93.07)</f>
        <v>93.07</v>
      </c>
      <c r="E107" s="141">
        <f ca="1">IFERROR(__xludf.DUMMYFUNCTION("""COMPUTED_VALUE"""),92.14)</f>
        <v>92.14</v>
      </c>
      <c r="F107" s="141">
        <f ca="1">IFERROR(__xludf.DUMMYFUNCTION("""COMPUTED_VALUE"""),92.52)</f>
        <v>92.52</v>
      </c>
      <c r="G107" s="143">
        <f ca="1">IFERROR(__xludf.DUMMYFUNCTION("""COMPUTED_VALUE"""),15425364)</f>
        <v>15425364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IFERROR(__xludf.DUMMYFUNCTION("""COMPUTED_VALUE"""),93.13)</f>
        <v>93.13</v>
      </c>
      <c r="D108" s="141">
        <f ca="1">IFERROR(__xludf.DUMMYFUNCTION("""COMPUTED_VALUE"""),93.25)</f>
        <v>93.25</v>
      </c>
      <c r="E108" s="141">
        <f ca="1">IFERROR(__xludf.DUMMYFUNCTION("""COMPUTED_VALUE"""),91.21)</f>
        <v>91.21</v>
      </c>
      <c r="F108" s="141">
        <f ca="1">IFERROR(__xludf.DUMMYFUNCTION("""COMPUTED_VALUE"""),91.24)</f>
        <v>91.24</v>
      </c>
      <c r="G108" s="143">
        <f ca="1">IFERROR(__xludf.DUMMYFUNCTION("""COMPUTED_VALUE"""),26720920)</f>
        <v>26720920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IFERROR(__xludf.DUMMYFUNCTION("""COMPUTED_VALUE"""),92.1)</f>
        <v>92.1</v>
      </c>
      <c r="D109" s="141">
        <f ca="1">IFERROR(__xludf.DUMMYFUNCTION("""COMPUTED_VALUE"""),92.9)</f>
        <v>92.9</v>
      </c>
      <c r="E109" s="141">
        <f ca="1">IFERROR(__xludf.DUMMYFUNCTION("""COMPUTED_VALUE"""),91.76)</f>
        <v>91.76</v>
      </c>
      <c r="F109" s="141">
        <f ca="1">IFERROR(__xludf.DUMMYFUNCTION("""COMPUTED_VALUE"""),92.65)</f>
        <v>92.65</v>
      </c>
      <c r="G109" s="143">
        <f ca="1">IFERROR(__xludf.DUMMYFUNCTION("""COMPUTED_VALUE"""),27211439)</f>
        <v>27211439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IFERROR(__xludf.DUMMYFUNCTION("""COMPUTED_VALUE"""),92.45)</f>
        <v>92.45</v>
      </c>
      <c r="D110" s="141">
        <f ca="1">IFERROR(__xludf.DUMMYFUNCTION("""COMPUTED_VALUE"""),92.88)</f>
        <v>92.88</v>
      </c>
      <c r="E110" s="141">
        <f ca="1">IFERROR(__xludf.DUMMYFUNCTION("""COMPUTED_VALUE"""),92.34)</f>
        <v>92.34</v>
      </c>
      <c r="F110" s="141">
        <f ca="1">IFERROR(__xludf.DUMMYFUNCTION("""COMPUTED_VALUE"""),92.73)</f>
        <v>92.73</v>
      </c>
      <c r="G110" s="143">
        <f ca="1">IFERROR(__xludf.DUMMYFUNCTION("""COMPUTED_VALUE"""),18550865)</f>
        <v>18550865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IFERROR(__xludf.DUMMYFUNCTION("""COMPUTED_VALUE"""),93.13)</f>
        <v>93.13</v>
      </c>
      <c r="D111" s="141">
        <f ca="1">IFERROR(__xludf.DUMMYFUNCTION("""COMPUTED_VALUE"""),93.88)</f>
        <v>93.88</v>
      </c>
      <c r="E111" s="141">
        <f ca="1">IFERROR(__xludf.DUMMYFUNCTION("""COMPUTED_VALUE"""),92.89)</f>
        <v>92.89</v>
      </c>
      <c r="F111" s="141">
        <f ca="1">IFERROR(__xludf.DUMMYFUNCTION("""COMPUTED_VALUE"""),93.84)</f>
        <v>93.84</v>
      </c>
      <c r="G111" s="143">
        <f ca="1">IFERROR(__xludf.DUMMYFUNCTION("""COMPUTED_VALUE"""),19903831)</f>
        <v>19903831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IFERROR(__xludf.DUMMYFUNCTION("""COMPUTED_VALUE"""),94.26)</f>
        <v>94.26</v>
      </c>
      <c r="D112" s="141">
        <f ca="1">IFERROR(__xludf.DUMMYFUNCTION("""COMPUTED_VALUE"""),95.01)</f>
        <v>95.01</v>
      </c>
      <c r="E112" s="141">
        <f ca="1">IFERROR(__xludf.DUMMYFUNCTION("""COMPUTED_VALUE"""),94.23)</f>
        <v>94.23</v>
      </c>
      <c r="F112" s="141">
        <f ca="1">IFERROR(__xludf.DUMMYFUNCTION("""COMPUTED_VALUE"""),94.87)</f>
        <v>94.87</v>
      </c>
      <c r="G112" s="143">
        <f ca="1">IFERROR(__xludf.DUMMYFUNCTION("""COMPUTED_VALUE"""),13481192)</f>
        <v>13481192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IFERROR(__xludf.DUMMYFUNCTION("""COMPUTED_VALUE"""),94.84)</f>
        <v>94.84</v>
      </c>
      <c r="D113" s="141">
        <f ca="1">IFERROR(__xludf.DUMMYFUNCTION("""COMPUTED_VALUE"""),95.22)</f>
        <v>95.22</v>
      </c>
      <c r="E113" s="141">
        <f ca="1">IFERROR(__xludf.DUMMYFUNCTION("""COMPUTED_VALUE"""),94.74)</f>
        <v>94.74</v>
      </c>
      <c r="F113" s="141">
        <f ca="1">IFERROR(__xludf.DUMMYFUNCTION("""COMPUTED_VALUE"""),95.19)</f>
        <v>95.19</v>
      </c>
      <c r="G113" s="143">
        <f ca="1">IFERROR(__xludf.DUMMYFUNCTION("""COMPUTED_VALUE"""),8136033)</f>
        <v>8136033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IFERROR(__xludf.DUMMYFUNCTION("""COMPUTED_VALUE"""),94.92)</f>
        <v>94.92</v>
      </c>
      <c r="D114" s="141">
        <f ca="1">IFERROR(__xludf.DUMMYFUNCTION("""COMPUTED_VALUE"""),95.15)</f>
        <v>95.15</v>
      </c>
      <c r="E114" s="141">
        <f ca="1">IFERROR(__xludf.DUMMYFUNCTION("""COMPUTED_VALUE"""),94.69)</f>
        <v>94.69</v>
      </c>
      <c r="F114" s="141">
        <f ca="1">IFERROR(__xludf.DUMMYFUNCTION("""COMPUTED_VALUE"""),94.72)</f>
        <v>94.72</v>
      </c>
      <c r="G114" s="143">
        <f ca="1">IFERROR(__xludf.DUMMYFUNCTION("""COMPUTED_VALUE"""),21791503)</f>
        <v>21791503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IFERROR(__xludf.DUMMYFUNCTION("""COMPUTED_VALUE"""),95.08)</f>
        <v>95.08</v>
      </c>
      <c r="D115" s="141">
        <f ca="1">IFERROR(__xludf.DUMMYFUNCTION("""COMPUTED_VALUE"""),95.13)</f>
        <v>95.13</v>
      </c>
      <c r="E115" s="141">
        <f ca="1">IFERROR(__xludf.DUMMYFUNCTION("""COMPUTED_VALUE"""),94.75)</f>
        <v>94.75</v>
      </c>
      <c r="F115" s="141">
        <f ca="1">IFERROR(__xludf.DUMMYFUNCTION("""COMPUTED_VALUE"""),95.04)</f>
        <v>95.04</v>
      </c>
      <c r="G115" s="143">
        <f ca="1">IFERROR(__xludf.DUMMYFUNCTION("""COMPUTED_VALUE"""),14267613)</f>
        <v>14267613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IFERROR(__xludf.DUMMYFUNCTION("""COMPUTED_VALUE"""),95.12)</f>
        <v>95.12</v>
      </c>
      <c r="D116" s="141">
        <f ca="1">IFERROR(__xludf.DUMMYFUNCTION("""COMPUTED_VALUE"""),95.59)</f>
        <v>95.59</v>
      </c>
      <c r="E116" s="141">
        <f ca="1">IFERROR(__xludf.DUMMYFUNCTION("""COMPUTED_VALUE"""),95.1)</f>
        <v>95.1</v>
      </c>
      <c r="F116" s="141">
        <f ca="1">IFERROR(__xludf.DUMMYFUNCTION("""COMPUTED_VALUE"""),95.55)</f>
        <v>95.55</v>
      </c>
      <c r="G116" s="143">
        <f ca="1">IFERROR(__xludf.DUMMYFUNCTION("""COMPUTED_VALUE"""),14439837)</f>
        <v>14439837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IFERROR(__xludf.DUMMYFUNCTION("""COMPUTED_VALUE"""),96.08)</f>
        <v>96.08</v>
      </c>
      <c r="D117" s="141">
        <f ca="1">IFERROR(__xludf.DUMMYFUNCTION("""COMPUTED_VALUE"""),96.18)</f>
        <v>96.18</v>
      </c>
      <c r="E117" s="141">
        <f ca="1">IFERROR(__xludf.DUMMYFUNCTION("""COMPUTED_VALUE"""),95.65)</f>
        <v>95.65</v>
      </c>
      <c r="F117" s="141">
        <f ca="1">IFERROR(__xludf.DUMMYFUNCTION("""COMPUTED_VALUE"""),95.81)</f>
        <v>95.81</v>
      </c>
      <c r="G117" s="143">
        <f ca="1">IFERROR(__xludf.DUMMYFUNCTION("""COMPUTED_VALUE"""),13862949)</f>
        <v>13862949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IFERROR(__xludf.DUMMYFUNCTION("""COMPUTED_VALUE"""),96.1)</f>
        <v>96.1</v>
      </c>
      <c r="D118" s="141">
        <f ca="1">IFERROR(__xludf.DUMMYFUNCTION("""COMPUTED_VALUE"""),96.23)</f>
        <v>96.23</v>
      </c>
      <c r="E118" s="141">
        <f ca="1">IFERROR(__xludf.DUMMYFUNCTION("""COMPUTED_VALUE"""),95.64)</f>
        <v>95.64</v>
      </c>
      <c r="F118" s="141">
        <f ca="1">IFERROR(__xludf.DUMMYFUNCTION("""COMPUTED_VALUE"""),95.81)</f>
        <v>95.81</v>
      </c>
      <c r="G118" s="143">
        <f ca="1">IFERROR(__xludf.DUMMYFUNCTION("""COMPUTED_VALUE"""),15829874)</f>
        <v>15829874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IFERROR(__xludf.DUMMYFUNCTION("""COMPUTED_VALUE"""),95.82)</f>
        <v>95.82</v>
      </c>
      <c r="D119" s="141">
        <f ca="1">IFERROR(__xludf.DUMMYFUNCTION("""COMPUTED_VALUE"""),95.82)</f>
        <v>95.82</v>
      </c>
      <c r="E119" s="141">
        <f ca="1">IFERROR(__xludf.DUMMYFUNCTION("""COMPUTED_VALUE"""),95.36)</f>
        <v>95.36</v>
      </c>
      <c r="F119" s="141">
        <f ca="1">IFERROR(__xludf.DUMMYFUNCTION("""COMPUTED_VALUE"""),95.51)</f>
        <v>95.51</v>
      </c>
      <c r="G119" s="143">
        <f ca="1">IFERROR(__xludf.DUMMYFUNCTION("""COMPUTED_VALUE"""),13589164)</f>
        <v>13589164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IFERROR(__xludf.DUMMYFUNCTION("""COMPUTED_VALUE"""),95.6)</f>
        <v>95.6</v>
      </c>
      <c r="D120" s="141">
        <f ca="1">IFERROR(__xludf.DUMMYFUNCTION("""COMPUTED_VALUE"""),95.83)</f>
        <v>95.83</v>
      </c>
      <c r="E120" s="141">
        <f ca="1">IFERROR(__xludf.DUMMYFUNCTION("""COMPUTED_VALUE"""),95.36)</f>
        <v>95.36</v>
      </c>
      <c r="F120" s="141">
        <f ca="1">IFERROR(__xludf.DUMMYFUNCTION("""COMPUTED_VALUE"""),95.38)</f>
        <v>95.38</v>
      </c>
      <c r="G120" s="143">
        <f ca="1">IFERROR(__xludf.DUMMYFUNCTION("""COMPUTED_VALUE"""),15966762)</f>
        <v>15966762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IFERROR(__xludf.DUMMYFUNCTION("""COMPUTED_VALUE"""),95.56)</f>
        <v>95.56</v>
      </c>
      <c r="D121" s="141">
        <f ca="1">IFERROR(__xludf.DUMMYFUNCTION("""COMPUTED_VALUE"""),96.6)</f>
        <v>96.6</v>
      </c>
      <c r="E121" s="141">
        <f ca="1">IFERROR(__xludf.DUMMYFUNCTION("""COMPUTED_VALUE"""),95.5)</f>
        <v>95.5</v>
      </c>
      <c r="F121" s="141">
        <f ca="1">IFERROR(__xludf.DUMMYFUNCTION("""COMPUTED_VALUE"""),96.44)</f>
        <v>96.44</v>
      </c>
      <c r="G121" s="143">
        <f ca="1">IFERROR(__xludf.DUMMYFUNCTION("""COMPUTED_VALUE"""),21171779)</f>
        <v>21171779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IFERROR(__xludf.DUMMYFUNCTION("""COMPUTED_VALUE"""),96.72)</f>
        <v>96.72</v>
      </c>
      <c r="D122" s="141">
        <f ca="1">IFERROR(__xludf.DUMMYFUNCTION("""COMPUTED_VALUE"""),97.15)</f>
        <v>97.15</v>
      </c>
      <c r="E122" s="141">
        <f ca="1">IFERROR(__xludf.DUMMYFUNCTION("""COMPUTED_VALUE"""),96.63)</f>
        <v>96.63</v>
      </c>
      <c r="F122" s="141">
        <f ca="1">IFERROR(__xludf.DUMMYFUNCTION("""COMPUTED_VALUE"""),97.01)</f>
        <v>97.01</v>
      </c>
      <c r="G122" s="143">
        <f ca="1">IFERROR(__xludf.DUMMYFUNCTION("""COMPUTED_VALUE"""),19221697)</f>
        <v>19221697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IFERROR(__xludf.DUMMYFUNCTION("""COMPUTED_VALUE"""),97.06)</f>
        <v>97.06</v>
      </c>
      <c r="D123" s="141">
        <f ca="1">IFERROR(__xludf.DUMMYFUNCTION("""COMPUTED_VALUE"""),97.18)</f>
        <v>97.18</v>
      </c>
      <c r="E123" s="141">
        <f ca="1">IFERROR(__xludf.DUMMYFUNCTION("""COMPUTED_VALUE"""),96.15)</f>
        <v>96.15</v>
      </c>
      <c r="F123" s="141">
        <f ca="1">IFERROR(__xludf.DUMMYFUNCTION("""COMPUTED_VALUE"""),96.5)</f>
        <v>96.5</v>
      </c>
      <c r="G123" s="143">
        <f ca="1">IFERROR(__xludf.DUMMYFUNCTION("""COMPUTED_VALUE"""),20514863)</f>
        <v>20514863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IFERROR(__xludf.DUMMYFUNCTION("""COMPUTED_VALUE"""),97.31)</f>
        <v>97.31</v>
      </c>
      <c r="D124" s="141">
        <f ca="1">IFERROR(__xludf.DUMMYFUNCTION("""COMPUTED_VALUE"""),97.42)</f>
        <v>97.42</v>
      </c>
      <c r="E124" s="141">
        <f ca="1">IFERROR(__xludf.DUMMYFUNCTION("""COMPUTED_VALUE"""),96.87)</f>
        <v>96.87</v>
      </c>
      <c r="F124" s="141">
        <f ca="1">IFERROR(__xludf.DUMMYFUNCTION("""COMPUTED_VALUE"""),97.09)</f>
        <v>97.09</v>
      </c>
      <c r="G124" s="143">
        <f ca="1">IFERROR(__xludf.DUMMYFUNCTION("""COMPUTED_VALUE"""),22751908)</f>
        <v>22751908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IFERROR(__xludf.DUMMYFUNCTION("""COMPUTED_VALUE"""),95.14)</f>
        <v>95.14</v>
      </c>
      <c r="D125" s="141">
        <f ca="1">IFERROR(__xludf.DUMMYFUNCTION("""COMPUTED_VALUE"""),95.23)</f>
        <v>95.23</v>
      </c>
      <c r="E125" s="141">
        <f ca="1">IFERROR(__xludf.DUMMYFUNCTION("""COMPUTED_VALUE"""),94.6)</f>
        <v>94.6</v>
      </c>
      <c r="F125" s="141">
        <f ca="1">IFERROR(__xludf.DUMMYFUNCTION("""COMPUTED_VALUE"""),94.92)</f>
        <v>94.92</v>
      </c>
      <c r="G125" s="143">
        <f ca="1">IFERROR(__xludf.DUMMYFUNCTION("""COMPUTED_VALUE"""),29380526)</f>
        <v>29380526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IFERROR(__xludf.DUMMYFUNCTION("""COMPUTED_VALUE"""),94.73)</f>
        <v>94.73</v>
      </c>
      <c r="D126" s="141">
        <f ca="1">IFERROR(__xludf.DUMMYFUNCTION("""COMPUTED_VALUE"""),94.95)</f>
        <v>94.95</v>
      </c>
      <c r="E126" s="141">
        <f ca="1">IFERROR(__xludf.DUMMYFUNCTION("""COMPUTED_VALUE"""),94.13)</f>
        <v>94.13</v>
      </c>
      <c r="F126" s="141">
        <f ca="1">IFERROR(__xludf.DUMMYFUNCTION("""COMPUTED_VALUE"""),94.15)</f>
        <v>94.15</v>
      </c>
      <c r="G126" s="143">
        <f ca="1">IFERROR(__xludf.DUMMYFUNCTION("""COMPUTED_VALUE"""),34926072)</f>
        <v>34926072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IFERROR(__xludf.DUMMYFUNCTION("""COMPUTED_VALUE"""),94.95)</f>
        <v>94.95</v>
      </c>
      <c r="D127" s="141">
        <f ca="1">IFERROR(__xludf.DUMMYFUNCTION("""COMPUTED_VALUE"""),95.31)</f>
        <v>95.31</v>
      </c>
      <c r="E127" s="141">
        <f ca="1">IFERROR(__xludf.DUMMYFUNCTION("""COMPUTED_VALUE"""),94.58)</f>
        <v>94.58</v>
      </c>
      <c r="F127" s="141">
        <f ca="1">IFERROR(__xludf.DUMMYFUNCTION("""COMPUTED_VALUE"""),94.82)</f>
        <v>94.82</v>
      </c>
      <c r="G127" s="143">
        <f ca="1">IFERROR(__xludf.DUMMYFUNCTION("""COMPUTED_VALUE"""),29971362)</f>
        <v>29971362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IFERROR(__xludf.DUMMYFUNCTION("""COMPUTED_VALUE"""),95.26)</f>
        <v>95.26</v>
      </c>
      <c r="D128" s="141">
        <f ca="1">IFERROR(__xludf.DUMMYFUNCTION("""COMPUTED_VALUE"""),95.73)</f>
        <v>95.73</v>
      </c>
      <c r="E128" s="141">
        <f ca="1">IFERROR(__xludf.DUMMYFUNCTION("""COMPUTED_VALUE"""),95.21)</f>
        <v>95.21</v>
      </c>
      <c r="F128" s="141">
        <f ca="1">IFERROR(__xludf.DUMMYFUNCTION("""COMPUTED_VALUE"""),95.46)</f>
        <v>95.46</v>
      </c>
      <c r="G128" s="143">
        <f ca="1">IFERROR(__xludf.DUMMYFUNCTION("""COMPUTED_VALUE"""),31094759)</f>
        <v>31094759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IFERROR(__xludf.DUMMYFUNCTION("""COMPUTED_VALUE"""),95.47)</f>
        <v>95.47</v>
      </c>
      <c r="D129" s="141">
        <f ca="1">IFERROR(__xludf.DUMMYFUNCTION("""COMPUTED_VALUE"""),95.76)</f>
        <v>95.76</v>
      </c>
      <c r="E129" s="141">
        <f ca="1">IFERROR(__xludf.DUMMYFUNCTION("""COMPUTED_VALUE"""),95.4)</f>
        <v>95.4</v>
      </c>
      <c r="F129" s="141">
        <f ca="1">IFERROR(__xludf.DUMMYFUNCTION("""COMPUTED_VALUE"""),95.7)</f>
        <v>95.7</v>
      </c>
      <c r="G129" s="143">
        <f ca="1">IFERROR(__xludf.DUMMYFUNCTION("""COMPUTED_VALUE"""),15861192)</f>
        <v>15861192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IFERROR(__xludf.DUMMYFUNCTION("""COMPUTED_VALUE"""),96.28)</f>
        <v>96.28</v>
      </c>
      <c r="D130" s="141">
        <f ca="1">IFERROR(__xludf.DUMMYFUNCTION("""COMPUTED_VALUE"""),96.44)</f>
        <v>96.44</v>
      </c>
      <c r="E130" s="141">
        <f ca="1">IFERROR(__xludf.DUMMYFUNCTION("""COMPUTED_VALUE"""),96.17)</f>
        <v>96.17</v>
      </c>
      <c r="F130" s="141">
        <f ca="1">IFERROR(__xludf.DUMMYFUNCTION("""COMPUTED_VALUE"""),96.29)</f>
        <v>96.29</v>
      </c>
      <c r="G130" s="143">
        <f ca="1">IFERROR(__xludf.DUMMYFUNCTION("""COMPUTED_VALUE"""),16485891)</f>
        <v>16485891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IFERROR(__xludf.DUMMYFUNCTION("""COMPUTED_VALUE"""),96.33)</f>
        <v>96.33</v>
      </c>
      <c r="D131" s="141">
        <f ca="1">IFERROR(__xludf.DUMMYFUNCTION("""COMPUTED_VALUE"""),96.46)</f>
        <v>96.46</v>
      </c>
      <c r="E131" s="141">
        <f ca="1">IFERROR(__xludf.DUMMYFUNCTION("""COMPUTED_VALUE"""),96.19)</f>
        <v>96.19</v>
      </c>
      <c r="F131" s="141">
        <f ca="1">IFERROR(__xludf.DUMMYFUNCTION("""COMPUTED_VALUE"""),96.41)</f>
        <v>96.41</v>
      </c>
      <c r="G131" s="143">
        <f ca="1">IFERROR(__xludf.DUMMYFUNCTION("""COMPUTED_VALUE"""),5609693)</f>
        <v>5609693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IFERROR(__xludf.DUMMYFUNCTION("""COMPUTED_VALUE"""),96.53)</f>
        <v>96.53</v>
      </c>
      <c r="D132" s="141">
        <f ca="1">IFERROR(__xludf.DUMMYFUNCTION("""COMPUTED_VALUE"""),96.6)</f>
        <v>96.6</v>
      </c>
      <c r="E132" s="141">
        <f ca="1">IFERROR(__xludf.DUMMYFUNCTION("""COMPUTED_VALUE"""),96.34)</f>
        <v>96.34</v>
      </c>
      <c r="F132" s="141">
        <f ca="1">IFERROR(__xludf.DUMMYFUNCTION("""COMPUTED_VALUE"""),96.57)</f>
        <v>96.57</v>
      </c>
      <c r="G132" s="143">
        <f ca="1">IFERROR(__xludf.DUMMYFUNCTION("""COMPUTED_VALUE"""),9304222)</f>
        <v>9304222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IFERROR(__xludf.DUMMYFUNCTION("""COMPUTED_VALUE"""),96.26)</f>
        <v>96.26</v>
      </c>
      <c r="D133" s="141">
        <f ca="1">IFERROR(__xludf.DUMMYFUNCTION("""COMPUTED_VALUE"""),96.47)</f>
        <v>96.47</v>
      </c>
      <c r="E133" s="141">
        <f ca="1">IFERROR(__xludf.DUMMYFUNCTION("""COMPUTED_VALUE"""),96.06)</f>
        <v>96.06</v>
      </c>
      <c r="F133" s="141">
        <f ca="1">IFERROR(__xludf.DUMMYFUNCTION("""COMPUTED_VALUE"""),96.28)</f>
        <v>96.28</v>
      </c>
      <c r="G133" s="143">
        <f ca="1">IFERROR(__xludf.DUMMYFUNCTION("""COMPUTED_VALUE"""),16705457)</f>
        <v>16705457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IFERROR(__xludf.DUMMYFUNCTION("""COMPUTED_VALUE"""),96.63)</f>
        <v>96.63</v>
      </c>
      <c r="D134" s="141">
        <f ca="1">IFERROR(__xludf.DUMMYFUNCTION("""COMPUTED_VALUE"""),96.8)</f>
        <v>96.8</v>
      </c>
      <c r="E134" s="141">
        <f ca="1">IFERROR(__xludf.DUMMYFUNCTION("""COMPUTED_VALUE"""),96.42)</f>
        <v>96.42</v>
      </c>
      <c r="F134" s="141">
        <f ca="1">IFERROR(__xludf.DUMMYFUNCTION("""COMPUTED_VALUE"""),96.44)</f>
        <v>96.44</v>
      </c>
      <c r="G134" s="143">
        <f ca="1">IFERROR(__xludf.DUMMYFUNCTION("""COMPUTED_VALUE"""),15876987)</f>
        <v>15876987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IFERROR(__xludf.DUMMYFUNCTION("""COMPUTED_VALUE"""),96.33)</f>
        <v>96.33</v>
      </c>
      <c r="D135" s="141">
        <f ca="1">IFERROR(__xludf.DUMMYFUNCTION("""COMPUTED_VALUE"""),96.39)</f>
        <v>96.39</v>
      </c>
      <c r="E135" s="141">
        <f ca="1">IFERROR(__xludf.DUMMYFUNCTION("""COMPUTED_VALUE"""),95.92)</f>
        <v>95.92</v>
      </c>
      <c r="F135" s="141">
        <f ca="1">IFERROR(__xludf.DUMMYFUNCTION("""COMPUTED_VALUE"""),96.03)</f>
        <v>96.03</v>
      </c>
      <c r="G135" s="143">
        <f ca="1">IFERROR(__xludf.DUMMYFUNCTION("""COMPUTED_VALUE"""),27618024)</f>
        <v>27618024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IFERROR(__xludf.DUMMYFUNCTION("""COMPUTED_VALUE"""),97.03)</f>
        <v>97.03</v>
      </c>
      <c r="D136" s="141">
        <f ca="1">IFERROR(__xludf.DUMMYFUNCTION("""COMPUTED_VALUE"""),97.11)</f>
        <v>97.11</v>
      </c>
      <c r="E136" s="141">
        <f ca="1">IFERROR(__xludf.DUMMYFUNCTION("""COMPUTED_VALUE"""),96.51)</f>
        <v>96.51</v>
      </c>
      <c r="F136" s="141">
        <f ca="1">IFERROR(__xludf.DUMMYFUNCTION("""COMPUTED_VALUE"""),97.04)</f>
        <v>97.04</v>
      </c>
      <c r="G136" s="143">
        <f ca="1">IFERROR(__xludf.DUMMYFUNCTION("""COMPUTED_VALUE"""),42922553)</f>
        <v>42922553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IFERROR(__xludf.DUMMYFUNCTION("""COMPUTED_VALUE"""),97.26)</f>
        <v>97.26</v>
      </c>
      <c r="D137" s="141">
        <f ca="1">IFERROR(__xludf.DUMMYFUNCTION("""COMPUTED_VALUE"""),98.15)</f>
        <v>98.15</v>
      </c>
      <c r="E137" s="141">
        <f ca="1">IFERROR(__xludf.DUMMYFUNCTION("""COMPUTED_VALUE"""),97.23)</f>
        <v>97.23</v>
      </c>
      <c r="F137" s="141">
        <f ca="1">IFERROR(__xludf.DUMMYFUNCTION("""COMPUTED_VALUE"""),98.15)</f>
        <v>98.15</v>
      </c>
      <c r="G137" s="143">
        <f ca="1">IFERROR(__xludf.DUMMYFUNCTION("""COMPUTED_VALUE"""),25186954)</f>
        <v>25186954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IFERROR(__xludf.DUMMYFUNCTION("""COMPUTED_VALUE"""),98.31)</f>
        <v>98.31</v>
      </c>
      <c r="D138" s="141">
        <f ca="1">IFERROR(__xludf.DUMMYFUNCTION("""COMPUTED_VALUE"""),98.48)</f>
        <v>98.48</v>
      </c>
      <c r="E138" s="141">
        <f ca="1">IFERROR(__xludf.DUMMYFUNCTION("""COMPUTED_VALUE"""),98.13)</f>
        <v>98.13</v>
      </c>
      <c r="F138" s="141">
        <f ca="1">IFERROR(__xludf.DUMMYFUNCTION("""COMPUTED_VALUE"""),98.3)</f>
        <v>98.3</v>
      </c>
      <c r="G138" s="143">
        <f ca="1">IFERROR(__xludf.DUMMYFUNCTION("""COMPUTED_VALUE"""),14557983)</f>
        <v>14557983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IFERROR(__xludf.DUMMYFUNCTION("""COMPUTED_VALUE"""),98.14)</f>
        <v>98.14</v>
      </c>
      <c r="D139" s="141">
        <f ca="1">IFERROR(__xludf.DUMMYFUNCTION("""COMPUTED_VALUE"""),98.21)</f>
        <v>98.21</v>
      </c>
      <c r="E139" s="141">
        <f ca="1">IFERROR(__xludf.DUMMYFUNCTION("""COMPUTED_VALUE"""),97.84)</f>
        <v>97.84</v>
      </c>
      <c r="F139" s="141">
        <f ca="1">IFERROR(__xludf.DUMMYFUNCTION("""COMPUTED_VALUE"""),97.93)</f>
        <v>97.93</v>
      </c>
      <c r="G139" s="143">
        <f ca="1">IFERROR(__xludf.DUMMYFUNCTION("""COMPUTED_VALUE"""),15468958)</f>
        <v>15468958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IFERROR(__xludf.DUMMYFUNCTION("""COMPUTED_VALUE"""),97.56)</f>
        <v>97.56</v>
      </c>
      <c r="D140" s="141">
        <f ca="1">IFERROR(__xludf.DUMMYFUNCTION("""COMPUTED_VALUE"""),97.95)</f>
        <v>97.95</v>
      </c>
      <c r="E140" s="141">
        <f ca="1">IFERROR(__xludf.DUMMYFUNCTION("""COMPUTED_VALUE"""),97.53)</f>
        <v>97.53</v>
      </c>
      <c r="F140" s="141">
        <f ca="1">IFERROR(__xludf.DUMMYFUNCTION("""COMPUTED_VALUE"""),97.94)</f>
        <v>97.94</v>
      </c>
      <c r="G140" s="143">
        <f ca="1">IFERROR(__xludf.DUMMYFUNCTION("""COMPUTED_VALUE"""),14090757)</f>
        <v>14090757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IFERROR(__xludf.DUMMYFUNCTION("""COMPUTED_VALUE"""),98.42)</f>
        <v>98.42</v>
      </c>
      <c r="D141" s="141">
        <f ca="1">IFERROR(__xludf.DUMMYFUNCTION("""COMPUTED_VALUE"""),98.89)</f>
        <v>98.89</v>
      </c>
      <c r="E141" s="141">
        <f ca="1">IFERROR(__xludf.DUMMYFUNCTION("""COMPUTED_VALUE"""),98.33)</f>
        <v>98.33</v>
      </c>
      <c r="F141" s="141">
        <f ca="1">IFERROR(__xludf.DUMMYFUNCTION("""COMPUTED_VALUE"""),98.81)</f>
        <v>98.81</v>
      </c>
      <c r="G141" s="143">
        <f ca="1">IFERROR(__xludf.DUMMYFUNCTION("""COMPUTED_VALUE"""),16001759)</f>
        <v>16001759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IFERROR(__xludf.DUMMYFUNCTION("""COMPUTED_VALUE"""),99.15)</f>
        <v>99.15</v>
      </c>
      <c r="D142" s="141">
        <f ca="1">IFERROR(__xludf.DUMMYFUNCTION("""COMPUTED_VALUE"""),99.44)</f>
        <v>99.44</v>
      </c>
      <c r="E142" s="141">
        <f ca="1">IFERROR(__xludf.DUMMYFUNCTION("""COMPUTED_VALUE"""),99.12)</f>
        <v>99.12</v>
      </c>
      <c r="F142" s="141">
        <f ca="1">IFERROR(__xludf.DUMMYFUNCTION("""COMPUTED_VALUE"""),99.41)</f>
        <v>99.41</v>
      </c>
      <c r="G142" s="143">
        <f ca="1">IFERROR(__xludf.DUMMYFUNCTION("""COMPUTED_VALUE"""),15313534)</f>
        <v>15313534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IFERROR(__xludf.DUMMYFUNCTION("""COMPUTED_VALUE"""),99.23)</f>
        <v>99.23</v>
      </c>
      <c r="D143" s="141">
        <f ca="1">IFERROR(__xludf.DUMMYFUNCTION("""COMPUTED_VALUE"""),99.25)</f>
        <v>99.25</v>
      </c>
      <c r="E143" s="141">
        <f ca="1">IFERROR(__xludf.DUMMYFUNCTION("""COMPUTED_VALUE"""),98.65)</f>
        <v>98.65</v>
      </c>
      <c r="F143" s="141">
        <f ca="1">IFERROR(__xludf.DUMMYFUNCTION("""COMPUTED_VALUE"""),98.84)</f>
        <v>98.84</v>
      </c>
      <c r="G143" s="143">
        <f ca="1">IFERROR(__xludf.DUMMYFUNCTION("""COMPUTED_VALUE"""),17697978)</f>
        <v>17697978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IFERROR(__xludf.DUMMYFUNCTION("""COMPUTED_VALUE"""),99.19)</f>
        <v>99.19</v>
      </c>
      <c r="D144" s="141">
        <f ca="1">IFERROR(__xludf.DUMMYFUNCTION("""COMPUTED_VALUE"""),99.37)</f>
        <v>99.37</v>
      </c>
      <c r="E144" s="141">
        <f ca="1">IFERROR(__xludf.DUMMYFUNCTION("""COMPUTED_VALUE"""),98.98)</f>
        <v>98.98</v>
      </c>
      <c r="F144" s="141">
        <f ca="1">IFERROR(__xludf.DUMMYFUNCTION("""COMPUTED_VALUE"""),99.3)</f>
        <v>99.3</v>
      </c>
      <c r="G144" s="143">
        <f ca="1">IFERROR(__xludf.DUMMYFUNCTION("""COMPUTED_VALUE"""),19947519)</f>
        <v>19947519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IFERROR(__xludf.DUMMYFUNCTION("""COMPUTED_VALUE"""),99.62)</f>
        <v>99.62</v>
      </c>
      <c r="D145" s="141">
        <f ca="1">IFERROR(__xludf.DUMMYFUNCTION("""COMPUTED_VALUE"""),99.62)</f>
        <v>99.62</v>
      </c>
      <c r="E145" s="141">
        <f ca="1">IFERROR(__xludf.DUMMYFUNCTION("""COMPUTED_VALUE"""),99.22)</f>
        <v>99.22</v>
      </c>
      <c r="F145" s="141">
        <f ca="1">IFERROR(__xludf.DUMMYFUNCTION("""COMPUTED_VALUE"""),99.26)</f>
        <v>99.26</v>
      </c>
      <c r="G145" s="143">
        <f ca="1">IFERROR(__xludf.DUMMYFUNCTION("""COMPUTED_VALUE"""),24662623)</f>
        <v>24662623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IFERROR(__xludf.DUMMYFUNCTION("""COMPUTED_VALUE"""),99.42)</f>
        <v>99.42</v>
      </c>
      <c r="D146" s="141">
        <f ca="1">IFERROR(__xludf.DUMMYFUNCTION("""COMPUTED_VALUE"""),99.54)</f>
        <v>99.54</v>
      </c>
      <c r="E146" s="141">
        <f ca="1">IFERROR(__xludf.DUMMYFUNCTION("""COMPUTED_VALUE"""),99.06)</f>
        <v>99.06</v>
      </c>
      <c r="F146" s="141">
        <f ca="1">IFERROR(__xludf.DUMMYFUNCTION("""COMPUTED_VALUE"""),99.53)</f>
        <v>99.53</v>
      </c>
      <c r="G146" s="143">
        <f ca="1">IFERROR(__xludf.DUMMYFUNCTION("""COMPUTED_VALUE"""),18699264)</f>
        <v>18699264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IFERROR(__xludf.DUMMYFUNCTION("""COMPUTED_VALUE"""),98)</f>
        <v>98</v>
      </c>
      <c r="D147" s="141">
        <f ca="1">IFERROR(__xludf.DUMMYFUNCTION("""COMPUTED_VALUE"""),98.69)</f>
        <v>98.69</v>
      </c>
      <c r="E147" s="141">
        <f ca="1">IFERROR(__xludf.DUMMYFUNCTION("""COMPUTED_VALUE"""),97.86)</f>
        <v>97.86</v>
      </c>
      <c r="F147" s="141">
        <f ca="1">IFERROR(__xludf.DUMMYFUNCTION("""COMPUTED_VALUE"""),98.02)</f>
        <v>98.02</v>
      </c>
      <c r="G147" s="143">
        <f ca="1">IFERROR(__xludf.DUMMYFUNCTION("""COMPUTED_VALUE"""),26893281)</f>
        <v>26893281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IFERROR(__xludf.DUMMYFUNCTION("""COMPUTED_VALUE"""),98.27)</f>
        <v>98.27</v>
      </c>
      <c r="D148" s="141">
        <f ca="1">IFERROR(__xludf.DUMMYFUNCTION("""COMPUTED_VALUE"""),99.28)</f>
        <v>99.28</v>
      </c>
      <c r="E148" s="141">
        <f ca="1">IFERROR(__xludf.DUMMYFUNCTION("""COMPUTED_VALUE"""),97.89)</f>
        <v>97.89</v>
      </c>
      <c r="F148" s="141">
        <f ca="1">IFERROR(__xludf.DUMMYFUNCTION("""COMPUTED_VALUE"""),99.03)</f>
        <v>99.03</v>
      </c>
      <c r="G148" s="143">
        <f ca="1">IFERROR(__xludf.DUMMYFUNCTION("""COMPUTED_VALUE"""),26150514)</f>
        <v>26150514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IFERROR(__xludf.DUMMYFUNCTION("""COMPUTED_VALUE"""),99.39)</f>
        <v>99.39</v>
      </c>
      <c r="D149" s="141">
        <f ca="1">IFERROR(__xludf.DUMMYFUNCTION("""COMPUTED_VALUE"""),99.67)</f>
        <v>99.67</v>
      </c>
      <c r="E149" s="141">
        <f ca="1">IFERROR(__xludf.DUMMYFUNCTION("""COMPUTED_VALUE"""),99.18)</f>
        <v>99.18</v>
      </c>
      <c r="F149" s="141">
        <f ca="1">IFERROR(__xludf.DUMMYFUNCTION("""COMPUTED_VALUE"""),99.42)</f>
        <v>99.42</v>
      </c>
      <c r="G149" s="143">
        <f ca="1">IFERROR(__xludf.DUMMYFUNCTION("""COMPUTED_VALUE"""),16592844)</f>
        <v>16592844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IFERROR(__xludf.DUMMYFUNCTION("""COMPUTED_VALUE"""),99.17)</f>
        <v>99.17</v>
      </c>
      <c r="D150" s="141">
        <f ca="1">IFERROR(__xludf.DUMMYFUNCTION("""COMPUTED_VALUE"""),100)</f>
        <v>100</v>
      </c>
      <c r="E150" s="141">
        <f ca="1">IFERROR(__xludf.DUMMYFUNCTION("""COMPUTED_VALUE"""),99)</f>
        <v>99</v>
      </c>
      <c r="F150" s="141">
        <f ca="1">IFERROR(__xludf.DUMMYFUNCTION("""COMPUTED_VALUE"""),99.97)</f>
        <v>99.97</v>
      </c>
      <c r="G150" s="143">
        <f ca="1">IFERROR(__xludf.DUMMYFUNCTION("""COMPUTED_VALUE"""),16753537)</f>
        <v>16753537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IFERROR(__xludf.DUMMYFUNCTION("""COMPUTED_VALUE"""),100.54)</f>
        <v>100.54</v>
      </c>
      <c r="D151" s="141">
        <f ca="1">IFERROR(__xludf.DUMMYFUNCTION("""COMPUTED_VALUE"""),100.83)</f>
        <v>100.83</v>
      </c>
      <c r="E151" s="141">
        <f ca="1">IFERROR(__xludf.DUMMYFUNCTION("""COMPUTED_VALUE"""),100.46)</f>
        <v>100.46</v>
      </c>
      <c r="F151" s="141">
        <f ca="1">IFERROR(__xludf.DUMMYFUNCTION("""COMPUTED_VALUE"""),100.47)</f>
        <v>100.47</v>
      </c>
      <c r="G151" s="143">
        <f ca="1">IFERROR(__xludf.DUMMYFUNCTION("""COMPUTED_VALUE"""),14959320)</f>
        <v>14959320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IFERROR(__xludf.DUMMYFUNCTION("""COMPUTED_VALUE"""),101.47)</f>
        <v>101.47</v>
      </c>
      <c r="D152" s="141">
        <f ca="1">IFERROR(__xludf.DUMMYFUNCTION("""COMPUTED_VALUE"""),102.32)</f>
        <v>102.32</v>
      </c>
      <c r="E152" s="141">
        <f ca="1">IFERROR(__xludf.DUMMYFUNCTION("""COMPUTED_VALUE"""),101.43)</f>
        <v>101.43</v>
      </c>
      <c r="F152" s="141">
        <f ca="1">IFERROR(__xludf.DUMMYFUNCTION("""COMPUTED_VALUE"""),102.09)</f>
        <v>102.09</v>
      </c>
      <c r="G152" s="143">
        <f ca="1">IFERROR(__xludf.DUMMYFUNCTION("""COMPUTED_VALUE"""),19754257)</f>
        <v>19754257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IFERROR(__xludf.DUMMYFUNCTION("""COMPUTED_VALUE"""),101.19)</f>
        <v>101.19</v>
      </c>
      <c r="D153" s="141">
        <f ca="1">IFERROR(__xludf.DUMMYFUNCTION("""COMPUTED_VALUE"""),101.36)</f>
        <v>101.36</v>
      </c>
      <c r="E153" s="141">
        <f ca="1">IFERROR(__xludf.DUMMYFUNCTION("""COMPUTED_VALUE"""),100.56)</f>
        <v>100.56</v>
      </c>
      <c r="F153" s="141">
        <f ca="1">IFERROR(__xludf.DUMMYFUNCTION("""COMPUTED_VALUE"""),101.01)</f>
        <v>101.01</v>
      </c>
      <c r="G153" s="143">
        <f ca="1">IFERROR(__xludf.DUMMYFUNCTION("""COMPUTED_VALUE"""),21938778)</f>
        <v>21938778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IFERROR(__xludf.DUMMYFUNCTION("""COMPUTED_VALUE"""),102.02)</f>
        <v>102.02</v>
      </c>
      <c r="D154" s="141">
        <f ca="1">IFERROR(__xludf.DUMMYFUNCTION("""COMPUTED_VALUE"""),102.1)</f>
        <v>102.1</v>
      </c>
      <c r="E154" s="141">
        <f ca="1">IFERROR(__xludf.DUMMYFUNCTION("""COMPUTED_VALUE"""),100.56)</f>
        <v>100.56</v>
      </c>
      <c r="F154" s="141">
        <f ca="1">IFERROR(__xludf.DUMMYFUNCTION("""COMPUTED_VALUE"""),101.69)</f>
        <v>101.69</v>
      </c>
      <c r="G154" s="143">
        <f ca="1">IFERROR(__xludf.DUMMYFUNCTION("""COMPUTED_VALUE"""),29236249)</f>
        <v>29236249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IFERROR(__xludf.DUMMYFUNCTION("""COMPUTED_VALUE"""),101.35)</f>
        <v>101.35</v>
      </c>
      <c r="D155" s="141">
        <f ca="1">IFERROR(__xludf.DUMMYFUNCTION("""COMPUTED_VALUE"""),101.54)</f>
        <v>101.54</v>
      </c>
      <c r="E155" s="141">
        <f ca="1">IFERROR(__xludf.DUMMYFUNCTION("""COMPUTED_VALUE"""),100.37)</f>
        <v>100.37</v>
      </c>
      <c r="F155" s="141">
        <f ca="1">IFERROR(__xludf.DUMMYFUNCTION("""COMPUTED_VALUE"""),100.74)</f>
        <v>100.74</v>
      </c>
      <c r="G155" s="143">
        <f ca="1">IFERROR(__xludf.DUMMYFUNCTION("""COMPUTED_VALUE"""),27813416)</f>
        <v>27813416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IFERROR(__xludf.DUMMYFUNCTION("""COMPUTED_VALUE"""),100.88)</f>
        <v>100.88</v>
      </c>
      <c r="D156" s="141">
        <f ca="1">IFERROR(__xludf.DUMMYFUNCTION("""COMPUTED_VALUE"""),101.55)</f>
        <v>101.55</v>
      </c>
      <c r="E156" s="141">
        <f ca="1">IFERROR(__xludf.DUMMYFUNCTION("""COMPUTED_VALUE"""),100.82)</f>
        <v>100.82</v>
      </c>
      <c r="F156" s="141">
        <f ca="1">IFERROR(__xludf.DUMMYFUNCTION("""COMPUTED_VALUE"""),101.4)</f>
        <v>101.4</v>
      </c>
      <c r="G156" s="143">
        <f ca="1">IFERROR(__xludf.DUMMYFUNCTION("""COMPUTED_VALUE"""),21725501)</f>
        <v>21725501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IFERROR(__xludf.DUMMYFUNCTION("""COMPUTED_VALUE"""),101.14)</f>
        <v>101.14</v>
      </c>
      <c r="D157" s="141">
        <f ca="1">IFERROR(__xludf.DUMMYFUNCTION("""COMPUTED_VALUE"""),101.66)</f>
        <v>101.66</v>
      </c>
      <c r="E157" s="141">
        <f ca="1">IFERROR(__xludf.DUMMYFUNCTION("""COMPUTED_VALUE"""),100.64)</f>
        <v>100.64</v>
      </c>
      <c r="F157" s="141">
        <f ca="1">IFERROR(__xludf.DUMMYFUNCTION("""COMPUTED_VALUE"""),101.45)</f>
        <v>101.45</v>
      </c>
      <c r="G157" s="143">
        <f ca="1">IFERROR(__xludf.DUMMYFUNCTION("""COMPUTED_VALUE"""),23625727)</f>
        <v>23625727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IFERROR(__xludf.DUMMYFUNCTION("""COMPUTED_VALUE"""),102.47)</f>
        <v>102.47</v>
      </c>
      <c r="D158" s="141">
        <f ca="1">IFERROR(__xludf.DUMMYFUNCTION("""COMPUTED_VALUE"""),102.67)</f>
        <v>102.67</v>
      </c>
      <c r="E158" s="141">
        <f ca="1">IFERROR(__xludf.DUMMYFUNCTION("""COMPUTED_VALUE"""),101.37)</f>
        <v>101.37</v>
      </c>
      <c r="F158" s="141">
        <f ca="1">IFERROR(__xludf.DUMMYFUNCTION("""COMPUTED_VALUE"""),101.78)</f>
        <v>101.78</v>
      </c>
      <c r="G158" s="143">
        <f ca="1">IFERROR(__xludf.DUMMYFUNCTION("""COMPUTED_VALUE"""),25576679)</f>
        <v>25576679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IFERROR(__xludf.DUMMYFUNCTION("""COMPUTED_VALUE"""),100.62)</f>
        <v>100.62</v>
      </c>
      <c r="D159" s="141">
        <f ca="1">IFERROR(__xludf.DUMMYFUNCTION("""COMPUTED_VALUE"""),101.15)</f>
        <v>101.15</v>
      </c>
      <c r="E159" s="141">
        <f ca="1">IFERROR(__xludf.DUMMYFUNCTION("""COMPUTED_VALUE"""),100.27)</f>
        <v>100.27</v>
      </c>
      <c r="F159" s="141">
        <f ca="1">IFERROR(__xludf.DUMMYFUNCTION("""COMPUTED_VALUE"""),100.33)</f>
        <v>100.33</v>
      </c>
      <c r="G159" s="143">
        <f ca="1">IFERROR(__xludf.DUMMYFUNCTION("""COMPUTED_VALUE"""),22760150)</f>
        <v>22760150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IFERROR(__xludf.DUMMYFUNCTION("""COMPUTED_VALUE"""),101.69)</f>
        <v>101.69</v>
      </c>
      <c r="D160" s="141">
        <f ca="1">IFERROR(__xludf.DUMMYFUNCTION("""COMPUTED_VALUE"""),102.65)</f>
        <v>102.65</v>
      </c>
      <c r="E160" s="141">
        <f ca="1">IFERROR(__xludf.DUMMYFUNCTION("""COMPUTED_VALUE"""),101.64)</f>
        <v>101.64</v>
      </c>
      <c r="F160" s="141">
        <f ca="1">IFERROR(__xludf.DUMMYFUNCTION("""COMPUTED_VALUE"""),102.61)</f>
        <v>102.61</v>
      </c>
      <c r="G160" s="143">
        <f ca="1">IFERROR(__xludf.DUMMYFUNCTION("""COMPUTED_VALUE"""),17343717)</f>
        <v>17343717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IFERROR(__xludf.DUMMYFUNCTION("""COMPUTED_VALUE"""),103.23)</f>
        <v>103.23</v>
      </c>
      <c r="D161" s="141">
        <f ca="1">IFERROR(__xludf.DUMMYFUNCTION("""COMPUTED_VALUE"""),104.17)</f>
        <v>104.17</v>
      </c>
      <c r="E161" s="141">
        <f ca="1">IFERROR(__xludf.DUMMYFUNCTION("""COMPUTED_VALUE"""),103.12)</f>
        <v>103.12</v>
      </c>
      <c r="F161" s="141">
        <f ca="1">IFERROR(__xludf.DUMMYFUNCTION("""COMPUTED_VALUE"""),103.99)</f>
        <v>103.99</v>
      </c>
      <c r="G161" s="143">
        <f ca="1">IFERROR(__xludf.DUMMYFUNCTION("""COMPUTED_VALUE"""),20137686)</f>
        <v>20137686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IFERROR(__xludf.DUMMYFUNCTION("""COMPUTED_VALUE"""),104.58)</f>
        <v>104.58</v>
      </c>
      <c r="D162" s="141">
        <f ca="1">IFERROR(__xludf.DUMMYFUNCTION("""COMPUTED_VALUE"""),104.67)</f>
        <v>104.67</v>
      </c>
      <c r="E162" s="141">
        <f ca="1">IFERROR(__xludf.DUMMYFUNCTION("""COMPUTED_VALUE"""),104.24)</f>
        <v>104.24</v>
      </c>
      <c r="F162" s="141">
        <f ca="1">IFERROR(__xludf.DUMMYFUNCTION("""COMPUTED_VALUE"""),104.24)</f>
        <v>104.24</v>
      </c>
      <c r="G162" s="143">
        <f ca="1">IFERROR(__xludf.DUMMYFUNCTION("""COMPUTED_VALUE"""),16861808)</f>
        <v>16861808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IFERROR(__xludf.DUMMYFUNCTION("""COMPUTED_VALUE"""),104.84)</f>
        <v>104.84</v>
      </c>
      <c r="D163" s="141">
        <f ca="1">IFERROR(__xludf.DUMMYFUNCTION("""COMPUTED_VALUE"""),105.17)</f>
        <v>105.17</v>
      </c>
      <c r="E163" s="141">
        <f ca="1">IFERROR(__xludf.DUMMYFUNCTION("""COMPUTED_VALUE"""),104.16)</f>
        <v>104.16</v>
      </c>
      <c r="F163" s="141">
        <f ca="1">IFERROR(__xludf.DUMMYFUNCTION("""COMPUTED_VALUE"""),104.94)</f>
        <v>104.94</v>
      </c>
      <c r="G163" s="143">
        <f ca="1">IFERROR(__xludf.DUMMYFUNCTION("""COMPUTED_VALUE"""),20493537)</f>
        <v>20493537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IFERROR(__xludf.DUMMYFUNCTION("""COMPUTED_VALUE"""),105.09)</f>
        <v>105.09</v>
      </c>
      <c r="D164" s="141">
        <f ca="1">IFERROR(__xludf.DUMMYFUNCTION("""COMPUTED_VALUE"""),105.24)</f>
        <v>105.24</v>
      </c>
      <c r="E164" s="141">
        <f ca="1">IFERROR(__xludf.DUMMYFUNCTION("""COMPUTED_VALUE"""),103.81)</f>
        <v>103.81</v>
      </c>
      <c r="F164" s="141">
        <f ca="1">IFERROR(__xludf.DUMMYFUNCTION("""COMPUTED_VALUE"""),104.15)</f>
        <v>104.15</v>
      </c>
      <c r="G164" s="143">
        <f ca="1">IFERROR(__xludf.DUMMYFUNCTION("""COMPUTED_VALUE"""),29385324)</f>
        <v>29385324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IFERROR(__xludf.DUMMYFUNCTION("""COMPUTED_VALUE"""),103.88)</f>
        <v>103.88</v>
      </c>
      <c r="D165" s="141">
        <f ca="1">IFERROR(__xludf.DUMMYFUNCTION("""COMPUTED_VALUE"""),104.43)</f>
        <v>104.43</v>
      </c>
      <c r="E165" s="141">
        <f ca="1">IFERROR(__xludf.DUMMYFUNCTION("""COMPUTED_VALUE"""),103.45)</f>
        <v>103.45</v>
      </c>
      <c r="F165" s="141">
        <f ca="1">IFERROR(__xludf.DUMMYFUNCTION("""COMPUTED_VALUE"""),104.24)</f>
        <v>104.24</v>
      </c>
      <c r="G165" s="143">
        <f ca="1">IFERROR(__xludf.DUMMYFUNCTION("""COMPUTED_VALUE"""),22651314)</f>
        <v>22651314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IFERROR(__xludf.DUMMYFUNCTION("""COMPUTED_VALUE"""),103.36)</f>
        <v>103.36</v>
      </c>
      <c r="D166" s="141">
        <f ca="1">IFERROR(__xludf.DUMMYFUNCTION("""COMPUTED_VALUE"""),104.34)</f>
        <v>104.34</v>
      </c>
      <c r="E166" s="141">
        <f ca="1">IFERROR(__xludf.DUMMYFUNCTION("""COMPUTED_VALUE"""),103.02)</f>
        <v>103.02</v>
      </c>
      <c r="F166" s="141">
        <f ca="1">IFERROR(__xludf.DUMMYFUNCTION("""COMPUTED_VALUE"""),104.22)</f>
        <v>104.22</v>
      </c>
      <c r="G166" s="143">
        <f ca="1">IFERROR(__xludf.DUMMYFUNCTION("""COMPUTED_VALUE"""),19647198)</f>
        <v>19647198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IFERROR(__xludf.DUMMYFUNCTION("""COMPUTED_VALUE"""),104.37)</f>
        <v>104.37</v>
      </c>
      <c r="D167" s="141">
        <f ca="1">IFERROR(__xludf.DUMMYFUNCTION("""COMPUTED_VALUE"""),104.91)</f>
        <v>104.91</v>
      </c>
      <c r="E167" s="141">
        <f ca="1">IFERROR(__xludf.DUMMYFUNCTION("""COMPUTED_VALUE"""),104.12)</f>
        <v>104.12</v>
      </c>
      <c r="F167" s="141">
        <f ca="1">IFERROR(__xludf.DUMMYFUNCTION("""COMPUTED_VALUE"""),104.34)</f>
        <v>104.34</v>
      </c>
      <c r="G167" s="143">
        <f ca="1">IFERROR(__xludf.DUMMYFUNCTION("""COMPUTED_VALUE"""),16099437)</f>
        <v>16099437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IFERROR(__xludf.DUMMYFUNCTION("""COMPUTED_VALUE"""),103.54)</f>
        <v>103.54</v>
      </c>
      <c r="D168" s="141">
        <f ca="1">IFERROR(__xludf.DUMMYFUNCTION("""COMPUTED_VALUE"""),104.09)</f>
        <v>104.09</v>
      </c>
      <c r="E168" s="141">
        <f ca="1">IFERROR(__xludf.DUMMYFUNCTION("""COMPUTED_VALUE"""),103.37)</f>
        <v>103.37</v>
      </c>
      <c r="F168" s="141">
        <f ca="1">IFERROR(__xludf.DUMMYFUNCTION("""COMPUTED_VALUE"""),104.05)</f>
        <v>104.05</v>
      </c>
      <c r="G168" s="143">
        <f ca="1">IFERROR(__xludf.DUMMYFUNCTION("""COMPUTED_VALUE"""),15994117)</f>
        <v>15994117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IFERROR(__xludf.DUMMYFUNCTION("""COMPUTED_VALUE"""),103.86)</f>
        <v>103.86</v>
      </c>
      <c r="D169" s="141">
        <f ca="1">IFERROR(__xludf.DUMMYFUNCTION("""COMPUTED_VALUE"""),105.05)</f>
        <v>105.05</v>
      </c>
      <c r="E169" s="141">
        <f ca="1">IFERROR(__xludf.DUMMYFUNCTION("""COMPUTED_VALUE"""),103.86)</f>
        <v>103.86</v>
      </c>
      <c r="F169" s="141">
        <f ca="1">IFERROR(__xludf.DUMMYFUNCTION("""COMPUTED_VALUE"""),104.9)</f>
        <v>104.9</v>
      </c>
      <c r="G169" s="143">
        <f ca="1">IFERROR(__xludf.DUMMYFUNCTION("""COMPUTED_VALUE"""),25737456)</f>
        <v>25737456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IFERROR(__xludf.DUMMYFUNCTION("""COMPUTED_VALUE"""),104.81)</f>
        <v>104.81</v>
      </c>
      <c r="D170" s="141">
        <f ca="1">IFERROR(__xludf.DUMMYFUNCTION("""COMPUTED_VALUE"""),105.11)</f>
        <v>105.11</v>
      </c>
      <c r="E170" s="141">
        <f ca="1">IFERROR(__xludf.DUMMYFUNCTION("""COMPUTED_VALUE"""),104.19)</f>
        <v>104.19</v>
      </c>
      <c r="F170" s="141">
        <f ca="1">IFERROR(__xludf.DUMMYFUNCTION("""COMPUTED_VALUE"""),104.47)</f>
        <v>104.47</v>
      </c>
      <c r="G170" s="143">
        <f ca="1">IFERROR(__xludf.DUMMYFUNCTION("""COMPUTED_VALUE"""),13601760)</f>
        <v>13601760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IFERROR(__xludf.DUMMYFUNCTION("""COMPUTED_VALUE"""),104.17)</f>
        <v>104.17</v>
      </c>
      <c r="D171" s="141">
        <f ca="1">IFERROR(__xludf.DUMMYFUNCTION("""COMPUTED_VALUE"""),104.92)</f>
        <v>104.92</v>
      </c>
      <c r="E171" s="141">
        <f ca="1">IFERROR(__xludf.DUMMYFUNCTION("""COMPUTED_VALUE"""),104.08)</f>
        <v>104.08</v>
      </c>
      <c r="F171" s="141">
        <f ca="1">IFERROR(__xludf.DUMMYFUNCTION("""COMPUTED_VALUE"""),104.66)</f>
        <v>104.66</v>
      </c>
      <c r="G171" s="143">
        <f ca="1">IFERROR(__xludf.DUMMYFUNCTION("""COMPUTED_VALUE"""),17352600)</f>
        <v>17352600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IFERROR(__xludf.DUMMYFUNCTION("""COMPUTED_VALUE"""),105.26)</f>
        <v>105.26</v>
      </c>
      <c r="D172" s="141">
        <f ca="1">IFERROR(__xludf.DUMMYFUNCTION("""COMPUTED_VALUE"""),105.8)</f>
        <v>105.8</v>
      </c>
      <c r="E172" s="141">
        <f ca="1">IFERROR(__xludf.DUMMYFUNCTION("""COMPUTED_VALUE"""),105.15)</f>
        <v>105.15</v>
      </c>
      <c r="F172" s="141">
        <f ca="1">IFERROR(__xludf.DUMMYFUNCTION("""COMPUTED_VALUE"""),105.66)</f>
        <v>105.66</v>
      </c>
      <c r="G172" s="143">
        <f ca="1">IFERROR(__xludf.DUMMYFUNCTION("""COMPUTED_VALUE"""),13401860)</f>
        <v>13401860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IFERROR(__xludf.DUMMYFUNCTION("""COMPUTED_VALUE"""),105.64)</f>
        <v>105.64</v>
      </c>
      <c r="D173" s="141">
        <f ca="1">IFERROR(__xludf.DUMMYFUNCTION("""COMPUTED_VALUE"""),105.72)</f>
        <v>105.72</v>
      </c>
      <c r="E173" s="141">
        <f ca="1">IFERROR(__xludf.DUMMYFUNCTION("""COMPUTED_VALUE"""),104.87)</f>
        <v>104.87</v>
      </c>
      <c r="F173" s="141">
        <f ca="1">IFERROR(__xludf.DUMMYFUNCTION("""COMPUTED_VALUE"""),105.57)</f>
        <v>105.57</v>
      </c>
      <c r="G173" s="143">
        <f ca="1">IFERROR(__xludf.DUMMYFUNCTION("""COMPUTED_VALUE"""),28478680)</f>
        <v>28478680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IFERROR(__xludf.DUMMYFUNCTION("""COMPUTED_VALUE"""),105.52)</f>
        <v>105.52</v>
      </c>
      <c r="D174" s="141">
        <f ca="1">IFERROR(__xludf.DUMMYFUNCTION("""COMPUTED_VALUE"""),105.94)</f>
        <v>105.94</v>
      </c>
      <c r="E174" s="141">
        <f ca="1">IFERROR(__xludf.DUMMYFUNCTION("""COMPUTED_VALUE"""),105.26)</f>
        <v>105.26</v>
      </c>
      <c r="F174" s="141">
        <f ca="1">IFERROR(__xludf.DUMMYFUNCTION("""COMPUTED_VALUE"""),105.38)</f>
        <v>105.38</v>
      </c>
      <c r="G174" s="143">
        <f ca="1">IFERROR(__xludf.DUMMYFUNCTION("""COMPUTED_VALUE"""),25415073)</f>
        <v>25415073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IFERROR(__xludf.DUMMYFUNCTION("""COMPUTED_VALUE"""),102.76)</f>
        <v>102.76</v>
      </c>
      <c r="D175" s="141">
        <f ca="1">IFERROR(__xludf.DUMMYFUNCTION("""COMPUTED_VALUE"""),103.73)</f>
        <v>103.73</v>
      </c>
      <c r="E175" s="141">
        <f ca="1">IFERROR(__xludf.DUMMYFUNCTION("""COMPUTED_VALUE"""),102.72)</f>
        <v>102.72</v>
      </c>
      <c r="F175" s="141">
        <f ca="1">IFERROR(__xludf.DUMMYFUNCTION("""COMPUTED_VALUE"""),103.3)</f>
        <v>103.3</v>
      </c>
      <c r="G175" s="143">
        <f ca="1">IFERROR(__xludf.DUMMYFUNCTION("""COMPUTED_VALUE"""),37953538)</f>
        <v>37953538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IFERROR(__xludf.DUMMYFUNCTION("""COMPUTED_VALUE"""),98.65)</f>
        <v>98.65</v>
      </c>
      <c r="D176" s="141">
        <f ca="1">IFERROR(__xludf.DUMMYFUNCTION("""COMPUTED_VALUE"""),100.56)</f>
        <v>100.56</v>
      </c>
      <c r="E176" s="141">
        <f ca="1">IFERROR(__xludf.DUMMYFUNCTION("""COMPUTED_VALUE"""),97.75)</f>
        <v>97.75</v>
      </c>
      <c r="F176" s="141">
        <f ca="1">IFERROR(__xludf.DUMMYFUNCTION("""COMPUTED_VALUE"""),100.09)</f>
        <v>100.09</v>
      </c>
      <c r="G176" s="143">
        <f ca="1">IFERROR(__xludf.DUMMYFUNCTION("""COMPUTED_VALUE"""),51860654)</f>
        <v>51860654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IFERROR(__xludf.DUMMYFUNCTION("""COMPUTED_VALUE"""),100.79)</f>
        <v>100.79</v>
      </c>
      <c r="D177" s="141">
        <f ca="1">IFERROR(__xludf.DUMMYFUNCTION("""COMPUTED_VALUE"""),101.49)</f>
        <v>101.49</v>
      </c>
      <c r="E177" s="141">
        <f ca="1">IFERROR(__xludf.DUMMYFUNCTION("""COMPUTED_VALUE"""),100.4)</f>
        <v>100.4</v>
      </c>
      <c r="F177" s="141">
        <f ca="1">IFERROR(__xludf.DUMMYFUNCTION("""COMPUTED_VALUE"""),101.38)</f>
        <v>101.38</v>
      </c>
      <c r="G177" s="143">
        <f ca="1">IFERROR(__xludf.DUMMYFUNCTION("""COMPUTED_VALUE"""),30519775)</f>
        <v>30519775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IFERROR(__xludf.DUMMYFUNCTION("""COMPUTED_VALUE"""),99.78)</f>
        <v>99.78</v>
      </c>
      <c r="D178" s="141">
        <f ca="1">IFERROR(__xludf.DUMMYFUNCTION("""COMPUTED_VALUE"""),100.27)</f>
        <v>100.27</v>
      </c>
      <c r="E178" s="141">
        <f ca="1">IFERROR(__xludf.DUMMYFUNCTION("""COMPUTED_VALUE"""),98.22)</f>
        <v>98.22</v>
      </c>
      <c r="F178" s="141">
        <f ca="1">IFERROR(__xludf.DUMMYFUNCTION("""COMPUTED_VALUE"""),99.16)</f>
        <v>99.16</v>
      </c>
      <c r="G178" s="143">
        <f ca="1">IFERROR(__xludf.DUMMYFUNCTION("""COMPUTED_VALUE"""),34351936)</f>
        <v>34351936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IFERROR(__xludf.DUMMYFUNCTION("""COMPUTED_VALUE"""),97.27)</f>
        <v>97.27</v>
      </c>
      <c r="D179" s="141">
        <f ca="1">IFERROR(__xludf.DUMMYFUNCTION("""COMPUTED_VALUE"""),98.69)</f>
        <v>98.69</v>
      </c>
      <c r="E179" s="141">
        <f ca="1">IFERROR(__xludf.DUMMYFUNCTION("""COMPUTED_VALUE"""),97.06)</f>
        <v>97.06</v>
      </c>
      <c r="F179" s="141">
        <f ca="1">IFERROR(__xludf.DUMMYFUNCTION("""COMPUTED_VALUE"""),98.28)</f>
        <v>98.28</v>
      </c>
      <c r="G179" s="143">
        <f ca="1">IFERROR(__xludf.DUMMYFUNCTION("""COMPUTED_VALUE"""),27711164)</f>
        <v>27711164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IFERROR(__xludf.DUMMYFUNCTION("""COMPUTED_VALUE"""),96.78)</f>
        <v>96.78</v>
      </c>
      <c r="D180" s="141">
        <f ca="1">IFERROR(__xludf.DUMMYFUNCTION("""COMPUTED_VALUE"""),99.41)</f>
        <v>99.41</v>
      </c>
      <c r="E180" s="141">
        <f ca="1">IFERROR(__xludf.DUMMYFUNCTION("""COMPUTED_VALUE"""),95.98)</f>
        <v>95.98</v>
      </c>
      <c r="F180" s="141">
        <f ca="1">IFERROR(__xludf.DUMMYFUNCTION("""COMPUTED_VALUE"""),98.99)</f>
        <v>98.99</v>
      </c>
      <c r="G180" s="143">
        <f ca="1">IFERROR(__xludf.DUMMYFUNCTION("""COMPUTED_VALUE"""),37436540)</f>
        <v>37436540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IFERROR(__xludf.DUMMYFUNCTION("""COMPUTED_VALUE"""),99.74)</f>
        <v>99.74</v>
      </c>
      <c r="D181" s="141">
        <f ca="1">IFERROR(__xludf.DUMMYFUNCTION("""COMPUTED_VALUE"""),100.88)</f>
        <v>100.88</v>
      </c>
      <c r="E181" s="141">
        <f ca="1">IFERROR(__xludf.DUMMYFUNCTION("""COMPUTED_VALUE"""),99.07)</f>
        <v>99.07</v>
      </c>
      <c r="F181" s="141">
        <f ca="1">IFERROR(__xludf.DUMMYFUNCTION("""COMPUTED_VALUE"""),99.22)</f>
        <v>99.22</v>
      </c>
      <c r="G181" s="143">
        <f ca="1">IFERROR(__xludf.DUMMYFUNCTION("""COMPUTED_VALUE"""),44154704)</f>
        <v>44154704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IFERROR(__xludf.DUMMYFUNCTION("""COMPUTED_VALUE"""),98.64)</f>
        <v>98.64</v>
      </c>
      <c r="D182" s="141">
        <f ca="1">IFERROR(__xludf.DUMMYFUNCTION("""COMPUTED_VALUE"""),99.38)</f>
        <v>99.38</v>
      </c>
      <c r="E182" s="141">
        <f ca="1">IFERROR(__xludf.DUMMYFUNCTION("""COMPUTED_VALUE"""),98.29)</f>
        <v>98.29</v>
      </c>
      <c r="F182" s="141">
        <f ca="1">IFERROR(__xludf.DUMMYFUNCTION("""COMPUTED_VALUE"""),99.01)</f>
        <v>99.01</v>
      </c>
      <c r="G182" s="143">
        <f ca="1">IFERROR(__xludf.DUMMYFUNCTION("""COMPUTED_VALUE"""),21349912)</f>
        <v>21349912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IFERROR(__xludf.DUMMYFUNCTION("""COMPUTED_VALUE"""),98.04)</f>
        <v>98.04</v>
      </c>
      <c r="D183" s="141">
        <f ca="1">IFERROR(__xludf.DUMMYFUNCTION("""COMPUTED_VALUE"""),98.13)</f>
        <v>98.13</v>
      </c>
      <c r="E183" s="141">
        <f ca="1">IFERROR(__xludf.DUMMYFUNCTION("""COMPUTED_VALUE"""),97.01)</f>
        <v>97.01</v>
      </c>
      <c r="F183" s="141">
        <f ca="1">IFERROR(__xludf.DUMMYFUNCTION("""COMPUTED_VALUE"""),97.46)</f>
        <v>97.46</v>
      </c>
      <c r="G183" s="143">
        <f ca="1">IFERROR(__xludf.DUMMYFUNCTION("""COMPUTED_VALUE"""),34724593)</f>
        <v>34724593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IFERROR(__xludf.DUMMYFUNCTION("""COMPUTED_VALUE"""),97.67)</f>
        <v>97.67</v>
      </c>
      <c r="D184" s="141">
        <f ca="1">IFERROR(__xludf.DUMMYFUNCTION("""COMPUTED_VALUE"""),98.11)</f>
        <v>98.11</v>
      </c>
      <c r="E184" s="141">
        <f ca="1">IFERROR(__xludf.DUMMYFUNCTION("""COMPUTED_VALUE"""),96.14)</f>
        <v>96.14</v>
      </c>
      <c r="F184" s="141">
        <f ca="1">IFERROR(__xludf.DUMMYFUNCTION("""COMPUTED_VALUE"""),96.3)</f>
        <v>96.3</v>
      </c>
      <c r="G184" s="143">
        <f ca="1">IFERROR(__xludf.DUMMYFUNCTION("""COMPUTED_VALUE"""),27628296)</f>
        <v>27628296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IFERROR(__xludf.DUMMYFUNCTION("""COMPUTED_VALUE"""),97.58)</f>
        <v>97.58</v>
      </c>
      <c r="D185" s="141">
        <f ca="1">IFERROR(__xludf.DUMMYFUNCTION("""COMPUTED_VALUE"""),98.32)</f>
        <v>98.32</v>
      </c>
      <c r="E185" s="141">
        <f ca="1">IFERROR(__xludf.DUMMYFUNCTION("""COMPUTED_VALUE"""),97.45)</f>
        <v>97.45</v>
      </c>
      <c r="F185" s="141">
        <f ca="1">IFERROR(__xludf.DUMMYFUNCTION("""COMPUTED_VALUE"""),98.1)</f>
        <v>98.1</v>
      </c>
      <c r="G185" s="143">
        <f ca="1">IFERROR(__xludf.DUMMYFUNCTION("""COMPUTED_VALUE"""),17384126)</f>
        <v>17384126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IFERROR(__xludf.DUMMYFUNCTION("""COMPUTED_VALUE"""),98.74)</f>
        <v>98.74</v>
      </c>
      <c r="D186" s="141">
        <f ca="1">IFERROR(__xludf.DUMMYFUNCTION("""COMPUTED_VALUE"""),98.97)</f>
        <v>98.97</v>
      </c>
      <c r="E186" s="141">
        <f ca="1">IFERROR(__xludf.DUMMYFUNCTION("""COMPUTED_VALUE"""),98.24)</f>
        <v>98.24</v>
      </c>
      <c r="F186" s="141">
        <f ca="1">IFERROR(__xludf.DUMMYFUNCTION("""COMPUTED_VALUE"""),98.37)</f>
        <v>98.37</v>
      </c>
      <c r="G186" s="143">
        <f ca="1">IFERROR(__xludf.DUMMYFUNCTION("""COMPUTED_VALUE"""),16411463)</f>
        <v>16411463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IFERROR(__xludf.DUMMYFUNCTION("""COMPUTED_VALUE"""),97.81)</f>
        <v>97.81</v>
      </c>
      <c r="D187" s="141">
        <f ca="1">IFERROR(__xludf.DUMMYFUNCTION("""COMPUTED_VALUE"""),98.01)</f>
        <v>98.01</v>
      </c>
      <c r="E187" s="141">
        <f ca="1">IFERROR(__xludf.DUMMYFUNCTION("""COMPUTED_VALUE"""),96.61)</f>
        <v>96.61</v>
      </c>
      <c r="F187" s="141">
        <f ca="1">IFERROR(__xludf.DUMMYFUNCTION("""COMPUTED_VALUE"""),96.69)</f>
        <v>96.69</v>
      </c>
      <c r="G187" s="143">
        <f ca="1">IFERROR(__xludf.DUMMYFUNCTION("""COMPUTED_VALUE"""),26644886)</f>
        <v>26644886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IFERROR(__xludf.DUMMYFUNCTION("""COMPUTED_VALUE"""),94.9)</f>
        <v>94.9</v>
      </c>
      <c r="D188" s="141">
        <f ca="1">IFERROR(__xludf.DUMMYFUNCTION("""COMPUTED_VALUE"""),97.11)</f>
        <v>97.11</v>
      </c>
      <c r="E188" s="141">
        <f ca="1">IFERROR(__xludf.DUMMYFUNCTION("""COMPUTED_VALUE"""),94.8)</f>
        <v>94.8</v>
      </c>
      <c r="F188" s="141">
        <f ca="1">IFERROR(__xludf.DUMMYFUNCTION("""COMPUTED_VALUE"""),96.52)</f>
        <v>96.52</v>
      </c>
      <c r="G188" s="143">
        <f ca="1">IFERROR(__xludf.DUMMYFUNCTION("""COMPUTED_VALUE"""),34858276)</f>
        <v>34858276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IFERROR(__xludf.DUMMYFUNCTION("""COMPUTED_VALUE"""),96.08)</f>
        <v>96.08</v>
      </c>
      <c r="D189" s="141">
        <f ca="1">IFERROR(__xludf.DUMMYFUNCTION("""COMPUTED_VALUE"""),96.13)</f>
        <v>96.13</v>
      </c>
      <c r="E189" s="141">
        <f ca="1">IFERROR(__xludf.DUMMYFUNCTION("""COMPUTED_VALUE"""),93.08)</f>
        <v>93.08</v>
      </c>
      <c r="F189" s="141">
        <f ca="1">IFERROR(__xludf.DUMMYFUNCTION("""COMPUTED_VALUE"""),93.59)</f>
        <v>93.59</v>
      </c>
      <c r="G189" s="143">
        <f ca="1">IFERROR(__xludf.DUMMYFUNCTION("""COMPUTED_VALUE"""),45493717)</f>
        <v>45493717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IFERROR(__xludf.DUMMYFUNCTION("""COMPUTED_VALUE"""),95.53)</f>
        <v>95.53</v>
      </c>
      <c r="D190" s="141">
        <f ca="1">IFERROR(__xludf.DUMMYFUNCTION("""COMPUTED_VALUE"""),97.02)</f>
        <v>97.02</v>
      </c>
      <c r="E190" s="141">
        <f ca="1">IFERROR(__xludf.DUMMYFUNCTION("""COMPUTED_VALUE"""),94.95)</f>
        <v>94.95</v>
      </c>
      <c r="F190" s="141">
        <f ca="1">IFERROR(__xludf.DUMMYFUNCTION("""COMPUTED_VALUE"""),95.84)</f>
        <v>95.84</v>
      </c>
      <c r="G190" s="143">
        <f ca="1">IFERROR(__xludf.DUMMYFUNCTION("""COMPUTED_VALUE"""),40781200)</f>
        <v>40781200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IFERROR(__xludf.DUMMYFUNCTION("""COMPUTED_VALUE"""),94.49)</f>
        <v>94.49</v>
      </c>
      <c r="D191" s="141">
        <f ca="1">IFERROR(__xludf.DUMMYFUNCTION("""COMPUTED_VALUE"""),95.81)</f>
        <v>95.81</v>
      </c>
      <c r="E191" s="141">
        <f ca="1">IFERROR(__xludf.DUMMYFUNCTION("""COMPUTED_VALUE"""),94.35)</f>
        <v>94.35</v>
      </c>
      <c r="F191" s="141">
        <f ca="1">IFERROR(__xludf.DUMMYFUNCTION("""COMPUTED_VALUE"""),95.27)</f>
        <v>95.27</v>
      </c>
      <c r="G191" s="143">
        <f ca="1">IFERROR(__xludf.DUMMYFUNCTION("""COMPUTED_VALUE"""),22695848)</f>
        <v>22695848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IFERROR(__xludf.DUMMYFUNCTION("""COMPUTED_VALUE"""),96.92)</f>
        <v>96.92</v>
      </c>
      <c r="D192" s="141">
        <f ca="1">IFERROR(__xludf.DUMMYFUNCTION("""COMPUTED_VALUE"""),97.15)</f>
        <v>97.15</v>
      </c>
      <c r="E192" s="141">
        <f ca="1">IFERROR(__xludf.DUMMYFUNCTION("""COMPUTED_VALUE"""),96.15)</f>
        <v>96.15</v>
      </c>
      <c r="F192" s="141">
        <f ca="1">IFERROR(__xludf.DUMMYFUNCTION("""COMPUTED_VALUE"""),96.66)</f>
        <v>96.66</v>
      </c>
      <c r="G192" s="143">
        <f ca="1">IFERROR(__xludf.DUMMYFUNCTION("""COMPUTED_VALUE"""),20476287)</f>
        <v>20476287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IFERROR(__xludf.DUMMYFUNCTION("""COMPUTED_VALUE"""),95.47)</f>
        <v>95.47</v>
      </c>
      <c r="D193" s="141">
        <f ca="1">IFERROR(__xludf.DUMMYFUNCTION("""COMPUTED_VALUE"""),96.23)</f>
        <v>96.23</v>
      </c>
      <c r="E193" s="141">
        <f ca="1">IFERROR(__xludf.DUMMYFUNCTION("""COMPUTED_VALUE"""),94.62)</f>
        <v>94.62</v>
      </c>
      <c r="F193" s="141">
        <f ca="1">IFERROR(__xludf.DUMMYFUNCTION("""COMPUTED_VALUE"""),94.66)</f>
        <v>94.66</v>
      </c>
      <c r="G193" s="143">
        <f ca="1">IFERROR(__xludf.DUMMYFUNCTION("""COMPUTED_VALUE"""),19676756)</f>
        <v>19676756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IFERROR(__xludf.DUMMYFUNCTION("""COMPUTED_VALUE"""),94.29)</f>
        <v>94.29</v>
      </c>
      <c r="D194" s="141">
        <f ca="1">IFERROR(__xludf.DUMMYFUNCTION("""COMPUTED_VALUE"""),94.84)</f>
        <v>94.84</v>
      </c>
      <c r="E194" s="141">
        <f ca="1">IFERROR(__xludf.DUMMYFUNCTION("""COMPUTED_VALUE"""),93.52)</f>
        <v>93.52</v>
      </c>
      <c r="F194" s="141">
        <f ca="1">IFERROR(__xludf.DUMMYFUNCTION("""COMPUTED_VALUE"""),93.8)</f>
        <v>93.8</v>
      </c>
      <c r="G194" s="143">
        <f ca="1">IFERROR(__xludf.DUMMYFUNCTION("""COMPUTED_VALUE"""),22341138)</f>
        <v>22341138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IFERROR(__xludf.DUMMYFUNCTION("""COMPUTED_VALUE"""),94.72)</f>
        <v>94.72</v>
      </c>
      <c r="D195" s="141">
        <f ca="1">IFERROR(__xludf.DUMMYFUNCTION("""COMPUTED_VALUE"""),94.98)</f>
        <v>94.98</v>
      </c>
      <c r="E195" s="141">
        <f ca="1">IFERROR(__xludf.DUMMYFUNCTION("""COMPUTED_VALUE"""),93.67)</f>
        <v>93.67</v>
      </c>
      <c r="F195" s="141">
        <f ca="1">IFERROR(__xludf.DUMMYFUNCTION("""COMPUTED_VALUE"""),94.07)</f>
        <v>94.07</v>
      </c>
      <c r="G195" s="143">
        <f ca="1">IFERROR(__xludf.DUMMYFUNCTION("""COMPUTED_VALUE"""),16136381)</f>
        <v>16136381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IFERROR(__xludf.DUMMYFUNCTION("""COMPUTED_VALUE"""),95.57)</f>
        <v>95.57</v>
      </c>
      <c r="D196" s="141">
        <f ca="1">IFERROR(__xludf.DUMMYFUNCTION("""COMPUTED_VALUE"""),97.16)</f>
        <v>97.16</v>
      </c>
      <c r="E196" s="141">
        <f ca="1">IFERROR(__xludf.DUMMYFUNCTION("""COMPUTED_VALUE"""),95.06)</f>
        <v>95.06</v>
      </c>
      <c r="F196" s="141">
        <f ca="1">IFERROR(__xludf.DUMMYFUNCTION("""COMPUTED_VALUE"""),97.13)</f>
        <v>97.13</v>
      </c>
      <c r="G196" s="143">
        <f ca="1">IFERROR(__xludf.DUMMYFUNCTION("""COMPUTED_VALUE"""),39447980)</f>
        <v>39447980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IFERROR(__xludf.DUMMYFUNCTION("""COMPUTED_VALUE"""),98.52)</f>
        <v>98.52</v>
      </c>
      <c r="D197" s="141">
        <f ca="1">IFERROR(__xludf.DUMMYFUNCTION("""COMPUTED_VALUE"""),99.32)</f>
        <v>99.32</v>
      </c>
      <c r="E197" s="141">
        <f ca="1">IFERROR(__xludf.DUMMYFUNCTION("""COMPUTED_VALUE"""),98.22)</f>
        <v>98.22</v>
      </c>
      <c r="F197" s="141">
        <f ca="1">IFERROR(__xludf.DUMMYFUNCTION("""COMPUTED_VALUE"""),98.61)</f>
        <v>98.61</v>
      </c>
      <c r="G197" s="143">
        <f ca="1">IFERROR(__xludf.DUMMYFUNCTION("""COMPUTED_VALUE"""),27123210)</f>
        <v>27123210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IFERROR(__xludf.DUMMYFUNCTION("""COMPUTED_VALUE"""),96.54)</f>
        <v>96.54</v>
      </c>
      <c r="D198" s="141">
        <f ca="1">IFERROR(__xludf.DUMMYFUNCTION("""COMPUTED_VALUE"""),98.42)</f>
        <v>98.42</v>
      </c>
      <c r="E198" s="141">
        <f ca="1">IFERROR(__xludf.DUMMYFUNCTION("""COMPUTED_VALUE"""),96.36)</f>
        <v>96.36</v>
      </c>
      <c r="F198" s="141">
        <f ca="1">IFERROR(__xludf.DUMMYFUNCTION("""COMPUTED_VALUE"""),98)</f>
        <v>98</v>
      </c>
      <c r="G198" s="143">
        <f ca="1">IFERROR(__xludf.DUMMYFUNCTION("""COMPUTED_VALUE"""),17276285)</f>
        <v>17276285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IFERROR(__xludf.DUMMYFUNCTION("""COMPUTED_VALUE"""),98.13)</f>
        <v>98.13</v>
      </c>
      <c r="D199" s="141">
        <f ca="1">IFERROR(__xludf.DUMMYFUNCTION("""COMPUTED_VALUE"""),98.73)</f>
        <v>98.73</v>
      </c>
      <c r="E199" s="141">
        <f ca="1">IFERROR(__xludf.DUMMYFUNCTION("""COMPUTED_VALUE"""),98.03)</f>
        <v>98.03</v>
      </c>
      <c r="F199" s="141">
        <f ca="1">IFERROR(__xludf.DUMMYFUNCTION("""COMPUTED_VALUE"""),98.49)</f>
        <v>98.49</v>
      </c>
      <c r="G199" s="143">
        <f ca="1">IFERROR(__xludf.DUMMYFUNCTION("""COMPUTED_VALUE"""),11810903)</f>
        <v>11810903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IFERROR(__xludf.DUMMYFUNCTION("""COMPUTED_VALUE"""),97.67)</f>
        <v>97.67</v>
      </c>
      <c r="D200" s="141">
        <f ca="1">IFERROR(__xludf.DUMMYFUNCTION("""COMPUTED_VALUE"""),98.5)</f>
        <v>98.5</v>
      </c>
      <c r="E200" s="141">
        <f ca="1">IFERROR(__xludf.DUMMYFUNCTION("""COMPUTED_VALUE"""),96.79)</f>
        <v>96.79</v>
      </c>
      <c r="F200" s="141">
        <f ca="1">IFERROR(__xludf.DUMMYFUNCTION("""COMPUTED_VALUE"""),98.35)</f>
        <v>98.35</v>
      </c>
      <c r="G200" s="143">
        <f ca="1">IFERROR(__xludf.DUMMYFUNCTION("""COMPUTED_VALUE"""),19809723)</f>
        <v>19809723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IFERROR(__xludf.DUMMYFUNCTION("""COMPUTED_VALUE"""),102.49)</f>
        <v>102.49</v>
      </c>
      <c r="D201" s="141">
        <f ca="1">IFERROR(__xludf.DUMMYFUNCTION("""COMPUTED_VALUE"""),102.64)</f>
        <v>102.64</v>
      </c>
      <c r="E201" s="141">
        <f ca="1">IFERROR(__xludf.DUMMYFUNCTION("""COMPUTED_VALUE"""),101.52)</f>
        <v>101.52</v>
      </c>
      <c r="F201" s="141">
        <f ca="1">IFERROR(__xludf.DUMMYFUNCTION("""COMPUTED_VALUE"""),102.19)</f>
        <v>102.19</v>
      </c>
      <c r="G201" s="143">
        <f ca="1">IFERROR(__xludf.DUMMYFUNCTION("""COMPUTED_VALUE"""),22300868)</f>
        <v>22300868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IFERROR(__xludf.DUMMYFUNCTION("""COMPUTED_VALUE"""),101.09)</f>
        <v>101.09</v>
      </c>
      <c r="D202" s="141">
        <f ca="1">IFERROR(__xludf.DUMMYFUNCTION("""COMPUTED_VALUE"""),102.47)</f>
        <v>102.47</v>
      </c>
      <c r="E202" s="141">
        <f ca="1">IFERROR(__xludf.DUMMYFUNCTION("""COMPUTED_VALUE"""),100.91)</f>
        <v>100.91</v>
      </c>
      <c r="F202" s="141">
        <f ca="1">IFERROR(__xludf.DUMMYFUNCTION("""COMPUTED_VALUE"""),101.95)</f>
        <v>101.95</v>
      </c>
      <c r="G202" s="143">
        <f ca="1">IFERROR(__xludf.DUMMYFUNCTION("""COMPUTED_VALUE"""),14958352)</f>
        <v>14958352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IFERROR(__xludf.DUMMYFUNCTION("""COMPUTED_VALUE"""),102.63)</f>
        <v>102.63</v>
      </c>
      <c r="D203" s="141">
        <f ca="1">IFERROR(__xludf.DUMMYFUNCTION("""COMPUTED_VALUE"""),102.69)</f>
        <v>102.69</v>
      </c>
      <c r="E203" s="141">
        <f ca="1">IFERROR(__xludf.DUMMYFUNCTION("""COMPUTED_VALUE"""),101.81)</f>
        <v>101.81</v>
      </c>
      <c r="F203" s="141">
        <f ca="1">IFERROR(__xludf.DUMMYFUNCTION("""COMPUTED_VALUE"""),102.18)</f>
        <v>102.18</v>
      </c>
      <c r="G203" s="143">
        <f ca="1">IFERROR(__xludf.DUMMYFUNCTION("""COMPUTED_VALUE"""),8670349)</f>
        <v>8670349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IFERROR(__xludf.DUMMYFUNCTION("""COMPUTED_VALUE"""),101.27)</f>
        <v>101.27</v>
      </c>
      <c r="D204" s="141">
        <f ca="1">IFERROR(__xludf.DUMMYFUNCTION("""COMPUTED_VALUE"""),102.85)</f>
        <v>102.85</v>
      </c>
      <c r="E204" s="141">
        <f ca="1">IFERROR(__xludf.DUMMYFUNCTION("""COMPUTED_VALUE"""),101.18)</f>
        <v>101.18</v>
      </c>
      <c r="F204" s="141">
        <f ca="1">IFERROR(__xludf.DUMMYFUNCTION("""COMPUTED_VALUE"""),102.81)</f>
        <v>102.81</v>
      </c>
      <c r="G204" s="143">
        <f ca="1">IFERROR(__xludf.DUMMYFUNCTION("""COMPUTED_VALUE"""),19346913)</f>
        <v>19346913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IFERROR(__xludf.DUMMYFUNCTION("""COMPUTED_VALUE"""),103.34)</f>
        <v>103.34</v>
      </c>
      <c r="D205" s="141">
        <f ca="1">IFERROR(__xludf.DUMMYFUNCTION("""COMPUTED_VALUE"""),103.82)</f>
        <v>103.82</v>
      </c>
      <c r="E205" s="141">
        <f ca="1">IFERROR(__xludf.DUMMYFUNCTION("""COMPUTED_VALUE"""),103.21)</f>
        <v>103.21</v>
      </c>
      <c r="F205" s="141">
        <f ca="1">IFERROR(__xludf.DUMMYFUNCTION("""COMPUTED_VALUE"""),103.64)</f>
        <v>103.64</v>
      </c>
      <c r="G205" s="143">
        <f ca="1">IFERROR(__xludf.DUMMYFUNCTION("""COMPUTED_VALUE"""),16581254)</f>
        <v>16581254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IFERROR(__xludf.DUMMYFUNCTION("""COMPUTED_VALUE"""),103.39)</f>
        <v>103.39</v>
      </c>
      <c r="D206" s="141">
        <f ca="1">IFERROR(__xludf.DUMMYFUNCTION("""COMPUTED_VALUE"""),103.45)</f>
        <v>103.45</v>
      </c>
      <c r="E206" s="141">
        <f ca="1">IFERROR(__xludf.DUMMYFUNCTION("""COMPUTED_VALUE"""),102.94)</f>
        <v>102.94</v>
      </c>
      <c r="F206" s="141">
        <f ca="1">IFERROR(__xludf.DUMMYFUNCTION("""COMPUTED_VALUE"""),103.31)</f>
        <v>103.31</v>
      </c>
      <c r="G206" s="143">
        <f ca="1">IFERROR(__xludf.DUMMYFUNCTION("""COMPUTED_VALUE"""),8786288)</f>
        <v>8786288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IFERROR(__xludf.DUMMYFUNCTION("""COMPUTED_VALUE"""),103.56)</f>
        <v>103.56</v>
      </c>
      <c r="D207" s="141">
        <f ca="1">IFERROR(__xludf.DUMMYFUNCTION("""COMPUTED_VALUE"""),103.58)</f>
        <v>103.58</v>
      </c>
      <c r="E207" s="141">
        <f ca="1">IFERROR(__xludf.DUMMYFUNCTION("""COMPUTED_VALUE"""),102.65)</f>
        <v>102.65</v>
      </c>
      <c r="F207" s="141">
        <f ca="1">IFERROR(__xludf.DUMMYFUNCTION("""COMPUTED_VALUE"""),103.01)</f>
        <v>103.01</v>
      </c>
      <c r="G207" s="143">
        <f ca="1">IFERROR(__xludf.DUMMYFUNCTION("""COMPUTED_VALUE"""),13227622)</f>
        <v>13227622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IFERROR(__xludf.DUMMYFUNCTION("""COMPUTED_VALUE"""),104.46)</f>
        <v>104.46</v>
      </c>
      <c r="D208" s="141">
        <f ca="1">IFERROR(__xludf.DUMMYFUNCTION("""COMPUTED_VALUE"""),105.13)</f>
        <v>105.13</v>
      </c>
      <c r="E208" s="141">
        <f ca="1">IFERROR(__xludf.DUMMYFUNCTION("""COMPUTED_VALUE"""),104.21)</f>
        <v>104.21</v>
      </c>
      <c r="F208" s="141">
        <f ca="1">IFERROR(__xludf.DUMMYFUNCTION("""COMPUTED_VALUE"""),104.32)</f>
        <v>104.32</v>
      </c>
      <c r="G208" s="143">
        <f ca="1">IFERROR(__xludf.DUMMYFUNCTION("""COMPUTED_VALUE"""),17321901)</f>
        <v>17321901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IFERROR(__xludf.DUMMYFUNCTION("""COMPUTED_VALUE"""),103.72)</f>
        <v>103.72</v>
      </c>
      <c r="D209" s="141">
        <f ca="1">IFERROR(__xludf.DUMMYFUNCTION("""COMPUTED_VALUE"""),103.93)</f>
        <v>103.93</v>
      </c>
      <c r="E209" s="141">
        <f ca="1">IFERROR(__xludf.DUMMYFUNCTION("""COMPUTED_VALUE"""),103.13)</f>
        <v>103.13</v>
      </c>
      <c r="F209" s="141">
        <f ca="1">IFERROR(__xludf.DUMMYFUNCTION("""COMPUTED_VALUE"""),103.91)</f>
        <v>103.91</v>
      </c>
      <c r="G209" s="143">
        <f ca="1">IFERROR(__xludf.DUMMYFUNCTION("""COMPUTED_VALUE"""),12896409)</f>
        <v>12896409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IFERROR(__xludf.DUMMYFUNCTION("""COMPUTED_VALUE"""),103.13)</f>
        <v>103.13</v>
      </c>
      <c r="D210" s="141">
        <f ca="1">IFERROR(__xludf.DUMMYFUNCTION("""COMPUTED_VALUE"""),103.27)</f>
        <v>103.27</v>
      </c>
      <c r="E210" s="141">
        <f ca="1">IFERROR(__xludf.DUMMYFUNCTION("""COMPUTED_VALUE"""),101.51)</f>
        <v>101.51</v>
      </c>
      <c r="F210" s="141">
        <f ca="1">IFERROR(__xludf.DUMMYFUNCTION("""COMPUTED_VALUE"""),101.63)</f>
        <v>101.63</v>
      </c>
      <c r="G210" s="143">
        <f ca="1">IFERROR(__xludf.DUMMYFUNCTION("""COMPUTED_VALUE"""),18105408)</f>
        <v>18105408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IFERROR(__xludf.DUMMYFUNCTION("""COMPUTED_VALUE"""),102.33)</f>
        <v>102.33</v>
      </c>
      <c r="D211" s="141">
        <f ca="1">IFERROR(__xludf.DUMMYFUNCTION("""COMPUTED_VALUE"""),102.38)</f>
        <v>102.38</v>
      </c>
      <c r="E211" s="141">
        <f ca="1">IFERROR(__xludf.DUMMYFUNCTION("""COMPUTED_VALUE"""),101.65)</f>
        <v>101.65</v>
      </c>
      <c r="F211" s="141">
        <f ca="1">IFERROR(__xludf.DUMMYFUNCTION("""COMPUTED_VALUE"""),101.97)</f>
        <v>101.97</v>
      </c>
      <c r="G211" s="143">
        <f ca="1">IFERROR(__xludf.DUMMYFUNCTION("""COMPUTED_VALUE"""),9990803)</f>
        <v>9990803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IFERROR(__xludf.DUMMYFUNCTION("""COMPUTED_VALUE"""),101.75)</f>
        <v>101.75</v>
      </c>
      <c r="D212" s="141">
        <f ca="1">IFERROR(__xludf.DUMMYFUNCTION("""COMPUTED_VALUE"""),102.12)</f>
        <v>102.12</v>
      </c>
      <c r="E212" s="141">
        <f ca="1">IFERROR(__xludf.DUMMYFUNCTION("""COMPUTED_VALUE"""),100.15)</f>
        <v>100.15</v>
      </c>
      <c r="F212" s="141">
        <f ca="1">IFERROR(__xludf.DUMMYFUNCTION("""COMPUTED_VALUE"""),101.24)</f>
        <v>101.24</v>
      </c>
      <c r="G212" s="143">
        <f ca="1">IFERROR(__xludf.DUMMYFUNCTION("""COMPUTED_VALUE"""),15774205)</f>
        <v>15774205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IFERROR(__xludf.DUMMYFUNCTION("""COMPUTED_VALUE"""),101.41)</f>
        <v>101.41</v>
      </c>
      <c r="D213" s="141">
        <f ca="1">IFERROR(__xludf.DUMMYFUNCTION("""COMPUTED_VALUE"""),101.96)</f>
        <v>101.96</v>
      </c>
      <c r="E213" s="141">
        <f ca="1">IFERROR(__xludf.DUMMYFUNCTION("""COMPUTED_VALUE"""),101.15)</f>
        <v>101.15</v>
      </c>
      <c r="F213" s="141">
        <f ca="1">IFERROR(__xludf.DUMMYFUNCTION("""COMPUTED_VALUE"""),101.77)</f>
        <v>101.77</v>
      </c>
      <c r="G213" s="143">
        <f ca="1">IFERROR(__xludf.DUMMYFUNCTION("""COMPUTED_VALUE"""),14219369)</f>
        <v>14219369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IFERROR(__xludf.DUMMYFUNCTION("""COMPUTED_VALUE"""),101.83)</f>
        <v>101.83</v>
      </c>
      <c r="D214" s="141">
        <f ca="1">IFERROR(__xludf.DUMMYFUNCTION("""COMPUTED_VALUE"""),102.06)</f>
        <v>102.06</v>
      </c>
      <c r="E214" s="141">
        <f ca="1">IFERROR(__xludf.DUMMYFUNCTION("""COMPUTED_VALUE"""),101.34)</f>
        <v>101.34</v>
      </c>
      <c r="F214" s="141">
        <f ca="1">IFERROR(__xludf.DUMMYFUNCTION("""COMPUTED_VALUE"""),101.38)</f>
        <v>101.38</v>
      </c>
      <c r="G214" s="143">
        <f ca="1">IFERROR(__xludf.DUMMYFUNCTION("""COMPUTED_VALUE"""),10091680)</f>
        <v>10091680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IFERROR(__xludf.DUMMYFUNCTION("""COMPUTED_VALUE"""),100.93)</f>
        <v>100.93</v>
      </c>
      <c r="D215" s="141">
        <f ca="1">IFERROR(__xludf.DUMMYFUNCTION("""COMPUTED_VALUE"""),101.13)</f>
        <v>101.13</v>
      </c>
      <c r="E215" s="141">
        <f ca="1">IFERROR(__xludf.DUMMYFUNCTION("""COMPUTED_VALUE"""),100.56)</f>
        <v>100.56</v>
      </c>
      <c r="F215" s="141">
        <f ca="1">IFERROR(__xludf.DUMMYFUNCTION("""COMPUTED_VALUE"""),100.96)</f>
        <v>100.96</v>
      </c>
      <c r="G215" s="143">
        <f ca="1">IFERROR(__xludf.DUMMYFUNCTION("""COMPUTED_VALUE"""),11008861)</f>
        <v>11008861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IFERROR(__xludf.DUMMYFUNCTION("""COMPUTED_VALUE"""),100.4)</f>
        <v>100.4</v>
      </c>
      <c r="D216" s="141">
        <f ca="1">IFERROR(__xludf.DUMMYFUNCTION("""COMPUTED_VALUE"""),100.48)</f>
        <v>100.48</v>
      </c>
      <c r="E216" s="141">
        <f ca="1">IFERROR(__xludf.DUMMYFUNCTION("""COMPUTED_VALUE"""),99.51)</f>
        <v>99.51</v>
      </c>
      <c r="F216" s="141">
        <f ca="1">IFERROR(__xludf.DUMMYFUNCTION("""COMPUTED_VALUE"""),99.93)</f>
        <v>99.93</v>
      </c>
      <c r="G216" s="143">
        <f ca="1">IFERROR(__xludf.DUMMYFUNCTION("""COMPUTED_VALUE"""),10987199)</f>
        <v>10987199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IFERROR(__xludf.DUMMYFUNCTION("""COMPUTED_VALUE"""),101.32)</f>
        <v>101.32</v>
      </c>
      <c r="D217" s="141">
        <f ca="1">IFERROR(__xludf.DUMMYFUNCTION("""COMPUTED_VALUE"""),102.58)</f>
        <v>102.58</v>
      </c>
      <c r="E217" s="141">
        <f ca="1">IFERROR(__xludf.DUMMYFUNCTION("""COMPUTED_VALUE"""),101.09)</f>
        <v>101.09</v>
      </c>
      <c r="F217" s="141">
        <f ca="1">IFERROR(__xludf.DUMMYFUNCTION("""COMPUTED_VALUE"""),102.32)</f>
        <v>102.32</v>
      </c>
      <c r="G217" s="143">
        <f ca="1">IFERROR(__xludf.DUMMYFUNCTION("""COMPUTED_VALUE"""),16585805)</f>
        <v>16585805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IFERROR(__xludf.DUMMYFUNCTION("""COMPUTED_VALUE"""),102.29)</f>
        <v>102.29</v>
      </c>
      <c r="D218" s="141">
        <f ca="1">IFERROR(__xludf.DUMMYFUNCTION("""COMPUTED_VALUE"""),102.87)</f>
        <v>102.87</v>
      </c>
      <c r="E218" s="141">
        <f ca="1">IFERROR(__xludf.DUMMYFUNCTION("""COMPUTED_VALUE"""),102.07)</f>
        <v>102.07</v>
      </c>
      <c r="F218" s="141">
        <f ca="1">IFERROR(__xludf.DUMMYFUNCTION("""COMPUTED_VALUE"""),102.1)</f>
        <v>102.1</v>
      </c>
      <c r="G218" s="143">
        <f ca="1">IFERROR(__xludf.DUMMYFUNCTION("""COMPUTED_VALUE"""),14447180)</f>
        <v>14447180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IFERROR(__xludf.DUMMYFUNCTION("""COMPUTED_VALUE"""),101.44)</f>
        <v>101.44</v>
      </c>
      <c r="D219" s="141">
        <f ca="1">IFERROR(__xludf.DUMMYFUNCTION("""COMPUTED_VALUE"""),101.72)</f>
        <v>101.72</v>
      </c>
      <c r="E219" s="141">
        <f ca="1">IFERROR(__xludf.DUMMYFUNCTION("""COMPUTED_VALUE"""),100.26)</f>
        <v>100.26</v>
      </c>
      <c r="F219" s="141">
        <f ca="1">IFERROR(__xludf.DUMMYFUNCTION("""COMPUTED_VALUE"""),100.7)</f>
        <v>100.7</v>
      </c>
      <c r="G219" s="143">
        <f ca="1">IFERROR(__xludf.DUMMYFUNCTION("""COMPUTED_VALUE"""),21026267)</f>
        <v>21026267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IFERROR(__xludf.DUMMYFUNCTION("""COMPUTED_VALUE"""),101.67)</f>
        <v>101.67</v>
      </c>
      <c r="D220" s="141">
        <f ca="1">IFERROR(__xludf.DUMMYFUNCTION("""COMPUTED_VALUE"""),102.16)</f>
        <v>102.16</v>
      </c>
      <c r="E220" s="141">
        <f ca="1">IFERROR(__xludf.DUMMYFUNCTION("""COMPUTED_VALUE"""),101.19)</f>
        <v>101.19</v>
      </c>
      <c r="F220" s="141">
        <f ca="1">IFERROR(__xludf.DUMMYFUNCTION("""COMPUTED_VALUE"""),102.04)</f>
        <v>102.04</v>
      </c>
      <c r="G220" s="143">
        <f ca="1">IFERROR(__xludf.DUMMYFUNCTION("""COMPUTED_VALUE"""),12347316)</f>
        <v>12347316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IFERROR(__xludf.DUMMYFUNCTION("""COMPUTED_VALUE"""),104.5)</f>
        <v>104.5</v>
      </c>
      <c r="D221" s="141">
        <f ca="1">IFERROR(__xludf.DUMMYFUNCTION("""COMPUTED_VALUE"""),104.92)</f>
        <v>104.92</v>
      </c>
      <c r="E221" s="141">
        <f ca="1">IFERROR(__xludf.DUMMYFUNCTION("""COMPUTED_VALUE"""),104.31)</f>
        <v>104.31</v>
      </c>
      <c r="F221" s="141">
        <f ca="1">IFERROR(__xludf.DUMMYFUNCTION("""COMPUTED_VALUE"""),104.81)</f>
        <v>104.81</v>
      </c>
      <c r="G221" s="143">
        <f ca="1">IFERROR(__xludf.DUMMYFUNCTION("""COMPUTED_VALUE"""),14755516)</f>
        <v>14755516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IFERROR(__xludf.DUMMYFUNCTION("""COMPUTED_VALUE"""),104.82)</f>
        <v>104.82</v>
      </c>
      <c r="D222" s="141">
        <f ca="1">IFERROR(__xludf.DUMMYFUNCTION("""COMPUTED_VALUE"""),104.86)</f>
        <v>104.86</v>
      </c>
      <c r="E222" s="141">
        <f ca="1">IFERROR(__xludf.DUMMYFUNCTION("""COMPUTED_VALUE"""),102.82)</f>
        <v>102.82</v>
      </c>
      <c r="F222" s="141">
        <f ca="1">IFERROR(__xludf.DUMMYFUNCTION("""COMPUTED_VALUE"""),102.89)</f>
        <v>102.89</v>
      </c>
      <c r="G222" s="143">
        <f ca="1">IFERROR(__xludf.DUMMYFUNCTION("""COMPUTED_VALUE"""),19257475)</f>
        <v>19257475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IFERROR(__xludf.DUMMYFUNCTION("""COMPUTED_VALUE"""),103.77)</f>
        <v>103.77</v>
      </c>
      <c r="D223" s="141">
        <f ca="1">IFERROR(__xludf.DUMMYFUNCTION("""COMPUTED_VALUE"""),104.04)</f>
        <v>104.04</v>
      </c>
      <c r="E223" s="141">
        <f ca="1">IFERROR(__xludf.DUMMYFUNCTION("""COMPUTED_VALUE"""),103.39)</f>
        <v>103.39</v>
      </c>
      <c r="F223" s="141">
        <f ca="1">IFERROR(__xludf.DUMMYFUNCTION("""COMPUTED_VALUE"""),103.96)</f>
        <v>103.96</v>
      </c>
      <c r="G223" s="143">
        <f ca="1">IFERROR(__xludf.DUMMYFUNCTION("""COMPUTED_VALUE"""),12280190)</f>
        <v>12280190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IFERROR(__xludf.DUMMYFUNCTION("""COMPUTED_VALUE"""),103.81)</f>
        <v>103.81</v>
      </c>
      <c r="D224" s="141">
        <f ca="1">IFERROR(__xludf.DUMMYFUNCTION("""COMPUTED_VALUE"""),104)</f>
        <v>104</v>
      </c>
      <c r="E224" s="141">
        <f ca="1">IFERROR(__xludf.DUMMYFUNCTION("""COMPUTED_VALUE"""),103.57)</f>
        <v>103.57</v>
      </c>
      <c r="F224" s="141">
        <f ca="1">IFERROR(__xludf.DUMMYFUNCTION("""COMPUTED_VALUE"""),103.74)</f>
        <v>103.74</v>
      </c>
      <c r="G224" s="143">
        <f ca="1">IFERROR(__xludf.DUMMYFUNCTION("""COMPUTED_VALUE"""),10717946)</f>
        <v>10717946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IFERROR(__xludf.DUMMYFUNCTION("""COMPUTED_VALUE"""),103)</f>
        <v>103</v>
      </c>
      <c r="D225" s="141">
        <f ca="1">IFERROR(__xludf.DUMMYFUNCTION("""COMPUTED_VALUE"""),103.28)</f>
        <v>103.28</v>
      </c>
      <c r="E225" s="141">
        <f ca="1">IFERROR(__xludf.DUMMYFUNCTION("""COMPUTED_VALUE"""),102.35)</f>
        <v>102.35</v>
      </c>
      <c r="F225" s="141">
        <f ca="1">IFERROR(__xludf.DUMMYFUNCTION("""COMPUTED_VALUE"""),103.14)</f>
        <v>103.14</v>
      </c>
      <c r="G225" s="143">
        <f ca="1">IFERROR(__xludf.DUMMYFUNCTION("""COMPUTED_VALUE"""),15771338)</f>
        <v>15771338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IFERROR(__xludf.DUMMYFUNCTION("""COMPUTED_VALUE"""),103.01)</f>
        <v>103.01</v>
      </c>
      <c r="D226" s="141">
        <f ca="1">IFERROR(__xludf.DUMMYFUNCTION("""COMPUTED_VALUE"""),103.88)</f>
        <v>103.88</v>
      </c>
      <c r="E226" s="141">
        <f ca="1">IFERROR(__xludf.DUMMYFUNCTION("""COMPUTED_VALUE"""),102.93)</f>
        <v>102.93</v>
      </c>
      <c r="F226" s="141">
        <f ca="1">IFERROR(__xludf.DUMMYFUNCTION("""COMPUTED_VALUE"""),103.83)</f>
        <v>103.83</v>
      </c>
      <c r="G226" s="143">
        <f ca="1">IFERROR(__xludf.DUMMYFUNCTION("""COMPUTED_VALUE"""),9578943)</f>
        <v>9578943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IFERROR(__xludf.DUMMYFUNCTION("""COMPUTED_VALUE"""),103.79)</f>
        <v>103.79</v>
      </c>
      <c r="D227" s="141">
        <f ca="1">IFERROR(__xludf.DUMMYFUNCTION("""COMPUTED_VALUE"""),103.93)</f>
        <v>103.93</v>
      </c>
      <c r="E227" s="141">
        <f ca="1">IFERROR(__xludf.DUMMYFUNCTION("""COMPUTED_VALUE"""),103.41)</f>
        <v>103.41</v>
      </c>
      <c r="F227" s="141">
        <f ca="1">IFERROR(__xludf.DUMMYFUNCTION("""COMPUTED_VALUE"""),103.46)</f>
        <v>103.46</v>
      </c>
      <c r="G227" s="143">
        <f ca="1">IFERROR(__xludf.DUMMYFUNCTION("""COMPUTED_VALUE"""),8943807)</f>
        <v>8943807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IFERROR(__xludf.DUMMYFUNCTION("""COMPUTED_VALUE"""),102.01)</f>
        <v>102.01</v>
      </c>
      <c r="D228" s="141">
        <f ca="1">IFERROR(__xludf.DUMMYFUNCTION("""COMPUTED_VALUE"""),102.14)</f>
        <v>102.14</v>
      </c>
      <c r="E228" s="141">
        <f ca="1">IFERROR(__xludf.DUMMYFUNCTION("""COMPUTED_VALUE"""),101.55)</f>
        <v>101.55</v>
      </c>
      <c r="F228" s="141">
        <f ca="1">IFERROR(__xludf.DUMMYFUNCTION("""COMPUTED_VALUE"""),101.72)</f>
        <v>101.72</v>
      </c>
      <c r="G228" s="143">
        <f ca="1">IFERROR(__xludf.DUMMYFUNCTION("""COMPUTED_VALUE"""),17916753)</f>
        <v>17916753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IFERROR(__xludf.DUMMYFUNCTION("""COMPUTED_VALUE"""),102.48)</f>
        <v>102.48</v>
      </c>
      <c r="D229" s="141">
        <f ca="1">IFERROR(__xludf.DUMMYFUNCTION("""COMPUTED_VALUE"""),102.82)</f>
        <v>102.82</v>
      </c>
      <c r="E229" s="141">
        <f ca="1">IFERROR(__xludf.DUMMYFUNCTION("""COMPUTED_VALUE"""),101.78)</f>
        <v>101.78</v>
      </c>
      <c r="F229" s="141">
        <f ca="1">IFERROR(__xludf.DUMMYFUNCTION("""COMPUTED_VALUE"""),102.66)</f>
        <v>102.66</v>
      </c>
      <c r="G229" s="143">
        <f ca="1">IFERROR(__xludf.DUMMYFUNCTION("""COMPUTED_VALUE"""),15943993)</f>
        <v>15943993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IFERROR(__xludf.DUMMYFUNCTION("""COMPUTED_VALUE"""),102.08)</f>
        <v>102.08</v>
      </c>
      <c r="D230" s="141">
        <f ca="1">IFERROR(__xludf.DUMMYFUNCTION("""COMPUTED_VALUE"""),102.47)</f>
        <v>102.47</v>
      </c>
      <c r="E230" s="141">
        <f ca="1">IFERROR(__xludf.DUMMYFUNCTION("""COMPUTED_VALUE"""),101.69)</f>
        <v>101.69</v>
      </c>
      <c r="F230" s="141">
        <f ca="1">IFERROR(__xludf.DUMMYFUNCTION("""COMPUTED_VALUE"""),101.92)</f>
        <v>101.92</v>
      </c>
      <c r="G230" s="143">
        <f ca="1">IFERROR(__xludf.DUMMYFUNCTION("""COMPUTED_VALUE"""),13211795)</f>
        <v>13211795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IFERROR(__xludf.DUMMYFUNCTION("""COMPUTED_VALUE"""),102.14)</f>
        <v>102.14</v>
      </c>
      <c r="D231" s="141">
        <f ca="1">IFERROR(__xludf.DUMMYFUNCTION("""COMPUTED_VALUE"""),103.91)</f>
        <v>103.91</v>
      </c>
      <c r="E231" s="141">
        <f ca="1">IFERROR(__xludf.DUMMYFUNCTION("""COMPUTED_VALUE"""),101.97)</f>
        <v>101.97</v>
      </c>
      <c r="F231" s="141">
        <f ca="1">IFERROR(__xludf.DUMMYFUNCTION("""COMPUTED_VALUE"""),103.62)</f>
        <v>103.62</v>
      </c>
      <c r="G231" s="143">
        <f ca="1">IFERROR(__xludf.DUMMYFUNCTION("""COMPUTED_VALUE"""),16511774)</f>
        <v>16511774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IFERROR(__xludf.DUMMYFUNCTION("""COMPUTED_VALUE"""),102.82)</f>
        <v>102.82</v>
      </c>
      <c r="D232" s="141">
        <f ca="1">IFERROR(__xludf.DUMMYFUNCTION("""COMPUTED_VALUE"""),104.56)</f>
        <v>104.56</v>
      </c>
      <c r="E232" s="141">
        <f ca="1">IFERROR(__xludf.DUMMYFUNCTION("""COMPUTED_VALUE"""),102.6)</f>
        <v>102.6</v>
      </c>
      <c r="F232" s="141">
        <f ca="1">IFERROR(__xludf.DUMMYFUNCTION("""COMPUTED_VALUE"""),104.19)</f>
        <v>104.19</v>
      </c>
      <c r="G232" s="143">
        <f ca="1">IFERROR(__xludf.DUMMYFUNCTION("""COMPUTED_VALUE"""),14357632)</f>
        <v>14357632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IFERROR(__xludf.DUMMYFUNCTION("""COMPUTED_VALUE"""),104.22)</f>
        <v>104.22</v>
      </c>
      <c r="D233" s="141">
        <f ca="1">IFERROR(__xludf.DUMMYFUNCTION("""COMPUTED_VALUE"""),104.48)</f>
        <v>104.48</v>
      </c>
      <c r="E233" s="141">
        <f ca="1">IFERROR(__xludf.DUMMYFUNCTION("""COMPUTED_VALUE"""),103.79)</f>
        <v>103.79</v>
      </c>
      <c r="F233" s="141">
        <f ca="1">IFERROR(__xludf.DUMMYFUNCTION("""COMPUTED_VALUE"""),103.98)</f>
        <v>103.98</v>
      </c>
      <c r="G233" s="143">
        <f ca="1">IFERROR(__xludf.DUMMYFUNCTION("""COMPUTED_VALUE"""),12012636)</f>
        <v>12012636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IFERROR(__xludf.DUMMYFUNCTION("""COMPUTED_VALUE"""),105.35)</f>
        <v>105.35</v>
      </c>
      <c r="D234" s="141">
        <f ca="1">IFERROR(__xludf.DUMMYFUNCTION("""COMPUTED_VALUE"""),105.46)</f>
        <v>105.46</v>
      </c>
      <c r="E234" s="141">
        <f ca="1">IFERROR(__xludf.DUMMYFUNCTION("""COMPUTED_VALUE"""),104.76)</f>
        <v>104.76</v>
      </c>
      <c r="F234" s="141">
        <f ca="1">IFERROR(__xludf.DUMMYFUNCTION("""COMPUTED_VALUE"""),105.13)</f>
        <v>105.13</v>
      </c>
      <c r="G234" s="143">
        <f ca="1">IFERROR(__xludf.DUMMYFUNCTION("""COMPUTED_VALUE"""),12884884)</f>
        <v>12884884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IFERROR(__xludf.DUMMYFUNCTION("""COMPUTED_VALUE"""),105.06)</f>
        <v>105.06</v>
      </c>
      <c r="D235" s="141">
        <f ca="1">IFERROR(__xludf.DUMMYFUNCTION("""COMPUTED_VALUE"""),105.09)</f>
        <v>105.09</v>
      </c>
      <c r="E235" s="141">
        <f ca="1">IFERROR(__xludf.DUMMYFUNCTION("""COMPUTED_VALUE"""),104.52)</f>
        <v>104.52</v>
      </c>
      <c r="F235" s="141">
        <f ca="1">IFERROR(__xludf.DUMMYFUNCTION("""COMPUTED_VALUE"""),104.77)</f>
        <v>104.77</v>
      </c>
      <c r="G235" s="143">
        <f ca="1">IFERROR(__xludf.DUMMYFUNCTION("""COMPUTED_VALUE"""),12599621)</f>
        <v>12599621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IFERROR(__xludf.DUMMYFUNCTION("""COMPUTED_VALUE"""),104.12)</f>
        <v>104.12</v>
      </c>
      <c r="D236" s="141">
        <f ca="1">IFERROR(__xludf.DUMMYFUNCTION("""COMPUTED_VALUE"""),105.01)</f>
        <v>105.01</v>
      </c>
      <c r="E236" s="141">
        <f ca="1">IFERROR(__xludf.DUMMYFUNCTION("""COMPUTED_VALUE"""),103.97)</f>
        <v>103.97</v>
      </c>
      <c r="F236" s="141">
        <f ca="1">IFERROR(__xludf.DUMMYFUNCTION("""COMPUTED_VALUE"""),104.69)</f>
        <v>104.69</v>
      </c>
      <c r="G236" s="143">
        <f ca="1">IFERROR(__xludf.DUMMYFUNCTION("""COMPUTED_VALUE"""),13605998)</f>
        <v>13605998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IFERROR(__xludf.DUMMYFUNCTION("""COMPUTED_VALUE"""),105.13)</f>
        <v>105.13</v>
      </c>
      <c r="D237" s="141">
        <f ca="1">IFERROR(__xludf.DUMMYFUNCTION("""COMPUTED_VALUE"""),105.52)</f>
        <v>105.52</v>
      </c>
      <c r="E237" s="141">
        <f ca="1">IFERROR(__xludf.DUMMYFUNCTION("""COMPUTED_VALUE"""),104.73)</f>
        <v>104.73</v>
      </c>
      <c r="F237" s="141">
        <f ca="1">IFERROR(__xludf.DUMMYFUNCTION("""COMPUTED_VALUE"""),104.8)</f>
        <v>104.8</v>
      </c>
      <c r="G237" s="143">
        <f ca="1">IFERROR(__xludf.DUMMYFUNCTION("""COMPUTED_VALUE"""),16934044)</f>
        <v>16934044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IFERROR(__xludf.DUMMYFUNCTION("""COMPUTED_VALUE"""),103.99)</f>
        <v>103.99</v>
      </c>
      <c r="D238" s="141">
        <f ca="1">IFERROR(__xludf.DUMMYFUNCTION("""COMPUTED_VALUE"""),104.92)</f>
        <v>104.92</v>
      </c>
      <c r="E238" s="141">
        <f ca="1">IFERROR(__xludf.DUMMYFUNCTION("""COMPUTED_VALUE"""),103.6)</f>
        <v>103.6</v>
      </c>
      <c r="F238" s="141">
        <f ca="1">IFERROR(__xludf.DUMMYFUNCTION("""COMPUTED_VALUE"""),104.44)</f>
        <v>104.44</v>
      </c>
      <c r="G238" s="143">
        <f ca="1">IFERROR(__xludf.DUMMYFUNCTION("""COMPUTED_VALUE"""),17412618)</f>
        <v>17412618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IFERROR(__xludf.DUMMYFUNCTION("""COMPUTED_VALUE"""),104.58)</f>
        <v>104.58</v>
      </c>
      <c r="D239" s="141">
        <f ca="1">IFERROR(__xludf.DUMMYFUNCTION("""COMPUTED_VALUE"""),105.16)</f>
        <v>105.16</v>
      </c>
      <c r="E239" s="141">
        <f ca="1">IFERROR(__xludf.DUMMYFUNCTION("""COMPUTED_VALUE"""),104.53)</f>
        <v>104.53</v>
      </c>
      <c r="F239" s="141">
        <f ca="1">IFERROR(__xludf.DUMMYFUNCTION("""COMPUTED_VALUE"""),105.02)</f>
        <v>105.02</v>
      </c>
      <c r="G239" s="143">
        <f ca="1">IFERROR(__xludf.DUMMYFUNCTION("""COMPUTED_VALUE"""),8400727)</f>
        <v>8400727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IFERROR(__xludf.DUMMYFUNCTION("""COMPUTED_VALUE"""),104.58)</f>
        <v>104.58</v>
      </c>
      <c r="D240" s="141">
        <f ca="1">IFERROR(__xludf.DUMMYFUNCTION("""COMPUTED_VALUE"""),104.64)</f>
        <v>104.64</v>
      </c>
      <c r="E240" s="141">
        <f ca="1">IFERROR(__xludf.DUMMYFUNCTION("""COMPUTED_VALUE"""),104.07)</f>
        <v>104.07</v>
      </c>
      <c r="F240" s="141">
        <f ca="1">IFERROR(__xludf.DUMMYFUNCTION("""COMPUTED_VALUE"""),104.12)</f>
        <v>104.12</v>
      </c>
      <c r="G240" s="143">
        <f ca="1">IFERROR(__xludf.DUMMYFUNCTION("""COMPUTED_VALUE"""),11807068)</f>
        <v>11807068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IFERROR(__xludf.DUMMYFUNCTION("""COMPUTED_VALUE"""),104.54)</f>
        <v>104.54</v>
      </c>
      <c r="D241" s="141">
        <f ca="1">IFERROR(__xludf.DUMMYFUNCTION("""COMPUTED_VALUE"""),105.02)</f>
        <v>105.02</v>
      </c>
      <c r="E241" s="141">
        <f ca="1">IFERROR(__xludf.DUMMYFUNCTION("""COMPUTED_VALUE"""),104.43)</f>
        <v>104.43</v>
      </c>
      <c r="F241" s="141">
        <f ca="1">IFERROR(__xludf.DUMMYFUNCTION("""COMPUTED_VALUE"""),104.95)</f>
        <v>104.95</v>
      </c>
      <c r="G241" s="143">
        <f ca="1">IFERROR(__xludf.DUMMYFUNCTION("""COMPUTED_VALUE"""),10158677)</f>
        <v>10158677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IFERROR(__xludf.DUMMYFUNCTION("""COMPUTED_VALUE"""),104.14)</f>
        <v>104.14</v>
      </c>
      <c r="D242" s="141">
        <f ca="1">IFERROR(__xludf.DUMMYFUNCTION("""COMPUTED_VALUE"""),104.19)</f>
        <v>104.19</v>
      </c>
      <c r="E242" s="141">
        <f ca="1">IFERROR(__xludf.DUMMYFUNCTION("""COMPUTED_VALUE"""),101.91)</f>
        <v>101.91</v>
      </c>
      <c r="F242" s="141">
        <f ca="1">IFERROR(__xludf.DUMMYFUNCTION("""COMPUTED_VALUE"""),102.26)</f>
        <v>102.26</v>
      </c>
      <c r="G242" s="143">
        <f ca="1">IFERROR(__xludf.DUMMYFUNCTION("""COMPUTED_VALUE"""),16937637)</f>
        <v>16937637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IFERROR(__xludf.DUMMYFUNCTION("""COMPUTED_VALUE"""),103.27)</f>
        <v>103.27</v>
      </c>
      <c r="D243" s="141">
        <f ca="1">IFERROR(__xludf.DUMMYFUNCTION("""COMPUTED_VALUE"""),103.5)</f>
        <v>103.5</v>
      </c>
      <c r="E243" s="141">
        <f ca="1">IFERROR(__xludf.DUMMYFUNCTION("""COMPUTED_VALUE"""),102.72)</f>
        <v>102.72</v>
      </c>
      <c r="F243" s="141">
        <f ca="1">IFERROR(__xludf.DUMMYFUNCTION("""COMPUTED_VALUE"""),102.88)</f>
        <v>102.88</v>
      </c>
      <c r="G243" s="143">
        <f ca="1">IFERROR(__xludf.DUMMYFUNCTION("""COMPUTED_VALUE"""),13550420)</f>
        <v>13550420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IFERROR(__xludf.DUMMYFUNCTION("""COMPUTED_VALUE"""),103.89)</f>
        <v>103.89</v>
      </c>
      <c r="D244" s="141">
        <f ca="1">IFERROR(__xludf.DUMMYFUNCTION("""COMPUTED_VALUE"""),104.24)</f>
        <v>104.24</v>
      </c>
      <c r="E244" s="141">
        <f ca="1">IFERROR(__xludf.DUMMYFUNCTION("""COMPUTED_VALUE"""),101.34)</f>
        <v>101.34</v>
      </c>
      <c r="F244" s="141">
        <f ca="1">IFERROR(__xludf.DUMMYFUNCTION("""COMPUTED_VALUE"""),102.9)</f>
        <v>102.9</v>
      </c>
      <c r="G244" s="143">
        <f ca="1">IFERROR(__xludf.DUMMYFUNCTION("""COMPUTED_VALUE"""),21878016)</f>
        <v>21878016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IFERROR(__xludf.DUMMYFUNCTION("""COMPUTED_VALUE"""),102.23)</f>
        <v>102.23</v>
      </c>
      <c r="D245" s="141">
        <f ca="1">IFERROR(__xludf.DUMMYFUNCTION("""COMPUTED_VALUE"""),102.9)</f>
        <v>102.9</v>
      </c>
      <c r="E245" s="141">
        <f ca="1">IFERROR(__xludf.DUMMYFUNCTION("""COMPUTED_VALUE"""),101.49)</f>
        <v>101.49</v>
      </c>
      <c r="F245" s="141">
        <f ca="1">IFERROR(__xludf.DUMMYFUNCTION("""COMPUTED_VALUE"""),101.57)</f>
        <v>101.57</v>
      </c>
      <c r="G245" s="143">
        <f ca="1">IFERROR(__xludf.DUMMYFUNCTION("""COMPUTED_VALUE"""),22737741)</f>
        <v>22737741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IFERROR(__xludf.DUMMYFUNCTION("""COMPUTED_VALUE"""),102.48)</f>
        <v>102.48</v>
      </c>
      <c r="D246" s="141">
        <f ca="1">IFERROR(__xludf.DUMMYFUNCTION("""COMPUTED_VALUE"""),104.85)</f>
        <v>104.85</v>
      </c>
      <c r="E246" s="141">
        <f ca="1">IFERROR(__xludf.DUMMYFUNCTION("""COMPUTED_VALUE"""),102.22)</f>
        <v>102.22</v>
      </c>
      <c r="F246" s="141">
        <f ca="1">IFERROR(__xludf.DUMMYFUNCTION("""COMPUTED_VALUE"""),104.73)</f>
        <v>104.73</v>
      </c>
      <c r="G246" s="143">
        <f ca="1">IFERROR(__xludf.DUMMYFUNCTION("""COMPUTED_VALUE"""),20415020)</f>
        <v>20415020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IFERROR(__xludf.DUMMYFUNCTION("""COMPUTED_VALUE"""),104.65)</f>
        <v>104.65</v>
      </c>
      <c r="D247" s="141">
        <f ca="1">IFERROR(__xludf.DUMMYFUNCTION("""COMPUTED_VALUE"""),105.36)</f>
        <v>105.36</v>
      </c>
      <c r="E247" s="141">
        <f ca="1">IFERROR(__xludf.DUMMYFUNCTION("""COMPUTED_VALUE"""),104.19)</f>
        <v>104.19</v>
      </c>
      <c r="F247" s="141">
        <f ca="1">IFERROR(__xludf.DUMMYFUNCTION("""COMPUTED_VALUE"""),105.02)</f>
        <v>105.02</v>
      </c>
      <c r="G247" s="143">
        <f ca="1">IFERROR(__xludf.DUMMYFUNCTION("""COMPUTED_VALUE"""),14219961)</f>
        <v>14219961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IFERROR(__xludf.DUMMYFUNCTION("""COMPUTED_VALUE"""),104.69)</f>
        <v>104.69</v>
      </c>
      <c r="D248" s="141">
        <f ca="1">IFERROR(__xludf.DUMMYFUNCTION("""COMPUTED_VALUE"""),104.74)</f>
        <v>104.74</v>
      </c>
      <c r="E248" s="141">
        <f ca="1">IFERROR(__xludf.DUMMYFUNCTION("""COMPUTED_VALUE"""),103.99)</f>
        <v>103.99</v>
      </c>
      <c r="F248" s="141">
        <f ca="1">IFERROR(__xludf.DUMMYFUNCTION("""COMPUTED_VALUE"""),104.08)</f>
        <v>104.08</v>
      </c>
      <c r="G248" s="143">
        <f ca="1">IFERROR(__xludf.DUMMYFUNCTION("""COMPUTED_VALUE"""),14053627)</f>
        <v>14053627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IFERROR(__xludf.DUMMYFUNCTION("""COMPUTED_VALUE"""),104.72)</f>
        <v>104.72</v>
      </c>
      <c r="D249" s="141">
        <f ca="1">IFERROR(__xludf.DUMMYFUNCTION("""COMPUTED_VALUE"""),104.8)</f>
        <v>104.8</v>
      </c>
      <c r="E249" s="141">
        <f ca="1">IFERROR(__xludf.DUMMYFUNCTION("""COMPUTED_VALUE"""),104.23)</f>
        <v>104.23</v>
      </c>
      <c r="F249" s="141">
        <f ca="1">IFERROR(__xludf.DUMMYFUNCTION("""COMPUTED_VALUE"""),104.31)</f>
        <v>104.31</v>
      </c>
      <c r="G249" s="143">
        <f ca="1">IFERROR(__xludf.DUMMYFUNCTION("""COMPUTED_VALUE"""),12047013)</f>
        <v>12047013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IFERROR(__xludf.DUMMYFUNCTION("""COMPUTED_VALUE"""),105.04)</f>
        <v>105.04</v>
      </c>
      <c r="D250" s="141">
        <f ca="1">IFERROR(__xludf.DUMMYFUNCTION("""COMPUTED_VALUE"""),105.42)</f>
        <v>105.42</v>
      </c>
      <c r="E250" s="141">
        <f ca="1">IFERROR(__xludf.DUMMYFUNCTION("""COMPUTED_VALUE"""),103.59)</f>
        <v>103.59</v>
      </c>
      <c r="F250" s="141">
        <f ca="1">IFERROR(__xludf.DUMMYFUNCTION("""COMPUTED_VALUE"""),103.78)</f>
        <v>103.78</v>
      </c>
      <c r="G250" s="143">
        <f ca="1">IFERROR(__xludf.DUMMYFUNCTION("""COMPUTED_VALUE"""),20717592)</f>
        <v>20717592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IFERROR(__xludf.DUMMYFUNCTION("""COMPUTED_VALUE"""),104.58)</f>
        <v>104.58</v>
      </c>
      <c r="D251" s="141">
        <f ca="1">IFERROR(__xludf.DUMMYFUNCTION("""COMPUTED_VALUE"""),104.66)</f>
        <v>104.66</v>
      </c>
      <c r="E251" s="141">
        <f ca="1">IFERROR(__xludf.DUMMYFUNCTION("""COMPUTED_VALUE"""),104.18)</f>
        <v>104.18</v>
      </c>
      <c r="F251" s="141">
        <f ca="1">IFERROR(__xludf.DUMMYFUNCTION("""COMPUTED_VALUE"""),104.41)</f>
        <v>104.41</v>
      </c>
      <c r="G251" s="143">
        <f ca="1">IFERROR(__xludf.DUMMYFUNCTION("""COMPUTED_VALUE"""),15466273)</f>
        <v>15466273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IFERROR(__xludf.DUMMYFUNCTION("""COMPUTED_VALUE"""),104.59)</f>
        <v>104.59</v>
      </c>
      <c r="D252" s="141">
        <f ca="1">IFERROR(__xludf.DUMMYFUNCTION("""COMPUTED_VALUE"""),104.84)</f>
        <v>104.84</v>
      </c>
      <c r="E252" s="141">
        <f ca="1">IFERROR(__xludf.DUMMYFUNCTION("""COMPUTED_VALUE"""),104.43)</f>
        <v>104.43</v>
      </c>
      <c r="F252" s="141">
        <f ca="1">IFERROR(__xludf.DUMMYFUNCTION("""COMPUTED_VALUE"""),104.58)</f>
        <v>104.58</v>
      </c>
      <c r="G252" s="143">
        <f ca="1">IFERROR(__xludf.DUMMYFUNCTION("""COMPUTED_VALUE"""),9596198)</f>
        <v>9596198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IFERROR(__xludf.DUMMYFUNCTION("""COMPUTED_VALUE"""),102.38)</f>
        <v>102.38</v>
      </c>
      <c r="D253" s="141">
        <f ca="1">IFERROR(__xludf.DUMMYFUNCTION("""COMPUTED_VALUE"""),103.02)</f>
        <v>103.02</v>
      </c>
      <c r="E253" s="141">
        <f ca="1">IFERROR(__xludf.DUMMYFUNCTION("""COMPUTED_VALUE"""),102.32)</f>
        <v>102.32</v>
      </c>
      <c r="F253" s="141">
        <f ca="1">IFERROR(__xludf.DUMMYFUNCTION("""COMPUTED_VALUE"""),102.46)</f>
        <v>102.46</v>
      </c>
      <c r="G253" s="143">
        <f ca="1">IFERROR(__xludf.DUMMYFUNCTION("""COMPUTED_VALUE"""),17425693)</f>
        <v>17425693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IFERROR(__xludf.DUMMYFUNCTION("""COMPUTED_VALUE"""),102.24)</f>
        <v>102.24</v>
      </c>
      <c r="D254" s="141">
        <f ca="1">IFERROR(__xludf.DUMMYFUNCTION("""COMPUTED_VALUE"""),102.65)</f>
        <v>102.65</v>
      </c>
      <c r="E254" s="141">
        <f ca="1">IFERROR(__xludf.DUMMYFUNCTION("""COMPUTED_VALUE"""),101.92)</f>
        <v>101.92</v>
      </c>
      <c r="F254" s="141">
        <f ca="1">IFERROR(__xludf.DUMMYFUNCTION("""COMPUTED_VALUE"""),102.26)</f>
        <v>102.26</v>
      </c>
      <c r="G254" s="143">
        <f ca="1">IFERROR(__xludf.DUMMYFUNCTION("""COMPUTED_VALUE"""),12504171)</f>
        <v>12504171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IFERROR(__xludf.DUMMYFUNCTION("""COMPUTED_VALUE"""),103.48)</f>
        <v>103.48</v>
      </c>
      <c r="D255" s="141">
        <f ca="1">IFERROR(__xludf.DUMMYFUNCTION("""COMPUTED_VALUE"""),103.73)</f>
        <v>103.73</v>
      </c>
      <c r="E255" s="141">
        <f ca="1">IFERROR(__xludf.DUMMYFUNCTION("""COMPUTED_VALUE"""),102.73)</f>
        <v>102.73</v>
      </c>
      <c r="F255" s="141">
        <f ca="1">IFERROR(__xludf.DUMMYFUNCTION("""COMPUTED_VALUE"""),103.15)</f>
        <v>103.15</v>
      </c>
      <c r="G255" s="143">
        <f ca="1">IFERROR(__xludf.DUMMYFUNCTION("""COMPUTED_VALUE"""),13139590)</f>
        <v>13139590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IFERROR(__xludf.DUMMYFUNCTION("""COMPUTED_VALUE"""),102.46)</f>
        <v>102.46</v>
      </c>
      <c r="D256" s="141">
        <f ca="1">IFERROR(__xludf.DUMMYFUNCTION("""COMPUTED_VALUE"""),103.07)</f>
        <v>103.07</v>
      </c>
      <c r="E256" s="141">
        <f ca="1">IFERROR(__xludf.DUMMYFUNCTION("""COMPUTED_VALUE"""),102.3)</f>
        <v>102.3</v>
      </c>
      <c r="F256" s="141">
        <f ca="1">IFERROR(__xludf.DUMMYFUNCTION("""COMPUTED_VALUE"""),102.54)</f>
        <v>102.54</v>
      </c>
      <c r="G256" s="143">
        <f ca="1">IFERROR(__xludf.DUMMYFUNCTION("""COMPUTED_VALUE"""),21219217)</f>
        <v>21219217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IFERROR(__xludf.DUMMYFUNCTION("""COMPUTED_VALUE"""),102.87)</f>
        <v>102.87</v>
      </c>
      <c r="D257" s="141">
        <f ca="1">IFERROR(__xludf.DUMMYFUNCTION("""COMPUTED_VALUE"""),103.47)</f>
        <v>103.47</v>
      </c>
      <c r="E257" s="141">
        <f ca="1">IFERROR(__xludf.DUMMYFUNCTION("""COMPUTED_VALUE"""),102.22)</f>
        <v>102.22</v>
      </c>
      <c r="F257" s="141">
        <f ca="1">IFERROR(__xludf.DUMMYFUNCTION("""COMPUTED_VALUE"""),103.45)</f>
        <v>103.45</v>
      </c>
      <c r="G257" s="143">
        <f ca="1">IFERROR(__xludf.DUMMYFUNCTION("""COMPUTED_VALUE"""),10788621)</f>
        <v>10788621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IFERROR(__xludf.DUMMYFUNCTION("""COMPUTED_VALUE"""),103.32)</f>
        <v>103.32</v>
      </c>
      <c r="D258" s="141">
        <f ca="1">IFERROR(__xludf.DUMMYFUNCTION("""COMPUTED_VALUE"""),103.89)</f>
        <v>103.89</v>
      </c>
      <c r="E258" s="141">
        <f ca="1">IFERROR(__xludf.DUMMYFUNCTION("""COMPUTED_VALUE"""),103.19)</f>
        <v>103.19</v>
      </c>
      <c r="F258" s="141">
        <f ca="1">IFERROR(__xludf.DUMMYFUNCTION("""COMPUTED_VALUE"""),103.88)</f>
        <v>103.88</v>
      </c>
      <c r="G258" s="143">
        <f ca="1">IFERROR(__xludf.DUMMYFUNCTION("""COMPUTED_VALUE"""),16945923)</f>
        <v>16945923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IFERROR(__xludf.DUMMYFUNCTION("""COMPUTED_VALUE"""),103.07)</f>
        <v>103.07</v>
      </c>
      <c r="D259" s="141">
        <f ca="1">IFERROR(__xludf.DUMMYFUNCTION("""COMPUTED_VALUE"""),103.43)</f>
        <v>103.43</v>
      </c>
      <c r="E259" s="141">
        <f ca="1">IFERROR(__xludf.DUMMYFUNCTION("""COMPUTED_VALUE"""),102.87)</f>
        <v>102.87</v>
      </c>
      <c r="F259" s="141">
        <f ca="1">IFERROR(__xludf.DUMMYFUNCTION("""COMPUTED_VALUE"""),103.02)</f>
        <v>103.02</v>
      </c>
      <c r="G259" s="143">
        <f ca="1">IFERROR(__xludf.DUMMYFUNCTION("""COMPUTED_VALUE"""),13487082)</f>
        <v>13487082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IFERROR(__xludf.DUMMYFUNCTION("""COMPUTED_VALUE"""),104.59)</f>
        <v>104.59</v>
      </c>
      <c r="D260" s="141">
        <f ca="1">IFERROR(__xludf.DUMMYFUNCTION("""COMPUTED_VALUE"""),105.27)</f>
        <v>105.27</v>
      </c>
      <c r="E260" s="141">
        <f ca="1">IFERROR(__xludf.DUMMYFUNCTION("""COMPUTED_VALUE"""),103.75)</f>
        <v>103.75</v>
      </c>
      <c r="F260" s="141">
        <f ca="1">IFERROR(__xludf.DUMMYFUNCTION("""COMPUTED_VALUE"""),104.37)</f>
        <v>104.37</v>
      </c>
      <c r="G260" s="143">
        <f ca="1">IFERROR(__xludf.DUMMYFUNCTION("""COMPUTED_VALUE"""),12685960)</f>
        <v>12685960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IFERROR(__xludf.DUMMYFUNCTION("""COMPUTED_VALUE"""),105)</f>
        <v>105</v>
      </c>
      <c r="D261" s="141">
        <f ca="1">IFERROR(__xludf.DUMMYFUNCTION("""COMPUTED_VALUE"""),105.52)</f>
        <v>105.52</v>
      </c>
      <c r="E261" s="141">
        <f ca="1">IFERROR(__xludf.DUMMYFUNCTION("""COMPUTED_VALUE"""),104.88)</f>
        <v>104.88</v>
      </c>
      <c r="F261" s="141">
        <f ca="1">IFERROR(__xludf.DUMMYFUNCTION("""COMPUTED_VALUE"""),105.46)</f>
        <v>105.46</v>
      </c>
      <c r="G261" s="143">
        <f ca="1">IFERROR(__xludf.DUMMYFUNCTION("""COMPUTED_VALUE"""),9803217)</f>
        <v>9803217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IFERROR(__xludf.DUMMYFUNCTION("""COMPUTED_VALUE"""),105.02)</f>
        <v>105.02</v>
      </c>
      <c r="D262" s="141">
        <f ca="1">IFERROR(__xludf.DUMMYFUNCTION("""COMPUTED_VALUE"""),105.16)</f>
        <v>105.16</v>
      </c>
      <c r="E262" s="141">
        <f ca="1">IFERROR(__xludf.DUMMYFUNCTION("""COMPUTED_VALUE"""),103.85)</f>
        <v>103.85</v>
      </c>
      <c r="F262" s="141">
        <f ca="1">IFERROR(__xludf.DUMMYFUNCTION("""COMPUTED_VALUE"""),104.16)</f>
        <v>104.16</v>
      </c>
      <c r="G262" s="143">
        <f ca="1">IFERROR(__xludf.DUMMYFUNCTION("""COMPUTED_VALUE"""),10715192)</f>
        <v>10715192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IFERROR(__xludf.DUMMYFUNCTION("""COMPUTED_VALUE"""),102.81)</f>
        <v>102.81</v>
      </c>
      <c r="D263" s="141">
        <f ca="1">IFERROR(__xludf.DUMMYFUNCTION("""COMPUTED_VALUE"""),103.41)</f>
        <v>103.41</v>
      </c>
      <c r="E263" s="141">
        <f ca="1">IFERROR(__xludf.DUMMYFUNCTION("""COMPUTED_VALUE"""),102.26)</f>
        <v>102.26</v>
      </c>
      <c r="F263" s="141">
        <f ca="1">IFERROR(__xludf.DUMMYFUNCTION("""COMPUTED_VALUE"""),103.36)</f>
        <v>103.36</v>
      </c>
      <c r="G263" s="143">
        <f ca="1">IFERROR(__xludf.DUMMYFUNCTION("""COMPUTED_VALUE"""),8642828)</f>
        <v>8642828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IFERROR(__xludf.DUMMYFUNCTION("""COMPUTED_VALUE"""),103.61)</f>
        <v>103.61</v>
      </c>
      <c r="D264" s="141">
        <f ca="1">IFERROR(__xludf.DUMMYFUNCTION("""COMPUTED_VALUE"""),104.19)</f>
        <v>104.19</v>
      </c>
      <c r="E264" s="141">
        <f ca="1">IFERROR(__xludf.DUMMYFUNCTION("""COMPUTED_VALUE"""),103.55)</f>
        <v>103.55</v>
      </c>
      <c r="F264" s="141">
        <f ca="1">IFERROR(__xludf.DUMMYFUNCTION("""COMPUTED_VALUE"""),103.92)</f>
        <v>103.92</v>
      </c>
      <c r="G264" s="143">
        <f ca="1">IFERROR(__xludf.DUMMYFUNCTION("""COMPUTED_VALUE"""),7586410)</f>
        <v>7586410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IFERROR(__xludf.DUMMYFUNCTION("""COMPUTED_VALUE"""),104.18)</f>
        <v>104.18</v>
      </c>
      <c r="D265" s="141">
        <f ca="1">IFERROR(__xludf.DUMMYFUNCTION("""COMPUTED_VALUE"""),104.6)</f>
        <v>104.6</v>
      </c>
      <c r="E265" s="141">
        <f ca="1">IFERROR(__xludf.DUMMYFUNCTION("""COMPUTED_VALUE"""),103.61)</f>
        <v>103.61</v>
      </c>
      <c r="F265" s="141">
        <f ca="1">IFERROR(__xludf.DUMMYFUNCTION("""COMPUTED_VALUE"""),104.33)</f>
        <v>104.33</v>
      </c>
      <c r="G265" s="143">
        <f ca="1">IFERROR(__xludf.DUMMYFUNCTION("""COMPUTED_VALUE"""),8286796)</f>
        <v>8286796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IFERROR(__xludf.DUMMYFUNCTION("""COMPUTED_VALUE"""),103.85)</f>
        <v>103.85</v>
      </c>
      <c r="D266" s="141">
        <f ca="1">IFERROR(__xludf.DUMMYFUNCTION("""COMPUTED_VALUE"""),103.98)</f>
        <v>103.98</v>
      </c>
      <c r="E266" s="141">
        <f ca="1">IFERROR(__xludf.DUMMYFUNCTION("""COMPUTED_VALUE"""),103.09)</f>
        <v>103.09</v>
      </c>
      <c r="F266" s="141">
        <f ca="1">IFERROR(__xludf.DUMMYFUNCTION("""COMPUTED_VALUE"""),103.24)</f>
        <v>103.24</v>
      </c>
      <c r="G266" s="143">
        <f ca="1">IFERROR(__xludf.DUMMYFUNCTION("""COMPUTED_VALUE"""),10953704)</f>
        <v>10953704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IFERROR(__xludf.DUMMYFUNCTION("""COMPUTED_VALUE"""),104.38)</f>
        <v>104.38</v>
      </c>
      <c r="D267" s="141">
        <f ca="1">IFERROR(__xludf.DUMMYFUNCTION("""COMPUTED_VALUE"""),105.09)</f>
        <v>105.09</v>
      </c>
      <c r="E267" s="141">
        <f ca="1">IFERROR(__xludf.DUMMYFUNCTION("""COMPUTED_VALUE"""),103.91)</f>
        <v>103.91</v>
      </c>
      <c r="F267" s="141">
        <f ca="1">IFERROR(__xludf.DUMMYFUNCTION("""COMPUTED_VALUE"""),103.96)</f>
        <v>103.96</v>
      </c>
      <c r="G267" s="143">
        <f ca="1">IFERROR(__xludf.DUMMYFUNCTION("""COMPUTED_VALUE"""),9932196)</f>
        <v>9932196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IFERROR(__xludf.DUMMYFUNCTION("""COMPUTED_VALUE"""),104.28)</f>
        <v>104.28</v>
      </c>
      <c r="D268" s="141">
        <f ca="1">IFERROR(__xludf.DUMMYFUNCTION("""COMPUTED_VALUE"""),104.81)</f>
        <v>104.81</v>
      </c>
      <c r="E268" s="141">
        <f ca="1">IFERROR(__xludf.DUMMYFUNCTION("""COMPUTED_VALUE"""),103.8)</f>
        <v>103.8</v>
      </c>
      <c r="F268" s="141">
        <f ca="1">IFERROR(__xludf.DUMMYFUNCTION("""COMPUTED_VALUE"""),104.65)</f>
        <v>104.65</v>
      </c>
      <c r="G268" s="143">
        <f ca="1">IFERROR(__xludf.DUMMYFUNCTION("""COMPUTED_VALUE"""),7415824)</f>
        <v>7415824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IFERROR(__xludf.DUMMYFUNCTION("""COMPUTED_VALUE"""),103.67)</f>
        <v>103.67</v>
      </c>
      <c r="D269" s="141">
        <f ca="1">IFERROR(__xludf.DUMMYFUNCTION("""COMPUTED_VALUE"""),104.22)</f>
        <v>104.22</v>
      </c>
      <c r="E269" s="141">
        <f ca="1">IFERROR(__xludf.DUMMYFUNCTION("""COMPUTED_VALUE"""),103.47)</f>
        <v>103.47</v>
      </c>
      <c r="F269" s="141">
        <f ca="1">IFERROR(__xludf.DUMMYFUNCTION("""COMPUTED_VALUE"""),103.81)</f>
        <v>103.81</v>
      </c>
      <c r="G269" s="143">
        <f ca="1">IFERROR(__xludf.DUMMYFUNCTION("""COMPUTED_VALUE"""),9966804)</f>
        <v>9966804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IFERROR(__xludf.DUMMYFUNCTION("""COMPUTED_VALUE"""),102.51)</f>
        <v>102.51</v>
      </c>
      <c r="D270" s="141">
        <f ca="1">IFERROR(__xludf.DUMMYFUNCTION("""COMPUTED_VALUE"""),103.51)</f>
        <v>103.51</v>
      </c>
      <c r="E270" s="141">
        <f ca="1">IFERROR(__xludf.DUMMYFUNCTION("""COMPUTED_VALUE"""),102.51)</f>
        <v>102.51</v>
      </c>
      <c r="F270" s="141">
        <f ca="1">IFERROR(__xludf.DUMMYFUNCTION("""COMPUTED_VALUE"""),103.33)</f>
        <v>103.33</v>
      </c>
      <c r="G270" s="143">
        <f ca="1">IFERROR(__xludf.DUMMYFUNCTION("""COMPUTED_VALUE"""),10969901)</f>
        <v>10969901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IFERROR(__xludf.DUMMYFUNCTION("""COMPUTED_VALUE"""),103.34)</f>
        <v>103.34</v>
      </c>
      <c r="D271" s="141">
        <f ca="1">IFERROR(__xludf.DUMMYFUNCTION("""COMPUTED_VALUE"""),103.49)</f>
        <v>103.49</v>
      </c>
      <c r="E271" s="141">
        <f ca="1">IFERROR(__xludf.DUMMYFUNCTION("""COMPUTED_VALUE"""),102.47)</f>
        <v>102.47</v>
      </c>
      <c r="F271" s="141">
        <f ca="1">IFERROR(__xludf.DUMMYFUNCTION("""COMPUTED_VALUE"""),102.57)</f>
        <v>102.57</v>
      </c>
      <c r="G271" s="143">
        <f ca="1">IFERROR(__xludf.DUMMYFUNCTION("""COMPUTED_VALUE"""),14834449)</f>
        <v>14834449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IFERROR(__xludf.DUMMYFUNCTION("""COMPUTED_VALUE"""),103.51)</f>
        <v>103.51</v>
      </c>
      <c r="D272" s="141">
        <f ca="1">IFERROR(__xludf.DUMMYFUNCTION("""COMPUTED_VALUE"""),104.19)</f>
        <v>104.19</v>
      </c>
      <c r="E272" s="141">
        <f ca="1">IFERROR(__xludf.DUMMYFUNCTION("""COMPUTED_VALUE"""),103.09)</f>
        <v>103.09</v>
      </c>
      <c r="F272" s="141">
        <f ca="1">IFERROR(__xludf.DUMMYFUNCTION("""COMPUTED_VALUE"""),104.06)</f>
        <v>104.06</v>
      </c>
      <c r="G272" s="143">
        <f ca="1">IFERROR(__xludf.DUMMYFUNCTION("""COMPUTED_VALUE"""),9826921)</f>
        <v>9826921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IFERROR(__xludf.DUMMYFUNCTION("""COMPUTED_VALUE"""),104.44)</f>
        <v>104.44</v>
      </c>
      <c r="D273" s="141">
        <f ca="1">IFERROR(__xludf.DUMMYFUNCTION("""COMPUTED_VALUE"""),104.64)</f>
        <v>104.64</v>
      </c>
      <c r="E273" s="141">
        <f ca="1">IFERROR(__xludf.DUMMYFUNCTION("""COMPUTED_VALUE"""),104.22)</f>
        <v>104.22</v>
      </c>
      <c r="F273" s="141">
        <f ca="1">IFERROR(__xludf.DUMMYFUNCTION("""COMPUTED_VALUE"""),104.25)</f>
        <v>104.25</v>
      </c>
      <c r="G273" s="143">
        <f ca="1">IFERROR(__xludf.DUMMYFUNCTION("""COMPUTED_VALUE"""),14694587)</f>
        <v>14694587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IFERROR(__xludf.DUMMYFUNCTION("""COMPUTED_VALUE"""),102.76)</f>
        <v>102.76</v>
      </c>
      <c r="D274" s="141">
        <f ca="1">IFERROR(__xludf.DUMMYFUNCTION("""COMPUTED_VALUE"""),103.29)</f>
        <v>103.29</v>
      </c>
      <c r="E274" s="141">
        <f ca="1">IFERROR(__xludf.DUMMYFUNCTION("""COMPUTED_VALUE"""),102.54)</f>
        <v>102.54</v>
      </c>
      <c r="F274" s="141">
        <f ca="1">IFERROR(__xludf.DUMMYFUNCTION("""COMPUTED_VALUE"""),102.9)</f>
        <v>102.9</v>
      </c>
      <c r="G274" s="143">
        <f ca="1">IFERROR(__xludf.DUMMYFUNCTION("""COMPUTED_VALUE"""),12596068)</f>
        <v>12596068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IFERROR(__xludf.DUMMYFUNCTION("""COMPUTED_VALUE"""),103.5)</f>
        <v>103.5</v>
      </c>
      <c r="D275" s="141">
        <f ca="1">IFERROR(__xludf.DUMMYFUNCTION("""COMPUTED_VALUE"""),104.03)</f>
        <v>104.03</v>
      </c>
      <c r="E275" s="141">
        <f ca="1">IFERROR(__xludf.DUMMYFUNCTION("""COMPUTED_VALUE"""),103.26)</f>
        <v>103.26</v>
      </c>
      <c r="F275" s="141">
        <f ca="1">IFERROR(__xludf.DUMMYFUNCTION("""COMPUTED_VALUE"""),103.41)</f>
        <v>103.41</v>
      </c>
      <c r="G275" s="143">
        <f ca="1">IFERROR(__xludf.DUMMYFUNCTION("""COMPUTED_VALUE"""),9032149)</f>
        <v>9032149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IFERROR(__xludf.DUMMYFUNCTION("""COMPUTED_VALUE"""),104.36)</f>
        <v>104.36</v>
      </c>
      <c r="D276" s="141">
        <f ca="1">IFERROR(__xludf.DUMMYFUNCTION("""COMPUTED_VALUE"""),104.46)</f>
        <v>104.46</v>
      </c>
      <c r="E276" s="141">
        <f ca="1">IFERROR(__xludf.DUMMYFUNCTION("""COMPUTED_VALUE"""),103.45)</f>
        <v>103.45</v>
      </c>
      <c r="F276" s="141">
        <f ca="1">IFERROR(__xludf.DUMMYFUNCTION("""COMPUTED_VALUE"""),103.91)</f>
        <v>103.91</v>
      </c>
      <c r="G276" s="143">
        <f ca="1">IFERROR(__xludf.DUMMYFUNCTION("""COMPUTED_VALUE"""),9299983)</f>
        <v>9299983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IFERROR(__xludf.DUMMYFUNCTION("""COMPUTED_VALUE"""),103.19)</f>
        <v>103.19</v>
      </c>
      <c r="D277" s="141">
        <f ca="1">IFERROR(__xludf.DUMMYFUNCTION("""COMPUTED_VALUE"""),104.18)</f>
        <v>104.18</v>
      </c>
      <c r="E277" s="141">
        <f ca="1">IFERROR(__xludf.DUMMYFUNCTION("""COMPUTED_VALUE"""),103.12)</f>
        <v>103.12</v>
      </c>
      <c r="F277" s="141">
        <f ca="1">IFERROR(__xludf.DUMMYFUNCTION("""COMPUTED_VALUE"""),103.89)</f>
        <v>103.89</v>
      </c>
      <c r="G277" s="143">
        <f ca="1">IFERROR(__xludf.DUMMYFUNCTION("""COMPUTED_VALUE"""),9580484)</f>
        <v>9580484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IFERROR(__xludf.DUMMYFUNCTION("""COMPUTED_VALUE"""),103.72)</f>
        <v>103.72</v>
      </c>
      <c r="D278" s="141">
        <f ca="1">IFERROR(__xludf.DUMMYFUNCTION("""COMPUTED_VALUE"""),104.85)</f>
        <v>104.85</v>
      </c>
      <c r="E278" s="141">
        <f ca="1">IFERROR(__xludf.DUMMYFUNCTION("""COMPUTED_VALUE"""),102.98)</f>
        <v>102.98</v>
      </c>
      <c r="F278" s="141">
        <f ca="1">IFERROR(__xludf.DUMMYFUNCTION("""COMPUTED_VALUE"""),103.37)</f>
        <v>103.37</v>
      </c>
      <c r="G278" s="143">
        <f ca="1">IFERROR(__xludf.DUMMYFUNCTION("""COMPUTED_VALUE"""),11646402)</f>
        <v>11646402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53" priority="5" operator="lessThan">
      <formula>0</formula>
    </cfRule>
    <cfRule type="cellIs" dxfId="52" priority="6" operator="greaterThan">
      <formula>0</formula>
    </cfRule>
  </conditionalFormatting>
  <conditionalFormatting sqref="F28:F1000">
    <cfRule type="expression" dxfId="51" priority="1">
      <formula>AND(F28=MAX(F$28:F$1000),F28&gt;0)</formula>
    </cfRule>
    <cfRule type="expression" dxfId="50" priority="2">
      <formula>AND(F28=MIN(F$28:F$1000),F28&gt;0)</formula>
    </cfRule>
  </conditionalFormatting>
  <conditionalFormatting sqref="F29:F1000">
    <cfRule type="expression" dxfId="49" priority="3">
      <formula>F29&gt;F27</formula>
    </cfRule>
    <cfRule type="expression" dxfId="48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100-000000000000}">
      <formula1>"1 Month,3 Months,6 Months,12 Months,36 Months"</formula1>
    </dataValidation>
  </dataValidations>
  <hyperlinks>
    <hyperlink ref="G2" r:id="rId1" xr:uid="{00000000-0004-0000-1100-000000000000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89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MSCI Emerging Markets ETF")</f>
        <v>iShares MSCI Emerging Markets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IFERROR(__xludf.DUMMYFUNCTION("GOOGLEFINANCE(B18,""price"")"),61.07)</f>
        <v>61.07</v>
      </c>
      <c r="C10" s="322"/>
      <c r="D10" s="100">
        <f ca="1">IFERROR(__xludf.DUMMYFUNCTION("IFERROR(GOOGLEFINANCE(B18,""change""),""-"")"),-1.29)</f>
        <v>-1.29</v>
      </c>
      <c r="E10" s="103">
        <f ca="1">IFERROR(__xludf.DUMMYFUNCTION("IFERROR(GOOGLEFINANCE(B18,""changepct"")/100,""-"")"),-0.0207)</f>
        <v>-2.07E-2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IFERROR(__xludf.DUMMYFUNCTION("IFERROR(GOOGLEFINANCE(B18,""marketcap""),""-"")"),38611507307)</f>
        <v>38611507307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EEM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IFERROR(__xludf.DUMMYFUNCTION("""COMPUTED_VALUE"""),49.04)</f>
        <v>49.04</v>
      </c>
      <c r="D28" s="141">
        <f ca="1">IFERROR(__xludf.DUMMYFUNCTION("""COMPUTED_VALUE"""),49.13)</f>
        <v>49.13</v>
      </c>
      <c r="E28" s="141">
        <f ca="1">IFERROR(__xludf.DUMMYFUNCTION("""COMPUTED_VALUE"""),48.74)</f>
        <v>48.74</v>
      </c>
      <c r="F28" s="141">
        <f ca="1">IFERROR(__xludf.DUMMYFUNCTION("""COMPUTED_VALUE"""),48.84)</f>
        <v>48.84</v>
      </c>
      <c r="G28" s="143">
        <f ca="1">IFERROR(__xludf.DUMMYFUNCTION("""COMPUTED_VALUE"""),37855503)</f>
        <v>37855503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IFERROR(__xludf.DUMMYFUNCTION("""COMPUTED_VALUE"""),48.73)</f>
        <v>48.73</v>
      </c>
      <c r="D29" s="141">
        <f ca="1">IFERROR(__xludf.DUMMYFUNCTION("""COMPUTED_VALUE"""),48.81)</f>
        <v>48.81</v>
      </c>
      <c r="E29" s="141">
        <f ca="1">IFERROR(__xludf.DUMMYFUNCTION("""COMPUTED_VALUE"""),48.48)</f>
        <v>48.48</v>
      </c>
      <c r="F29" s="141">
        <f ca="1">IFERROR(__xludf.DUMMYFUNCTION("""COMPUTED_VALUE"""),48.56)</f>
        <v>48.56</v>
      </c>
      <c r="G29" s="143">
        <f ca="1">IFERROR(__xludf.DUMMYFUNCTION("""COMPUTED_VALUE"""),30587088)</f>
        <v>30587088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IFERROR(__xludf.DUMMYFUNCTION("""COMPUTED_VALUE"""),48.38)</f>
        <v>48.38</v>
      </c>
      <c r="D30" s="141">
        <f ca="1">IFERROR(__xludf.DUMMYFUNCTION("""COMPUTED_VALUE"""),48.38)</f>
        <v>48.38</v>
      </c>
      <c r="E30" s="141">
        <f ca="1">IFERROR(__xludf.DUMMYFUNCTION("""COMPUTED_VALUE"""),47.98)</f>
        <v>47.98</v>
      </c>
      <c r="F30" s="141">
        <f ca="1">IFERROR(__xludf.DUMMYFUNCTION("""COMPUTED_VALUE"""),48.2)</f>
        <v>48.2</v>
      </c>
      <c r="G30" s="143">
        <f ca="1">IFERROR(__xludf.DUMMYFUNCTION("""COMPUTED_VALUE"""),27234648)</f>
        <v>27234648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IFERROR(__xludf.DUMMYFUNCTION("""COMPUTED_VALUE"""),48.74)</f>
        <v>48.74</v>
      </c>
      <c r="D31" s="141">
        <f ca="1">IFERROR(__xludf.DUMMYFUNCTION("""COMPUTED_VALUE"""),48.79)</f>
        <v>48.79</v>
      </c>
      <c r="E31" s="141">
        <f ca="1">IFERROR(__xludf.DUMMYFUNCTION("""COMPUTED_VALUE"""),48.56)</f>
        <v>48.56</v>
      </c>
      <c r="F31" s="141">
        <f ca="1">IFERROR(__xludf.DUMMYFUNCTION("""COMPUTED_VALUE"""),48.7)</f>
        <v>48.7</v>
      </c>
      <c r="G31" s="143">
        <f ca="1">IFERROR(__xludf.DUMMYFUNCTION("""COMPUTED_VALUE"""),32920385)</f>
        <v>32920385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IFERROR(__xludf.DUMMYFUNCTION("""COMPUTED_VALUE"""),48.96)</f>
        <v>48.96</v>
      </c>
      <c r="D32" s="141">
        <f ca="1">IFERROR(__xludf.DUMMYFUNCTION("""COMPUTED_VALUE"""),49.02)</f>
        <v>49.02</v>
      </c>
      <c r="E32" s="141">
        <f ca="1">IFERROR(__xludf.DUMMYFUNCTION("""COMPUTED_VALUE"""),48.73)</f>
        <v>48.73</v>
      </c>
      <c r="F32" s="141">
        <f ca="1">IFERROR(__xludf.DUMMYFUNCTION("""COMPUTED_VALUE"""),48.84)</f>
        <v>48.84</v>
      </c>
      <c r="G32" s="143">
        <f ca="1">IFERROR(__xludf.DUMMYFUNCTION("""COMPUTED_VALUE"""),18709201)</f>
        <v>18709201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IFERROR(__xludf.DUMMYFUNCTION("""COMPUTED_VALUE"""),48.9)</f>
        <v>48.9</v>
      </c>
      <c r="D33" s="141">
        <f ca="1">IFERROR(__xludf.DUMMYFUNCTION("""COMPUTED_VALUE"""),49.1)</f>
        <v>49.1</v>
      </c>
      <c r="E33" s="141">
        <f ca="1">IFERROR(__xludf.DUMMYFUNCTION("""COMPUTED_VALUE"""),48.8)</f>
        <v>48.8</v>
      </c>
      <c r="F33" s="141">
        <f ca="1">IFERROR(__xludf.DUMMYFUNCTION("""COMPUTED_VALUE"""),49.07)</f>
        <v>49.07</v>
      </c>
      <c r="G33" s="143">
        <f ca="1">IFERROR(__xludf.DUMMYFUNCTION("""COMPUTED_VALUE"""),17094077)</f>
        <v>17094077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IFERROR(__xludf.DUMMYFUNCTION("""COMPUTED_VALUE"""),49.6)</f>
        <v>49.6</v>
      </c>
      <c r="D34" s="141">
        <f ca="1">IFERROR(__xludf.DUMMYFUNCTION("""COMPUTED_VALUE"""),49.68)</f>
        <v>49.68</v>
      </c>
      <c r="E34" s="141">
        <f ca="1">IFERROR(__xludf.DUMMYFUNCTION("""COMPUTED_VALUE"""),49.35)</f>
        <v>49.35</v>
      </c>
      <c r="F34" s="141">
        <f ca="1">IFERROR(__xludf.DUMMYFUNCTION("""COMPUTED_VALUE"""),49.48)</f>
        <v>49.48</v>
      </c>
      <c r="G34" s="143">
        <f ca="1">IFERROR(__xludf.DUMMYFUNCTION("""COMPUTED_VALUE"""),23379228)</f>
        <v>23379228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IFERROR(__xludf.DUMMYFUNCTION("""COMPUTED_VALUE"""),49.33)</f>
        <v>49.33</v>
      </c>
      <c r="D35" s="141">
        <f ca="1">IFERROR(__xludf.DUMMYFUNCTION("""COMPUTED_VALUE"""),49.46)</f>
        <v>49.46</v>
      </c>
      <c r="E35" s="141">
        <f ca="1">IFERROR(__xludf.DUMMYFUNCTION("""COMPUTED_VALUE"""),49.29)</f>
        <v>49.29</v>
      </c>
      <c r="F35" s="141">
        <f ca="1">IFERROR(__xludf.DUMMYFUNCTION("""COMPUTED_VALUE"""),49.44)</f>
        <v>49.44</v>
      </c>
      <c r="G35" s="143">
        <f ca="1">IFERROR(__xludf.DUMMYFUNCTION("""COMPUTED_VALUE"""),16926907)</f>
        <v>16926907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IFERROR(__xludf.DUMMYFUNCTION("""COMPUTED_VALUE"""),49.4)</f>
        <v>49.4</v>
      </c>
      <c r="D36" s="141">
        <f ca="1">IFERROR(__xludf.DUMMYFUNCTION("""COMPUTED_VALUE"""),49.46)</f>
        <v>49.46</v>
      </c>
      <c r="E36" s="141">
        <f ca="1">IFERROR(__xludf.DUMMYFUNCTION("""COMPUTED_VALUE"""),49.23)</f>
        <v>49.23</v>
      </c>
      <c r="F36" s="141">
        <f ca="1">IFERROR(__xludf.DUMMYFUNCTION("""COMPUTED_VALUE"""),49.3)</f>
        <v>49.3</v>
      </c>
      <c r="G36" s="143">
        <f ca="1">IFERROR(__xludf.DUMMYFUNCTION("""COMPUTED_VALUE"""),15176100)</f>
        <v>15176100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IFERROR(__xludf.DUMMYFUNCTION("""COMPUTED_VALUE"""),49.51)</f>
        <v>49.51</v>
      </c>
      <c r="D37" s="141">
        <f ca="1">IFERROR(__xludf.DUMMYFUNCTION("""COMPUTED_VALUE"""),49.93)</f>
        <v>49.93</v>
      </c>
      <c r="E37" s="141">
        <f ca="1">IFERROR(__xludf.DUMMYFUNCTION("""COMPUTED_VALUE"""),49.47)</f>
        <v>49.47</v>
      </c>
      <c r="F37" s="141">
        <f ca="1">IFERROR(__xludf.DUMMYFUNCTION("""COMPUTED_VALUE"""),49.9)</f>
        <v>49.9</v>
      </c>
      <c r="G37" s="143">
        <f ca="1">IFERROR(__xludf.DUMMYFUNCTION("""COMPUTED_VALUE"""),22908716)</f>
        <v>22908716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IFERROR(__xludf.DUMMYFUNCTION("""COMPUTED_VALUE"""),50.45)</f>
        <v>50.45</v>
      </c>
      <c r="D38" s="141">
        <f ca="1">IFERROR(__xludf.DUMMYFUNCTION("""COMPUTED_VALUE"""),50.59)</f>
        <v>50.59</v>
      </c>
      <c r="E38" s="141">
        <f ca="1">IFERROR(__xludf.DUMMYFUNCTION("""COMPUTED_VALUE"""),50.41)</f>
        <v>50.41</v>
      </c>
      <c r="F38" s="141">
        <f ca="1">IFERROR(__xludf.DUMMYFUNCTION("""COMPUTED_VALUE"""),50.5)</f>
        <v>50.5</v>
      </c>
      <c r="G38" s="143">
        <f ca="1">IFERROR(__xludf.DUMMYFUNCTION("""COMPUTED_VALUE"""),28585673)</f>
        <v>28585673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IFERROR(__xludf.DUMMYFUNCTION("""COMPUTED_VALUE"""),49.87)</f>
        <v>49.87</v>
      </c>
      <c r="D39" s="141">
        <f ca="1">IFERROR(__xludf.DUMMYFUNCTION("""COMPUTED_VALUE"""),50.01)</f>
        <v>50.01</v>
      </c>
      <c r="E39" s="141">
        <f ca="1">IFERROR(__xludf.DUMMYFUNCTION("""COMPUTED_VALUE"""),49.74)</f>
        <v>49.74</v>
      </c>
      <c r="F39" s="141">
        <f ca="1">IFERROR(__xludf.DUMMYFUNCTION("""COMPUTED_VALUE"""),49.88)</f>
        <v>49.88</v>
      </c>
      <c r="G39" s="143">
        <f ca="1">IFERROR(__xludf.DUMMYFUNCTION("""COMPUTED_VALUE"""),28016613)</f>
        <v>28016613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IFERROR(__xludf.DUMMYFUNCTION("""COMPUTED_VALUE"""),50.03)</f>
        <v>50.03</v>
      </c>
      <c r="D40" s="141">
        <f ca="1">IFERROR(__xludf.DUMMYFUNCTION("""COMPUTED_VALUE"""),50.08)</f>
        <v>50.08</v>
      </c>
      <c r="E40" s="141">
        <f ca="1">IFERROR(__xludf.DUMMYFUNCTION("""COMPUTED_VALUE"""),49.88)</f>
        <v>49.88</v>
      </c>
      <c r="F40" s="141">
        <f ca="1">IFERROR(__xludf.DUMMYFUNCTION("""COMPUTED_VALUE"""),49.94)</f>
        <v>49.94</v>
      </c>
      <c r="G40" s="143">
        <f ca="1">IFERROR(__xludf.DUMMYFUNCTION("""COMPUTED_VALUE"""),24042556)</f>
        <v>24042556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IFERROR(__xludf.DUMMYFUNCTION("""COMPUTED_VALUE"""),50.16)</f>
        <v>50.16</v>
      </c>
      <c r="D41" s="141">
        <f ca="1">IFERROR(__xludf.DUMMYFUNCTION("""COMPUTED_VALUE"""),50.24)</f>
        <v>50.24</v>
      </c>
      <c r="E41" s="141">
        <f ca="1">IFERROR(__xludf.DUMMYFUNCTION("""COMPUTED_VALUE"""),50.1)</f>
        <v>50.1</v>
      </c>
      <c r="F41" s="141">
        <f ca="1">IFERROR(__xludf.DUMMYFUNCTION("""COMPUTED_VALUE"""),50.23)</f>
        <v>50.23</v>
      </c>
      <c r="G41" s="143">
        <f ca="1">IFERROR(__xludf.DUMMYFUNCTION("""COMPUTED_VALUE"""),19212460)</f>
        <v>19212460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IFERROR(__xludf.DUMMYFUNCTION("""COMPUTED_VALUE"""),50.1)</f>
        <v>50.1</v>
      </c>
      <c r="D42" s="141">
        <f ca="1">IFERROR(__xludf.DUMMYFUNCTION("""COMPUTED_VALUE"""),50.1)</f>
        <v>50.1</v>
      </c>
      <c r="E42" s="141">
        <f ca="1">IFERROR(__xludf.DUMMYFUNCTION("""COMPUTED_VALUE"""),49.76)</f>
        <v>49.76</v>
      </c>
      <c r="F42" s="141">
        <f ca="1">IFERROR(__xludf.DUMMYFUNCTION("""COMPUTED_VALUE"""),49.82)</f>
        <v>49.82</v>
      </c>
      <c r="G42" s="143">
        <f ca="1">IFERROR(__xludf.DUMMYFUNCTION("""COMPUTED_VALUE"""),17226997)</f>
        <v>17226997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IFERROR(__xludf.DUMMYFUNCTION("""COMPUTED_VALUE"""),49.73)</f>
        <v>49.73</v>
      </c>
      <c r="D43" s="141">
        <f ca="1">IFERROR(__xludf.DUMMYFUNCTION("""COMPUTED_VALUE"""),49.8)</f>
        <v>49.8</v>
      </c>
      <c r="E43" s="141">
        <f ca="1">IFERROR(__xludf.DUMMYFUNCTION("""COMPUTED_VALUE"""),49.45)</f>
        <v>49.45</v>
      </c>
      <c r="F43" s="141">
        <f ca="1">IFERROR(__xludf.DUMMYFUNCTION("""COMPUTED_VALUE"""),49.75)</f>
        <v>49.75</v>
      </c>
      <c r="G43" s="143">
        <f ca="1">IFERROR(__xludf.DUMMYFUNCTION("""COMPUTED_VALUE"""),20299186)</f>
        <v>20299186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IFERROR(__xludf.DUMMYFUNCTION("""COMPUTED_VALUE"""),49.58)</f>
        <v>49.58</v>
      </c>
      <c r="D44" s="141">
        <f ca="1">IFERROR(__xludf.DUMMYFUNCTION("""COMPUTED_VALUE"""),49.74)</f>
        <v>49.74</v>
      </c>
      <c r="E44" s="141">
        <f ca="1">IFERROR(__xludf.DUMMYFUNCTION("""COMPUTED_VALUE"""),49.54)</f>
        <v>49.54</v>
      </c>
      <c r="F44" s="141">
        <f ca="1">IFERROR(__xludf.DUMMYFUNCTION("""COMPUTED_VALUE"""),49.64)</f>
        <v>49.64</v>
      </c>
      <c r="G44" s="143">
        <f ca="1">IFERROR(__xludf.DUMMYFUNCTION("""COMPUTED_VALUE"""),14428472)</f>
        <v>14428472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IFERROR(__xludf.DUMMYFUNCTION("""COMPUTED_VALUE"""),49.93)</f>
        <v>49.93</v>
      </c>
      <c r="D45" s="141">
        <f ca="1">IFERROR(__xludf.DUMMYFUNCTION("""COMPUTED_VALUE"""),50.63)</f>
        <v>50.63</v>
      </c>
      <c r="E45" s="141">
        <f ca="1">IFERROR(__xludf.DUMMYFUNCTION("""COMPUTED_VALUE"""),49.89)</f>
        <v>49.89</v>
      </c>
      <c r="F45" s="141">
        <f ca="1">IFERROR(__xludf.DUMMYFUNCTION("""COMPUTED_VALUE"""),50.63)</f>
        <v>50.63</v>
      </c>
      <c r="G45" s="143">
        <f ca="1">IFERROR(__xludf.DUMMYFUNCTION("""COMPUTED_VALUE"""),31264250)</f>
        <v>31264250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IFERROR(__xludf.DUMMYFUNCTION("""COMPUTED_VALUE"""),50.54)</f>
        <v>50.54</v>
      </c>
      <c r="D46" s="141">
        <f ca="1">IFERROR(__xludf.DUMMYFUNCTION("""COMPUTED_VALUE"""),50.67)</f>
        <v>50.67</v>
      </c>
      <c r="E46" s="141">
        <f ca="1">IFERROR(__xludf.DUMMYFUNCTION("""COMPUTED_VALUE"""),50.33)</f>
        <v>50.33</v>
      </c>
      <c r="F46" s="141">
        <f ca="1">IFERROR(__xludf.DUMMYFUNCTION("""COMPUTED_VALUE"""),50.34)</f>
        <v>50.34</v>
      </c>
      <c r="G46" s="143">
        <f ca="1">IFERROR(__xludf.DUMMYFUNCTION("""COMPUTED_VALUE"""),23701444)</f>
        <v>23701444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IFERROR(__xludf.DUMMYFUNCTION("""COMPUTED_VALUE"""),50.29)</f>
        <v>50.29</v>
      </c>
      <c r="D47" s="141">
        <f ca="1">IFERROR(__xludf.DUMMYFUNCTION("""COMPUTED_VALUE"""),50.36)</f>
        <v>50.36</v>
      </c>
      <c r="E47" s="141">
        <f ca="1">IFERROR(__xludf.DUMMYFUNCTION("""COMPUTED_VALUE"""),50.16)</f>
        <v>50.16</v>
      </c>
      <c r="F47" s="141">
        <f ca="1">IFERROR(__xludf.DUMMYFUNCTION("""COMPUTED_VALUE"""),50.21)</f>
        <v>50.21</v>
      </c>
      <c r="G47" s="143">
        <f ca="1">IFERROR(__xludf.DUMMYFUNCTION("""COMPUTED_VALUE"""),25684053)</f>
        <v>25684053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IFERROR(__xludf.DUMMYFUNCTION("""COMPUTED_VALUE"""),49.63)</f>
        <v>49.63</v>
      </c>
      <c r="D48" s="141">
        <f ca="1">IFERROR(__xludf.DUMMYFUNCTION("""COMPUTED_VALUE"""),49.93)</f>
        <v>49.93</v>
      </c>
      <c r="E48" s="141">
        <f ca="1">IFERROR(__xludf.DUMMYFUNCTION("""COMPUTED_VALUE"""),49.59)</f>
        <v>49.59</v>
      </c>
      <c r="F48" s="141">
        <f ca="1">IFERROR(__xludf.DUMMYFUNCTION("""COMPUTED_VALUE"""),49.91)</f>
        <v>49.91</v>
      </c>
      <c r="G48" s="143">
        <f ca="1">IFERROR(__xludf.DUMMYFUNCTION("""COMPUTED_VALUE"""),31452898)</f>
        <v>31452898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IFERROR(__xludf.DUMMYFUNCTION("""COMPUTED_VALUE"""),49.86)</f>
        <v>49.86</v>
      </c>
      <c r="D49" s="141">
        <f ca="1">IFERROR(__xludf.DUMMYFUNCTION("""COMPUTED_VALUE"""),50.12)</f>
        <v>50.12</v>
      </c>
      <c r="E49" s="141">
        <f ca="1">IFERROR(__xludf.DUMMYFUNCTION("""COMPUTED_VALUE"""),49.84)</f>
        <v>49.84</v>
      </c>
      <c r="F49" s="141">
        <f ca="1">IFERROR(__xludf.DUMMYFUNCTION("""COMPUTED_VALUE"""),50.1)</f>
        <v>50.1</v>
      </c>
      <c r="G49" s="143">
        <f ca="1">IFERROR(__xludf.DUMMYFUNCTION("""COMPUTED_VALUE"""),21353962)</f>
        <v>21353962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IFERROR(__xludf.DUMMYFUNCTION("""COMPUTED_VALUE"""),49.81)</f>
        <v>49.81</v>
      </c>
      <c r="D50" s="141">
        <f ca="1">IFERROR(__xludf.DUMMYFUNCTION("""COMPUTED_VALUE"""),49.9)</f>
        <v>49.9</v>
      </c>
      <c r="E50" s="141">
        <f ca="1">IFERROR(__xludf.DUMMYFUNCTION("""COMPUTED_VALUE"""),49.65)</f>
        <v>49.65</v>
      </c>
      <c r="F50" s="141">
        <f ca="1">IFERROR(__xludf.DUMMYFUNCTION("""COMPUTED_VALUE"""),49.86)</f>
        <v>49.86</v>
      </c>
      <c r="G50" s="143">
        <f ca="1">IFERROR(__xludf.DUMMYFUNCTION("""COMPUTED_VALUE"""),24867355)</f>
        <v>24867355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IFERROR(__xludf.DUMMYFUNCTION("""COMPUTED_VALUE"""),49.41)</f>
        <v>49.41</v>
      </c>
      <c r="D51" s="141">
        <f ca="1">IFERROR(__xludf.DUMMYFUNCTION("""COMPUTED_VALUE"""),49.83)</f>
        <v>49.83</v>
      </c>
      <c r="E51" s="141">
        <f ca="1">IFERROR(__xludf.DUMMYFUNCTION("""COMPUTED_VALUE"""),49.35)</f>
        <v>49.35</v>
      </c>
      <c r="F51" s="141">
        <f ca="1">IFERROR(__xludf.DUMMYFUNCTION("""COMPUTED_VALUE"""),49.82)</f>
        <v>49.82</v>
      </c>
      <c r="G51" s="143">
        <f ca="1">IFERROR(__xludf.DUMMYFUNCTION("""COMPUTED_VALUE"""),24343881)</f>
        <v>24343881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IFERROR(__xludf.DUMMYFUNCTION("""COMPUTED_VALUE"""),49.97)</f>
        <v>49.97</v>
      </c>
      <c r="D52" s="141">
        <f ca="1">IFERROR(__xludf.DUMMYFUNCTION("""COMPUTED_VALUE"""),50.07)</f>
        <v>50.07</v>
      </c>
      <c r="E52" s="141">
        <f ca="1">IFERROR(__xludf.DUMMYFUNCTION("""COMPUTED_VALUE"""),49.88)</f>
        <v>49.88</v>
      </c>
      <c r="F52" s="141">
        <f ca="1">IFERROR(__xludf.DUMMYFUNCTION("""COMPUTED_VALUE"""),50.01)</f>
        <v>50.01</v>
      </c>
      <c r="G52" s="143">
        <f ca="1">IFERROR(__xludf.DUMMYFUNCTION("""COMPUTED_VALUE"""),29036034)</f>
        <v>29036034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IFERROR(__xludf.DUMMYFUNCTION("""COMPUTED_VALUE"""),49.69)</f>
        <v>49.69</v>
      </c>
      <c r="D53" s="141">
        <f ca="1">IFERROR(__xludf.DUMMYFUNCTION("""COMPUTED_VALUE"""),49.85)</f>
        <v>49.85</v>
      </c>
      <c r="E53" s="141">
        <f ca="1">IFERROR(__xludf.DUMMYFUNCTION("""COMPUTED_VALUE"""),49.53)</f>
        <v>49.53</v>
      </c>
      <c r="F53" s="141">
        <f ca="1">IFERROR(__xludf.DUMMYFUNCTION("""COMPUTED_VALUE"""),49.85)</f>
        <v>49.85</v>
      </c>
      <c r="G53" s="143">
        <f ca="1">IFERROR(__xludf.DUMMYFUNCTION("""COMPUTED_VALUE"""),14791956)</f>
        <v>14791956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IFERROR(__xludf.DUMMYFUNCTION("""COMPUTED_VALUE"""),50.53)</f>
        <v>50.53</v>
      </c>
      <c r="D54" s="141">
        <f ca="1">IFERROR(__xludf.DUMMYFUNCTION("""COMPUTED_VALUE"""),50.62)</f>
        <v>50.62</v>
      </c>
      <c r="E54" s="141">
        <f ca="1">IFERROR(__xludf.DUMMYFUNCTION("""COMPUTED_VALUE"""),50.18)</f>
        <v>50.18</v>
      </c>
      <c r="F54" s="141">
        <f ca="1">IFERROR(__xludf.DUMMYFUNCTION("""COMPUTED_VALUE"""),50.45)</f>
        <v>50.45</v>
      </c>
      <c r="G54" s="143">
        <f ca="1">IFERROR(__xludf.DUMMYFUNCTION("""COMPUTED_VALUE"""),24805860)</f>
        <v>24805860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IFERROR(__xludf.DUMMYFUNCTION("""COMPUTED_VALUE"""),50.71)</f>
        <v>50.71</v>
      </c>
      <c r="D55" s="141">
        <f ca="1">IFERROR(__xludf.DUMMYFUNCTION("""COMPUTED_VALUE"""),50.92)</f>
        <v>50.92</v>
      </c>
      <c r="E55" s="141">
        <f ca="1">IFERROR(__xludf.DUMMYFUNCTION("""COMPUTED_VALUE"""),50.63)</f>
        <v>50.63</v>
      </c>
      <c r="F55" s="141">
        <f ca="1">IFERROR(__xludf.DUMMYFUNCTION("""COMPUTED_VALUE"""),50.91)</f>
        <v>50.91</v>
      </c>
      <c r="G55" s="143">
        <f ca="1">IFERROR(__xludf.DUMMYFUNCTION("""COMPUTED_VALUE"""),23345120)</f>
        <v>23345120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IFERROR(__xludf.DUMMYFUNCTION("""COMPUTED_VALUE"""),51.11)</f>
        <v>51.11</v>
      </c>
      <c r="D56" s="141">
        <f ca="1">IFERROR(__xludf.DUMMYFUNCTION("""COMPUTED_VALUE"""),51.29)</f>
        <v>51.29</v>
      </c>
      <c r="E56" s="141">
        <f ca="1">IFERROR(__xludf.DUMMYFUNCTION("""COMPUTED_VALUE"""),51.1)</f>
        <v>51.1</v>
      </c>
      <c r="F56" s="141">
        <f ca="1">IFERROR(__xludf.DUMMYFUNCTION("""COMPUTED_VALUE"""),51.19)</f>
        <v>51.19</v>
      </c>
      <c r="G56" s="143">
        <f ca="1">IFERROR(__xludf.DUMMYFUNCTION("""COMPUTED_VALUE"""),23818569)</f>
        <v>23818569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IFERROR(__xludf.DUMMYFUNCTION("""COMPUTED_VALUE"""),51.6)</f>
        <v>51.6</v>
      </c>
      <c r="D57" s="141">
        <f ca="1">IFERROR(__xludf.DUMMYFUNCTION("""COMPUTED_VALUE"""),51.75)</f>
        <v>51.75</v>
      </c>
      <c r="E57" s="141">
        <f ca="1">IFERROR(__xludf.DUMMYFUNCTION("""COMPUTED_VALUE"""),51.5)</f>
        <v>51.5</v>
      </c>
      <c r="F57" s="141">
        <f ca="1">IFERROR(__xludf.DUMMYFUNCTION("""COMPUTED_VALUE"""),51.54)</f>
        <v>51.54</v>
      </c>
      <c r="G57" s="143">
        <f ca="1">IFERROR(__xludf.DUMMYFUNCTION("""COMPUTED_VALUE"""),27151984)</f>
        <v>27151984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IFERROR(__xludf.DUMMYFUNCTION("""COMPUTED_VALUE"""),51.89)</f>
        <v>51.89</v>
      </c>
      <c r="D58" s="141">
        <f ca="1">IFERROR(__xludf.DUMMYFUNCTION("""COMPUTED_VALUE"""),52.32)</f>
        <v>52.32</v>
      </c>
      <c r="E58" s="141">
        <f ca="1">IFERROR(__xludf.DUMMYFUNCTION("""COMPUTED_VALUE"""),51.87)</f>
        <v>51.87</v>
      </c>
      <c r="F58" s="141">
        <f ca="1">IFERROR(__xludf.DUMMYFUNCTION("""COMPUTED_VALUE"""),52.29)</f>
        <v>52.29</v>
      </c>
      <c r="G58" s="143">
        <f ca="1">IFERROR(__xludf.DUMMYFUNCTION("""COMPUTED_VALUE"""),38948461)</f>
        <v>38948461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IFERROR(__xludf.DUMMYFUNCTION("""COMPUTED_VALUE"""),52.33)</f>
        <v>52.33</v>
      </c>
      <c r="D59" s="141">
        <f ca="1">IFERROR(__xludf.DUMMYFUNCTION("""COMPUTED_VALUE"""),52.35)</f>
        <v>52.35</v>
      </c>
      <c r="E59" s="141">
        <f ca="1">IFERROR(__xludf.DUMMYFUNCTION("""COMPUTED_VALUE"""),52.19)</f>
        <v>52.19</v>
      </c>
      <c r="F59" s="141">
        <f ca="1">IFERROR(__xludf.DUMMYFUNCTION("""COMPUTED_VALUE"""),52.26)</f>
        <v>52.26</v>
      </c>
      <c r="G59" s="143">
        <f ca="1">IFERROR(__xludf.DUMMYFUNCTION("""COMPUTED_VALUE"""),17773082)</f>
        <v>17773082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IFERROR(__xludf.DUMMYFUNCTION("""COMPUTED_VALUE"""),52.58)</f>
        <v>52.58</v>
      </c>
      <c r="D60" s="141">
        <f ca="1">IFERROR(__xludf.DUMMYFUNCTION("""COMPUTED_VALUE"""),52.67)</f>
        <v>52.67</v>
      </c>
      <c r="E60" s="141">
        <f ca="1">IFERROR(__xludf.DUMMYFUNCTION("""COMPUTED_VALUE"""),52.49)</f>
        <v>52.49</v>
      </c>
      <c r="F60" s="141">
        <f ca="1">IFERROR(__xludf.DUMMYFUNCTION("""COMPUTED_VALUE"""),52.64)</f>
        <v>52.64</v>
      </c>
      <c r="G60" s="143">
        <f ca="1">IFERROR(__xludf.DUMMYFUNCTION("""COMPUTED_VALUE"""),22076431)</f>
        <v>22076431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IFERROR(__xludf.DUMMYFUNCTION("""COMPUTED_VALUE"""),52.88)</f>
        <v>52.88</v>
      </c>
      <c r="D61" s="141">
        <f ca="1">IFERROR(__xludf.DUMMYFUNCTION("""COMPUTED_VALUE"""),53.07)</f>
        <v>53.07</v>
      </c>
      <c r="E61" s="141">
        <f ca="1">IFERROR(__xludf.DUMMYFUNCTION("""COMPUTED_VALUE"""),52.77)</f>
        <v>52.77</v>
      </c>
      <c r="F61" s="141">
        <f ca="1">IFERROR(__xludf.DUMMYFUNCTION("""COMPUTED_VALUE"""),53.03)</f>
        <v>53.03</v>
      </c>
      <c r="G61" s="143">
        <f ca="1">IFERROR(__xludf.DUMMYFUNCTION("""COMPUTED_VALUE"""),28614384)</f>
        <v>28614384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IFERROR(__xludf.DUMMYFUNCTION("""COMPUTED_VALUE"""),53.25)</f>
        <v>53.25</v>
      </c>
      <c r="D62" s="141">
        <f ca="1">IFERROR(__xludf.DUMMYFUNCTION("""COMPUTED_VALUE"""),53.67)</f>
        <v>53.67</v>
      </c>
      <c r="E62" s="141">
        <f ca="1">IFERROR(__xludf.DUMMYFUNCTION("""COMPUTED_VALUE"""),52.99)</f>
        <v>52.99</v>
      </c>
      <c r="F62" s="141">
        <f ca="1">IFERROR(__xludf.DUMMYFUNCTION("""COMPUTED_VALUE"""),53.26)</f>
        <v>53.26</v>
      </c>
      <c r="G62" s="143">
        <f ca="1">IFERROR(__xludf.DUMMYFUNCTION("""COMPUTED_VALUE"""),53353369)</f>
        <v>53353369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IFERROR(__xludf.DUMMYFUNCTION("""COMPUTED_VALUE"""),52.91)</f>
        <v>52.91</v>
      </c>
      <c r="D63" s="141">
        <f ca="1">IFERROR(__xludf.DUMMYFUNCTION("""COMPUTED_VALUE"""),53.16)</f>
        <v>53.16</v>
      </c>
      <c r="E63" s="141">
        <f ca="1">IFERROR(__xludf.DUMMYFUNCTION("""COMPUTED_VALUE"""),52.79)</f>
        <v>52.79</v>
      </c>
      <c r="F63" s="141">
        <f ca="1">IFERROR(__xludf.DUMMYFUNCTION("""COMPUTED_VALUE"""),53.13)</f>
        <v>53.13</v>
      </c>
      <c r="G63" s="143">
        <f ca="1">IFERROR(__xludf.DUMMYFUNCTION("""COMPUTED_VALUE"""),30544534)</f>
        <v>30544534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IFERROR(__xludf.DUMMYFUNCTION("""COMPUTED_VALUE"""),53.07)</f>
        <v>53.07</v>
      </c>
      <c r="D64" s="141">
        <f ca="1">IFERROR(__xludf.DUMMYFUNCTION("""COMPUTED_VALUE"""),53.12)</f>
        <v>53.12</v>
      </c>
      <c r="E64" s="141">
        <f ca="1">IFERROR(__xludf.DUMMYFUNCTION("""COMPUTED_VALUE"""),52.91)</f>
        <v>52.91</v>
      </c>
      <c r="F64" s="141">
        <f ca="1">IFERROR(__xludf.DUMMYFUNCTION("""COMPUTED_VALUE"""),53.01)</f>
        <v>53.01</v>
      </c>
      <c r="G64" s="143">
        <f ca="1">IFERROR(__xludf.DUMMYFUNCTION("""COMPUTED_VALUE"""),37385059)</f>
        <v>37385059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IFERROR(__xludf.DUMMYFUNCTION("""COMPUTED_VALUE"""),53.05)</f>
        <v>53.05</v>
      </c>
      <c r="D65" s="141">
        <f ca="1">IFERROR(__xludf.DUMMYFUNCTION("""COMPUTED_VALUE"""),53.28)</f>
        <v>53.28</v>
      </c>
      <c r="E65" s="141">
        <f ca="1">IFERROR(__xludf.DUMMYFUNCTION("""COMPUTED_VALUE"""),52.98)</f>
        <v>52.98</v>
      </c>
      <c r="F65" s="141">
        <f ca="1">IFERROR(__xludf.DUMMYFUNCTION("""COMPUTED_VALUE"""),53.27)</f>
        <v>53.27</v>
      </c>
      <c r="G65" s="143">
        <f ca="1">IFERROR(__xludf.DUMMYFUNCTION("""COMPUTED_VALUE"""),18357714)</f>
        <v>18357714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IFERROR(__xludf.DUMMYFUNCTION("""COMPUTED_VALUE"""),53.32)</f>
        <v>53.32</v>
      </c>
      <c r="D66" s="141">
        <f ca="1">IFERROR(__xludf.DUMMYFUNCTION("""COMPUTED_VALUE"""),53.53)</f>
        <v>53.53</v>
      </c>
      <c r="E66" s="141">
        <f ca="1">IFERROR(__xludf.DUMMYFUNCTION("""COMPUTED_VALUE"""),53.25)</f>
        <v>53.25</v>
      </c>
      <c r="F66" s="141">
        <f ca="1">IFERROR(__xludf.DUMMYFUNCTION("""COMPUTED_VALUE"""),53.3)</f>
        <v>53.3</v>
      </c>
      <c r="G66" s="143">
        <f ca="1">IFERROR(__xludf.DUMMYFUNCTION("""COMPUTED_VALUE"""),21298580)</f>
        <v>21298580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IFERROR(__xludf.DUMMYFUNCTION("""COMPUTED_VALUE"""),53.26)</f>
        <v>53.26</v>
      </c>
      <c r="D67" s="141">
        <f ca="1">IFERROR(__xludf.DUMMYFUNCTION("""COMPUTED_VALUE"""),53.35)</f>
        <v>53.35</v>
      </c>
      <c r="E67" s="141">
        <f ca="1">IFERROR(__xludf.DUMMYFUNCTION("""COMPUTED_VALUE"""),53.05)</f>
        <v>53.05</v>
      </c>
      <c r="F67" s="141">
        <f ca="1">IFERROR(__xludf.DUMMYFUNCTION("""COMPUTED_VALUE"""),53.12)</f>
        <v>53.12</v>
      </c>
      <c r="G67" s="143">
        <f ca="1">IFERROR(__xludf.DUMMYFUNCTION("""COMPUTED_VALUE"""),24947218)</f>
        <v>24947218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IFERROR(__xludf.DUMMYFUNCTION("""COMPUTED_VALUE"""),52.78)</f>
        <v>52.78</v>
      </c>
      <c r="D68" s="141">
        <f ca="1">IFERROR(__xludf.DUMMYFUNCTION("""COMPUTED_VALUE"""),52.98)</f>
        <v>52.98</v>
      </c>
      <c r="E68" s="141">
        <f ca="1">IFERROR(__xludf.DUMMYFUNCTION("""COMPUTED_VALUE"""),52.64)</f>
        <v>52.64</v>
      </c>
      <c r="F68" s="141">
        <f ca="1">IFERROR(__xludf.DUMMYFUNCTION("""COMPUTED_VALUE"""),52.81)</f>
        <v>52.81</v>
      </c>
      <c r="G68" s="143">
        <f ca="1">IFERROR(__xludf.DUMMYFUNCTION("""COMPUTED_VALUE"""),27611881)</f>
        <v>27611881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IFERROR(__xludf.DUMMYFUNCTION("""COMPUTED_VALUE"""),52.44)</f>
        <v>52.44</v>
      </c>
      <c r="D69" s="141">
        <f ca="1">IFERROR(__xludf.DUMMYFUNCTION("""COMPUTED_VALUE"""),52.71)</f>
        <v>52.71</v>
      </c>
      <c r="E69" s="141">
        <f ca="1">IFERROR(__xludf.DUMMYFUNCTION("""COMPUTED_VALUE"""),52.35)</f>
        <v>52.35</v>
      </c>
      <c r="F69" s="141">
        <f ca="1">IFERROR(__xludf.DUMMYFUNCTION("""COMPUTED_VALUE"""),52.71)</f>
        <v>52.71</v>
      </c>
      <c r="G69" s="143">
        <f ca="1">IFERROR(__xludf.DUMMYFUNCTION("""COMPUTED_VALUE"""),22608775)</f>
        <v>22608775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IFERROR(__xludf.DUMMYFUNCTION("""COMPUTED_VALUE"""),53.24)</f>
        <v>53.24</v>
      </c>
      <c r="D70" s="141">
        <f ca="1">IFERROR(__xludf.DUMMYFUNCTION("""COMPUTED_VALUE"""),53.39)</f>
        <v>53.39</v>
      </c>
      <c r="E70" s="141">
        <f ca="1">IFERROR(__xludf.DUMMYFUNCTION("""COMPUTED_VALUE"""),53.12)</f>
        <v>53.12</v>
      </c>
      <c r="F70" s="141">
        <f ca="1">IFERROR(__xludf.DUMMYFUNCTION("""COMPUTED_VALUE"""),53.19)</f>
        <v>53.19</v>
      </c>
      <c r="G70" s="143">
        <f ca="1">IFERROR(__xludf.DUMMYFUNCTION("""COMPUTED_VALUE"""),26754738)</f>
        <v>26754738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IFERROR(__xludf.DUMMYFUNCTION("""COMPUTED_VALUE"""),53.34)</f>
        <v>53.34</v>
      </c>
      <c r="D71" s="141">
        <f ca="1">IFERROR(__xludf.DUMMYFUNCTION("""COMPUTED_VALUE"""),53.44)</f>
        <v>53.44</v>
      </c>
      <c r="E71" s="141">
        <f ca="1">IFERROR(__xludf.DUMMYFUNCTION("""COMPUTED_VALUE"""),53.2)</f>
        <v>53.2</v>
      </c>
      <c r="F71" s="141">
        <f ca="1">IFERROR(__xludf.DUMMYFUNCTION("""COMPUTED_VALUE"""),53.4)</f>
        <v>53.4</v>
      </c>
      <c r="G71" s="143">
        <f ca="1">IFERROR(__xludf.DUMMYFUNCTION("""COMPUTED_VALUE"""),25165263)</f>
        <v>25165263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IFERROR(__xludf.DUMMYFUNCTION("""COMPUTED_VALUE"""),53.59)</f>
        <v>53.59</v>
      </c>
      <c r="D72" s="141">
        <f ca="1">IFERROR(__xludf.DUMMYFUNCTION("""COMPUTED_VALUE"""),53.85)</f>
        <v>53.85</v>
      </c>
      <c r="E72" s="141">
        <f ca="1">IFERROR(__xludf.DUMMYFUNCTION("""COMPUTED_VALUE"""),53.59)</f>
        <v>53.59</v>
      </c>
      <c r="F72" s="141">
        <f ca="1">IFERROR(__xludf.DUMMYFUNCTION("""COMPUTED_VALUE"""),53.82)</f>
        <v>53.82</v>
      </c>
      <c r="G72" s="143">
        <f ca="1">IFERROR(__xludf.DUMMYFUNCTION("""COMPUTED_VALUE"""),29971269)</f>
        <v>29971269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IFERROR(__xludf.DUMMYFUNCTION("""COMPUTED_VALUE"""),54.35)</f>
        <v>54.35</v>
      </c>
      <c r="D73" s="141">
        <f ca="1">IFERROR(__xludf.DUMMYFUNCTION("""COMPUTED_VALUE"""),54.35)</f>
        <v>54.35</v>
      </c>
      <c r="E73" s="141">
        <f ca="1">IFERROR(__xludf.DUMMYFUNCTION("""COMPUTED_VALUE"""),53.9)</f>
        <v>53.9</v>
      </c>
      <c r="F73" s="141">
        <f ca="1">IFERROR(__xludf.DUMMYFUNCTION("""COMPUTED_VALUE"""),54.07)</f>
        <v>54.07</v>
      </c>
      <c r="G73" s="143">
        <f ca="1">IFERROR(__xludf.DUMMYFUNCTION("""COMPUTED_VALUE"""),27872025)</f>
        <v>27872025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IFERROR(__xludf.DUMMYFUNCTION("""COMPUTED_VALUE"""),54.33)</f>
        <v>54.33</v>
      </c>
      <c r="D74" s="141">
        <f ca="1">IFERROR(__xludf.DUMMYFUNCTION("""COMPUTED_VALUE"""),54.39)</f>
        <v>54.39</v>
      </c>
      <c r="E74" s="141">
        <f ca="1">IFERROR(__xludf.DUMMYFUNCTION("""COMPUTED_VALUE"""),54.06)</f>
        <v>54.06</v>
      </c>
      <c r="F74" s="141">
        <f ca="1">IFERROR(__xludf.DUMMYFUNCTION("""COMPUTED_VALUE"""),54.23)</f>
        <v>54.23</v>
      </c>
      <c r="G74" s="143">
        <f ca="1">IFERROR(__xludf.DUMMYFUNCTION("""COMPUTED_VALUE"""),21836027)</f>
        <v>21836027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IFERROR(__xludf.DUMMYFUNCTION("""COMPUTED_VALUE"""),54.35)</f>
        <v>54.35</v>
      </c>
      <c r="D75" s="141">
        <f ca="1">IFERROR(__xludf.DUMMYFUNCTION("""COMPUTED_VALUE"""),54.55)</f>
        <v>54.55</v>
      </c>
      <c r="E75" s="141">
        <f ca="1">IFERROR(__xludf.DUMMYFUNCTION("""COMPUTED_VALUE"""),54.3)</f>
        <v>54.3</v>
      </c>
      <c r="F75" s="141">
        <f ca="1">IFERROR(__xludf.DUMMYFUNCTION("""COMPUTED_VALUE"""),54.48)</f>
        <v>54.48</v>
      </c>
      <c r="G75" s="143">
        <f ca="1">IFERROR(__xludf.DUMMYFUNCTION("""COMPUTED_VALUE"""),17890471)</f>
        <v>17890471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IFERROR(__xludf.DUMMYFUNCTION("""COMPUTED_VALUE"""),54.68)</f>
        <v>54.68</v>
      </c>
      <c r="D76" s="141">
        <f ca="1">IFERROR(__xludf.DUMMYFUNCTION("""COMPUTED_VALUE"""),54.69)</f>
        <v>54.69</v>
      </c>
      <c r="E76" s="141">
        <f ca="1">IFERROR(__xludf.DUMMYFUNCTION("""COMPUTED_VALUE"""),54.02)</f>
        <v>54.02</v>
      </c>
      <c r="F76" s="141">
        <f ca="1">IFERROR(__xludf.DUMMYFUNCTION("""COMPUTED_VALUE"""),54.06)</f>
        <v>54.06</v>
      </c>
      <c r="G76" s="143">
        <f ca="1">IFERROR(__xludf.DUMMYFUNCTION("""COMPUTED_VALUE"""),18605590)</f>
        <v>18605590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IFERROR(__xludf.DUMMYFUNCTION("""COMPUTED_VALUE"""),54.13)</f>
        <v>54.13</v>
      </c>
      <c r="D77" s="141">
        <f ca="1">IFERROR(__xludf.DUMMYFUNCTION("""COMPUTED_VALUE"""),54.49)</f>
        <v>54.49</v>
      </c>
      <c r="E77" s="141">
        <f ca="1">IFERROR(__xludf.DUMMYFUNCTION("""COMPUTED_VALUE"""),54.12)</f>
        <v>54.12</v>
      </c>
      <c r="F77" s="141">
        <f ca="1">IFERROR(__xludf.DUMMYFUNCTION("""COMPUTED_VALUE"""),54.49)</f>
        <v>54.49</v>
      </c>
      <c r="G77" s="143">
        <f ca="1">IFERROR(__xludf.DUMMYFUNCTION("""COMPUTED_VALUE"""),15391626)</f>
        <v>15391626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IFERROR(__xludf.DUMMYFUNCTION("""COMPUTED_VALUE"""),54.52)</f>
        <v>54.52</v>
      </c>
      <c r="D78" s="141">
        <f ca="1">IFERROR(__xludf.DUMMYFUNCTION("""COMPUTED_VALUE"""),54.53)</f>
        <v>54.53</v>
      </c>
      <c r="E78" s="141">
        <f ca="1">IFERROR(__xludf.DUMMYFUNCTION("""COMPUTED_VALUE"""),53.8)</f>
        <v>53.8</v>
      </c>
      <c r="F78" s="141">
        <f ca="1">IFERROR(__xludf.DUMMYFUNCTION("""COMPUTED_VALUE"""),53.93)</f>
        <v>53.93</v>
      </c>
      <c r="G78" s="143">
        <f ca="1">IFERROR(__xludf.DUMMYFUNCTION("""COMPUTED_VALUE"""),24685544)</f>
        <v>24685544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IFERROR(__xludf.DUMMYFUNCTION("""COMPUTED_VALUE"""),53.96)</f>
        <v>53.96</v>
      </c>
      <c r="D79" s="141">
        <f ca="1">IFERROR(__xludf.DUMMYFUNCTION("""COMPUTED_VALUE"""),54.04)</f>
        <v>54.04</v>
      </c>
      <c r="E79" s="141">
        <f ca="1">IFERROR(__xludf.DUMMYFUNCTION("""COMPUTED_VALUE"""),51.82)</f>
        <v>51.82</v>
      </c>
      <c r="F79" s="141">
        <f ca="1">IFERROR(__xludf.DUMMYFUNCTION("""COMPUTED_VALUE"""),51.94)</f>
        <v>51.94</v>
      </c>
      <c r="G79" s="143">
        <f ca="1">IFERROR(__xludf.DUMMYFUNCTION("""COMPUTED_VALUE"""),67908246)</f>
        <v>67908246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IFERROR(__xludf.DUMMYFUNCTION("""COMPUTED_VALUE"""),53.44)</f>
        <v>53.44</v>
      </c>
      <c r="D80" s="141">
        <f ca="1">IFERROR(__xludf.DUMMYFUNCTION("""COMPUTED_VALUE"""),53.65)</f>
        <v>53.65</v>
      </c>
      <c r="E80" s="141">
        <f ca="1">IFERROR(__xludf.DUMMYFUNCTION("""COMPUTED_VALUE"""),53.2)</f>
        <v>53.2</v>
      </c>
      <c r="F80" s="141">
        <f ca="1">IFERROR(__xludf.DUMMYFUNCTION("""COMPUTED_VALUE"""),53.45)</f>
        <v>53.45</v>
      </c>
      <c r="G80" s="143">
        <f ca="1">IFERROR(__xludf.DUMMYFUNCTION("""COMPUTED_VALUE"""),34717490)</f>
        <v>34717490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IFERROR(__xludf.DUMMYFUNCTION("""COMPUTED_VALUE"""),52.61)</f>
        <v>52.61</v>
      </c>
      <c r="D81" s="141">
        <f ca="1">IFERROR(__xludf.DUMMYFUNCTION("""COMPUTED_VALUE"""),53.37)</f>
        <v>53.37</v>
      </c>
      <c r="E81" s="141">
        <f ca="1">IFERROR(__xludf.DUMMYFUNCTION("""COMPUTED_VALUE"""),52.53)</f>
        <v>52.53</v>
      </c>
      <c r="F81" s="141">
        <f ca="1">IFERROR(__xludf.DUMMYFUNCTION("""COMPUTED_VALUE"""),52.97)</f>
        <v>52.97</v>
      </c>
      <c r="G81" s="143">
        <f ca="1">IFERROR(__xludf.DUMMYFUNCTION("""COMPUTED_VALUE"""),36062758)</f>
        <v>36062758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IFERROR(__xludf.DUMMYFUNCTION("""COMPUTED_VALUE"""),53.85)</f>
        <v>53.85</v>
      </c>
      <c r="D82" s="141">
        <f ca="1">IFERROR(__xludf.DUMMYFUNCTION("""COMPUTED_VALUE"""),54.04)</f>
        <v>54.04</v>
      </c>
      <c r="E82" s="141">
        <f ca="1">IFERROR(__xludf.DUMMYFUNCTION("""COMPUTED_VALUE"""),53.51)</f>
        <v>53.51</v>
      </c>
      <c r="F82" s="141">
        <f ca="1">IFERROR(__xludf.DUMMYFUNCTION("""COMPUTED_VALUE"""),53.84)</f>
        <v>53.84</v>
      </c>
      <c r="G82" s="143">
        <f ca="1">IFERROR(__xludf.DUMMYFUNCTION("""COMPUTED_VALUE"""),31145700)</f>
        <v>31145700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IFERROR(__xludf.DUMMYFUNCTION("""COMPUTED_VALUE"""),54.34)</f>
        <v>54.34</v>
      </c>
      <c r="D83" s="141">
        <f ca="1">IFERROR(__xludf.DUMMYFUNCTION("""COMPUTED_VALUE"""),54.58)</f>
        <v>54.58</v>
      </c>
      <c r="E83" s="141">
        <f ca="1">IFERROR(__xludf.DUMMYFUNCTION("""COMPUTED_VALUE"""),54.05)</f>
        <v>54.05</v>
      </c>
      <c r="F83" s="141">
        <f ca="1">IFERROR(__xludf.DUMMYFUNCTION("""COMPUTED_VALUE"""),54.19)</f>
        <v>54.19</v>
      </c>
      <c r="G83" s="143">
        <f ca="1">IFERROR(__xludf.DUMMYFUNCTION("""COMPUTED_VALUE"""),29782033)</f>
        <v>29782033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IFERROR(__xludf.DUMMYFUNCTION("""COMPUTED_VALUE"""),53.83)</f>
        <v>53.83</v>
      </c>
      <c r="D84" s="141">
        <f ca="1">IFERROR(__xludf.DUMMYFUNCTION("""COMPUTED_VALUE"""),54.28)</f>
        <v>54.28</v>
      </c>
      <c r="E84" s="141">
        <f ca="1">IFERROR(__xludf.DUMMYFUNCTION("""COMPUTED_VALUE"""),53.8)</f>
        <v>53.8</v>
      </c>
      <c r="F84" s="141">
        <f ca="1">IFERROR(__xludf.DUMMYFUNCTION("""COMPUTED_VALUE"""),54.18)</f>
        <v>54.18</v>
      </c>
      <c r="G84" s="143">
        <f ca="1">IFERROR(__xludf.DUMMYFUNCTION("""COMPUTED_VALUE"""),24373618)</f>
        <v>24373618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IFERROR(__xludf.DUMMYFUNCTION("""COMPUTED_VALUE"""),54.56)</f>
        <v>54.56</v>
      </c>
      <c r="D85" s="141">
        <f ca="1">IFERROR(__xludf.DUMMYFUNCTION("""COMPUTED_VALUE"""),55.03)</f>
        <v>55.03</v>
      </c>
      <c r="E85" s="141">
        <f ca="1">IFERROR(__xludf.DUMMYFUNCTION("""COMPUTED_VALUE"""),54.56)</f>
        <v>54.56</v>
      </c>
      <c r="F85" s="141">
        <f ca="1">IFERROR(__xludf.DUMMYFUNCTION("""COMPUTED_VALUE"""),54.92)</f>
        <v>54.92</v>
      </c>
      <c r="G85" s="143">
        <f ca="1">IFERROR(__xludf.DUMMYFUNCTION("""COMPUTED_VALUE"""),29450610)</f>
        <v>29450610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IFERROR(__xludf.DUMMYFUNCTION("""COMPUTED_VALUE"""),54.59)</f>
        <v>54.59</v>
      </c>
      <c r="D86" s="141">
        <f ca="1">IFERROR(__xludf.DUMMYFUNCTION("""COMPUTED_VALUE"""),54.59)</f>
        <v>54.59</v>
      </c>
      <c r="E86" s="141">
        <f ca="1">IFERROR(__xludf.DUMMYFUNCTION("""COMPUTED_VALUE"""),54.31)</f>
        <v>54.31</v>
      </c>
      <c r="F86" s="141">
        <f ca="1">IFERROR(__xludf.DUMMYFUNCTION("""COMPUTED_VALUE"""),54.31)</f>
        <v>54.31</v>
      </c>
      <c r="G86" s="143">
        <f ca="1">IFERROR(__xludf.DUMMYFUNCTION("""COMPUTED_VALUE"""),27091775)</f>
        <v>27091775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IFERROR(__xludf.DUMMYFUNCTION("""COMPUTED_VALUE"""),54.43)</f>
        <v>54.43</v>
      </c>
      <c r="D87" s="141">
        <f ca="1">IFERROR(__xludf.DUMMYFUNCTION("""COMPUTED_VALUE"""),54.69)</f>
        <v>54.69</v>
      </c>
      <c r="E87" s="141">
        <f ca="1">IFERROR(__xludf.DUMMYFUNCTION("""COMPUTED_VALUE"""),54.01)</f>
        <v>54.01</v>
      </c>
      <c r="F87" s="141">
        <f ca="1">IFERROR(__xludf.DUMMYFUNCTION("""COMPUTED_VALUE"""),54.26)</f>
        <v>54.26</v>
      </c>
      <c r="G87" s="143">
        <f ca="1">IFERROR(__xludf.DUMMYFUNCTION("""COMPUTED_VALUE"""),23595474)</f>
        <v>23595474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IFERROR(__xludf.DUMMYFUNCTION("""COMPUTED_VALUE"""),54.48)</f>
        <v>54.48</v>
      </c>
      <c r="D88" s="141">
        <f ca="1">IFERROR(__xludf.DUMMYFUNCTION("""COMPUTED_VALUE"""),54.86)</f>
        <v>54.86</v>
      </c>
      <c r="E88" s="141">
        <f ca="1">IFERROR(__xludf.DUMMYFUNCTION("""COMPUTED_VALUE"""),54.46)</f>
        <v>54.46</v>
      </c>
      <c r="F88" s="141">
        <f ca="1">IFERROR(__xludf.DUMMYFUNCTION("""COMPUTED_VALUE"""),54.74)</f>
        <v>54.74</v>
      </c>
      <c r="G88" s="143">
        <f ca="1">IFERROR(__xludf.DUMMYFUNCTION("""COMPUTED_VALUE"""),19655835)</f>
        <v>19655835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IFERROR(__xludf.DUMMYFUNCTION("""COMPUTED_VALUE"""),55.18)</f>
        <v>55.18</v>
      </c>
      <c r="D89" s="141">
        <f ca="1">IFERROR(__xludf.DUMMYFUNCTION("""COMPUTED_VALUE"""),55.21)</f>
        <v>55.21</v>
      </c>
      <c r="E89" s="141">
        <f ca="1">IFERROR(__xludf.DUMMYFUNCTION("""COMPUTED_VALUE"""),55.01)</f>
        <v>55.01</v>
      </c>
      <c r="F89" s="141">
        <f ca="1">IFERROR(__xludf.DUMMYFUNCTION("""COMPUTED_VALUE"""),55.1)</f>
        <v>55.1</v>
      </c>
      <c r="G89" s="143">
        <f ca="1">IFERROR(__xludf.DUMMYFUNCTION("""COMPUTED_VALUE"""),19506251)</f>
        <v>19506251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IFERROR(__xludf.DUMMYFUNCTION("""COMPUTED_VALUE"""),55.72)</f>
        <v>55.72</v>
      </c>
      <c r="D90" s="141">
        <f ca="1">IFERROR(__xludf.DUMMYFUNCTION("""COMPUTED_VALUE"""),55.74)</f>
        <v>55.74</v>
      </c>
      <c r="E90" s="141">
        <f ca="1">IFERROR(__xludf.DUMMYFUNCTION("""COMPUTED_VALUE"""),55.5)</f>
        <v>55.5</v>
      </c>
      <c r="F90" s="141">
        <f ca="1">IFERROR(__xludf.DUMMYFUNCTION("""COMPUTED_VALUE"""),55.71)</f>
        <v>55.71</v>
      </c>
      <c r="G90" s="143">
        <f ca="1">IFERROR(__xludf.DUMMYFUNCTION("""COMPUTED_VALUE"""),24016505)</f>
        <v>24016505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IFERROR(__xludf.DUMMYFUNCTION("""COMPUTED_VALUE"""),55.38)</f>
        <v>55.38</v>
      </c>
      <c r="D91" s="141">
        <f ca="1">IFERROR(__xludf.DUMMYFUNCTION("""COMPUTED_VALUE"""),55.77)</f>
        <v>55.77</v>
      </c>
      <c r="E91" s="141">
        <f ca="1">IFERROR(__xludf.DUMMYFUNCTION("""COMPUTED_VALUE"""),55.33)</f>
        <v>55.33</v>
      </c>
      <c r="F91" s="141">
        <f ca="1">IFERROR(__xludf.DUMMYFUNCTION("""COMPUTED_VALUE"""),55.69)</f>
        <v>55.69</v>
      </c>
      <c r="G91" s="143">
        <f ca="1">IFERROR(__xludf.DUMMYFUNCTION("""COMPUTED_VALUE"""),25911549)</f>
        <v>25911549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IFERROR(__xludf.DUMMYFUNCTION("""COMPUTED_VALUE"""),56.22)</f>
        <v>56.22</v>
      </c>
      <c r="D92" s="141">
        <f ca="1">IFERROR(__xludf.DUMMYFUNCTION("""COMPUTED_VALUE"""),56.31)</f>
        <v>56.31</v>
      </c>
      <c r="E92" s="141">
        <f ca="1">IFERROR(__xludf.DUMMYFUNCTION("""COMPUTED_VALUE"""),55.75)</f>
        <v>55.75</v>
      </c>
      <c r="F92" s="141">
        <f ca="1">IFERROR(__xludf.DUMMYFUNCTION("""COMPUTED_VALUE"""),56.01)</f>
        <v>56.01</v>
      </c>
      <c r="G92" s="143">
        <f ca="1">IFERROR(__xludf.DUMMYFUNCTION("""COMPUTED_VALUE"""),32924601)</f>
        <v>32924601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IFERROR(__xludf.DUMMYFUNCTION("""COMPUTED_VALUE"""),55.45)</f>
        <v>55.45</v>
      </c>
      <c r="D93" s="141">
        <f ca="1">IFERROR(__xludf.DUMMYFUNCTION("""COMPUTED_VALUE"""),55.66)</f>
        <v>55.66</v>
      </c>
      <c r="E93" s="141">
        <f ca="1">IFERROR(__xludf.DUMMYFUNCTION("""COMPUTED_VALUE"""),55.32)</f>
        <v>55.32</v>
      </c>
      <c r="F93" s="141">
        <f ca="1">IFERROR(__xludf.DUMMYFUNCTION("""COMPUTED_VALUE"""),55.43)</f>
        <v>55.43</v>
      </c>
      <c r="G93" s="143">
        <f ca="1">IFERROR(__xludf.DUMMYFUNCTION("""COMPUTED_VALUE"""),22532835)</f>
        <v>22532835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IFERROR(__xludf.DUMMYFUNCTION("""COMPUTED_VALUE"""),55.34)</f>
        <v>55.34</v>
      </c>
      <c r="D94" s="141">
        <f ca="1">IFERROR(__xludf.DUMMYFUNCTION("""COMPUTED_VALUE"""),55.39)</f>
        <v>55.39</v>
      </c>
      <c r="E94" s="141">
        <f ca="1">IFERROR(__xludf.DUMMYFUNCTION("""COMPUTED_VALUE"""),55.03)</f>
        <v>55.03</v>
      </c>
      <c r="F94" s="141">
        <f ca="1">IFERROR(__xludf.DUMMYFUNCTION("""COMPUTED_VALUE"""),55.3)</f>
        <v>55.3</v>
      </c>
      <c r="G94" s="143">
        <f ca="1">IFERROR(__xludf.DUMMYFUNCTION("""COMPUTED_VALUE"""),29316434)</f>
        <v>29316434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IFERROR(__xludf.DUMMYFUNCTION("""COMPUTED_VALUE"""),55.69)</f>
        <v>55.69</v>
      </c>
      <c r="D95" s="141">
        <f ca="1">IFERROR(__xludf.DUMMYFUNCTION("""COMPUTED_VALUE"""),55.73)</f>
        <v>55.73</v>
      </c>
      <c r="E95" s="141">
        <f ca="1">IFERROR(__xludf.DUMMYFUNCTION("""COMPUTED_VALUE"""),55.37)</f>
        <v>55.37</v>
      </c>
      <c r="F95" s="141">
        <f ca="1">IFERROR(__xludf.DUMMYFUNCTION("""COMPUTED_VALUE"""),55.65)</f>
        <v>55.65</v>
      </c>
      <c r="G95" s="143">
        <f ca="1">IFERROR(__xludf.DUMMYFUNCTION("""COMPUTED_VALUE"""),18735927)</f>
        <v>18735927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IFERROR(__xludf.DUMMYFUNCTION("""COMPUTED_VALUE"""),54.73)</f>
        <v>54.73</v>
      </c>
      <c r="D96" s="141">
        <f ca="1">IFERROR(__xludf.DUMMYFUNCTION("""COMPUTED_VALUE"""),55.07)</f>
        <v>55.07</v>
      </c>
      <c r="E96" s="141">
        <f ca="1">IFERROR(__xludf.DUMMYFUNCTION("""COMPUTED_VALUE"""),54.61)</f>
        <v>54.61</v>
      </c>
      <c r="F96" s="141">
        <f ca="1">IFERROR(__xludf.DUMMYFUNCTION("""COMPUTED_VALUE"""),54.63)</f>
        <v>54.63</v>
      </c>
      <c r="G96" s="143">
        <f ca="1">IFERROR(__xludf.DUMMYFUNCTION("""COMPUTED_VALUE"""),25655752)</f>
        <v>25655752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IFERROR(__xludf.DUMMYFUNCTION("""COMPUTED_VALUE"""),54.64)</f>
        <v>54.64</v>
      </c>
      <c r="D97" s="141">
        <f ca="1">IFERROR(__xludf.DUMMYFUNCTION("""COMPUTED_VALUE"""),55.25)</f>
        <v>55.25</v>
      </c>
      <c r="E97" s="141">
        <f ca="1">IFERROR(__xludf.DUMMYFUNCTION("""COMPUTED_VALUE"""),54.61)</f>
        <v>54.61</v>
      </c>
      <c r="F97" s="141">
        <f ca="1">IFERROR(__xludf.DUMMYFUNCTION("""COMPUTED_VALUE"""),55.12)</f>
        <v>55.12</v>
      </c>
      <c r="G97" s="143">
        <f ca="1">IFERROR(__xludf.DUMMYFUNCTION("""COMPUTED_VALUE"""),22362009)</f>
        <v>22362009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IFERROR(__xludf.DUMMYFUNCTION("""COMPUTED_VALUE"""),55.07)</f>
        <v>55.07</v>
      </c>
      <c r="D98" s="141">
        <f ca="1">IFERROR(__xludf.DUMMYFUNCTION("""COMPUTED_VALUE"""),55.22)</f>
        <v>55.22</v>
      </c>
      <c r="E98" s="141">
        <f ca="1">IFERROR(__xludf.DUMMYFUNCTION("""COMPUTED_VALUE"""),54.52)</f>
        <v>54.52</v>
      </c>
      <c r="F98" s="141">
        <f ca="1">IFERROR(__xludf.DUMMYFUNCTION("""COMPUTED_VALUE"""),54.71)</f>
        <v>54.71</v>
      </c>
      <c r="G98" s="143">
        <f ca="1">IFERROR(__xludf.DUMMYFUNCTION("""COMPUTED_VALUE"""),24880814)</f>
        <v>24880814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IFERROR(__xludf.DUMMYFUNCTION("""COMPUTED_VALUE"""),54.21)</f>
        <v>54.21</v>
      </c>
      <c r="D99" s="141">
        <f ca="1">IFERROR(__xludf.DUMMYFUNCTION("""COMPUTED_VALUE"""),54.55)</f>
        <v>54.55</v>
      </c>
      <c r="E99" s="141">
        <f ca="1">IFERROR(__xludf.DUMMYFUNCTION("""COMPUTED_VALUE"""),53.8)</f>
        <v>53.8</v>
      </c>
      <c r="F99" s="141">
        <f ca="1">IFERROR(__xludf.DUMMYFUNCTION("""COMPUTED_VALUE"""),54.55)</f>
        <v>54.55</v>
      </c>
      <c r="G99" s="143">
        <f ca="1">IFERROR(__xludf.DUMMYFUNCTION("""COMPUTED_VALUE"""),32432333)</f>
        <v>32432333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IFERROR(__xludf.DUMMYFUNCTION("""COMPUTED_VALUE"""),55.28)</f>
        <v>55.28</v>
      </c>
      <c r="D100" s="141">
        <f ca="1">IFERROR(__xludf.DUMMYFUNCTION("""COMPUTED_VALUE"""),55.55)</f>
        <v>55.55</v>
      </c>
      <c r="E100" s="141">
        <f ca="1">IFERROR(__xludf.DUMMYFUNCTION("""COMPUTED_VALUE"""),55.1)</f>
        <v>55.1</v>
      </c>
      <c r="F100" s="141">
        <f ca="1">IFERROR(__xludf.DUMMYFUNCTION("""COMPUTED_VALUE"""),55.51)</f>
        <v>55.51</v>
      </c>
      <c r="G100" s="143">
        <f ca="1">IFERROR(__xludf.DUMMYFUNCTION("""COMPUTED_VALUE"""),27712194)</f>
        <v>27712194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IFERROR(__xludf.DUMMYFUNCTION("""COMPUTED_VALUE"""),55.51)</f>
        <v>55.51</v>
      </c>
      <c r="D101" s="141">
        <f ca="1">IFERROR(__xludf.DUMMYFUNCTION("""COMPUTED_VALUE"""),55.7)</f>
        <v>55.7</v>
      </c>
      <c r="E101" s="141">
        <f ca="1">IFERROR(__xludf.DUMMYFUNCTION("""COMPUTED_VALUE"""),55.37)</f>
        <v>55.37</v>
      </c>
      <c r="F101" s="141">
        <f ca="1">IFERROR(__xludf.DUMMYFUNCTION("""COMPUTED_VALUE"""),55.57)</f>
        <v>55.57</v>
      </c>
      <c r="G101" s="143">
        <f ca="1">IFERROR(__xludf.DUMMYFUNCTION("""COMPUTED_VALUE"""),22791823)</f>
        <v>22791823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IFERROR(__xludf.DUMMYFUNCTION("""COMPUTED_VALUE"""),55.66)</f>
        <v>55.66</v>
      </c>
      <c r="D102" s="141">
        <f ca="1">IFERROR(__xludf.DUMMYFUNCTION("""COMPUTED_VALUE"""),55.66)</f>
        <v>55.66</v>
      </c>
      <c r="E102" s="141">
        <f ca="1">IFERROR(__xludf.DUMMYFUNCTION("""COMPUTED_VALUE"""),55.42)</f>
        <v>55.42</v>
      </c>
      <c r="F102" s="141">
        <f ca="1">IFERROR(__xludf.DUMMYFUNCTION("""COMPUTED_VALUE"""),55.58)</f>
        <v>55.58</v>
      </c>
      <c r="G102" s="143">
        <f ca="1">IFERROR(__xludf.DUMMYFUNCTION("""COMPUTED_VALUE"""),24137861)</f>
        <v>24137861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IFERROR(__xludf.DUMMYFUNCTION("""COMPUTED_VALUE"""),55.7)</f>
        <v>55.7</v>
      </c>
      <c r="D103" s="141">
        <f ca="1">IFERROR(__xludf.DUMMYFUNCTION("""COMPUTED_VALUE"""),55.73)</f>
        <v>55.73</v>
      </c>
      <c r="E103" s="141">
        <f ca="1">IFERROR(__xludf.DUMMYFUNCTION("""COMPUTED_VALUE"""),54.82)</f>
        <v>54.82</v>
      </c>
      <c r="F103" s="141">
        <f ca="1">IFERROR(__xludf.DUMMYFUNCTION("""COMPUTED_VALUE"""),54.93)</f>
        <v>54.93</v>
      </c>
      <c r="G103" s="143">
        <f ca="1">IFERROR(__xludf.DUMMYFUNCTION("""COMPUTED_VALUE"""),29877469)</f>
        <v>29877469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IFERROR(__xludf.DUMMYFUNCTION("""COMPUTED_VALUE"""),54.53)</f>
        <v>54.53</v>
      </c>
      <c r="D104" s="141">
        <f ca="1">IFERROR(__xludf.DUMMYFUNCTION("""COMPUTED_VALUE"""),55.3)</f>
        <v>55.3</v>
      </c>
      <c r="E104" s="141">
        <f ca="1">IFERROR(__xludf.DUMMYFUNCTION("""COMPUTED_VALUE"""),54.41)</f>
        <v>54.41</v>
      </c>
      <c r="F104" s="141">
        <f ca="1">IFERROR(__xludf.DUMMYFUNCTION("""COMPUTED_VALUE"""),54.96)</f>
        <v>54.96</v>
      </c>
      <c r="G104" s="143">
        <f ca="1">IFERROR(__xludf.DUMMYFUNCTION("""COMPUTED_VALUE"""),27660028)</f>
        <v>27660028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IFERROR(__xludf.DUMMYFUNCTION("""COMPUTED_VALUE"""),54.52)</f>
        <v>54.52</v>
      </c>
      <c r="D105" s="141">
        <f ca="1">IFERROR(__xludf.DUMMYFUNCTION("""COMPUTED_VALUE"""),54.89)</f>
        <v>54.89</v>
      </c>
      <c r="E105" s="141">
        <f ca="1">IFERROR(__xludf.DUMMYFUNCTION("""COMPUTED_VALUE"""),54.14)</f>
        <v>54.14</v>
      </c>
      <c r="F105" s="141">
        <f ca="1">IFERROR(__xludf.DUMMYFUNCTION("""COMPUTED_VALUE"""),54.31)</f>
        <v>54.31</v>
      </c>
      <c r="G105" s="143">
        <f ca="1">IFERROR(__xludf.DUMMYFUNCTION("""COMPUTED_VALUE"""),24765074)</f>
        <v>24765074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IFERROR(__xludf.DUMMYFUNCTION("""COMPUTED_VALUE"""),53.88)</f>
        <v>53.88</v>
      </c>
      <c r="D106" s="141">
        <f ca="1">IFERROR(__xludf.DUMMYFUNCTION("""COMPUTED_VALUE"""),54.25)</f>
        <v>54.25</v>
      </c>
      <c r="E106" s="141">
        <f ca="1">IFERROR(__xludf.DUMMYFUNCTION("""COMPUTED_VALUE"""),53.68)</f>
        <v>53.68</v>
      </c>
      <c r="F106" s="141">
        <f ca="1">IFERROR(__xludf.DUMMYFUNCTION("""COMPUTED_VALUE"""),54.04)</f>
        <v>54.04</v>
      </c>
      <c r="G106" s="143">
        <f ca="1">IFERROR(__xludf.DUMMYFUNCTION("""COMPUTED_VALUE"""),29360262)</f>
        <v>29360262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IFERROR(__xludf.DUMMYFUNCTION("""COMPUTED_VALUE"""),53.84)</f>
        <v>53.84</v>
      </c>
      <c r="D107" s="141">
        <f ca="1">IFERROR(__xludf.DUMMYFUNCTION("""COMPUTED_VALUE"""),54.17)</f>
        <v>54.17</v>
      </c>
      <c r="E107" s="141">
        <f ca="1">IFERROR(__xludf.DUMMYFUNCTION("""COMPUTED_VALUE"""),53.61)</f>
        <v>53.61</v>
      </c>
      <c r="F107" s="141">
        <f ca="1">IFERROR(__xludf.DUMMYFUNCTION("""COMPUTED_VALUE"""),53.85)</f>
        <v>53.85</v>
      </c>
      <c r="G107" s="143">
        <f ca="1">IFERROR(__xludf.DUMMYFUNCTION("""COMPUTED_VALUE"""),20897928)</f>
        <v>20897928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IFERROR(__xludf.DUMMYFUNCTION("""COMPUTED_VALUE"""),54.43)</f>
        <v>54.43</v>
      </c>
      <c r="D108" s="141">
        <f ca="1">IFERROR(__xludf.DUMMYFUNCTION("""COMPUTED_VALUE"""),54.49)</f>
        <v>54.49</v>
      </c>
      <c r="E108" s="141">
        <f ca="1">IFERROR(__xludf.DUMMYFUNCTION("""COMPUTED_VALUE"""),53.08)</f>
        <v>53.08</v>
      </c>
      <c r="F108" s="141">
        <f ca="1">IFERROR(__xludf.DUMMYFUNCTION("""COMPUTED_VALUE"""),53.11)</f>
        <v>53.11</v>
      </c>
      <c r="G108" s="143">
        <f ca="1">IFERROR(__xludf.DUMMYFUNCTION("""COMPUTED_VALUE"""),32026351)</f>
        <v>32026351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IFERROR(__xludf.DUMMYFUNCTION("""COMPUTED_VALUE"""),52.71)</f>
        <v>52.71</v>
      </c>
      <c r="D109" s="141">
        <f ca="1">IFERROR(__xludf.DUMMYFUNCTION("""COMPUTED_VALUE"""),53.33)</f>
        <v>53.33</v>
      </c>
      <c r="E109" s="141">
        <f ca="1">IFERROR(__xludf.DUMMYFUNCTION("""COMPUTED_VALUE"""),52.38)</f>
        <v>52.38</v>
      </c>
      <c r="F109" s="141">
        <f ca="1">IFERROR(__xludf.DUMMYFUNCTION("""COMPUTED_VALUE"""),53.1)</f>
        <v>53.1</v>
      </c>
      <c r="G109" s="143">
        <f ca="1">IFERROR(__xludf.DUMMYFUNCTION("""COMPUTED_VALUE"""),40328780)</f>
        <v>40328780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IFERROR(__xludf.DUMMYFUNCTION("""COMPUTED_VALUE"""),53.12)</f>
        <v>53.12</v>
      </c>
      <c r="D110" s="141">
        <f ca="1">IFERROR(__xludf.DUMMYFUNCTION("""COMPUTED_VALUE"""),53.7)</f>
        <v>53.7</v>
      </c>
      <c r="E110" s="141">
        <f ca="1">IFERROR(__xludf.DUMMYFUNCTION("""COMPUTED_VALUE"""),53.12)</f>
        <v>53.12</v>
      </c>
      <c r="F110" s="141">
        <f ca="1">IFERROR(__xludf.DUMMYFUNCTION("""COMPUTED_VALUE"""),53.66)</f>
        <v>53.66</v>
      </c>
      <c r="G110" s="143">
        <f ca="1">IFERROR(__xludf.DUMMYFUNCTION("""COMPUTED_VALUE"""),33650563)</f>
        <v>33650563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IFERROR(__xludf.DUMMYFUNCTION("""COMPUTED_VALUE"""),53.63)</f>
        <v>53.63</v>
      </c>
      <c r="D111" s="141">
        <f ca="1">IFERROR(__xludf.DUMMYFUNCTION("""COMPUTED_VALUE"""),53.87)</f>
        <v>53.87</v>
      </c>
      <c r="E111" s="141">
        <f ca="1">IFERROR(__xludf.DUMMYFUNCTION("""COMPUTED_VALUE"""),53.21)</f>
        <v>53.21</v>
      </c>
      <c r="F111" s="141">
        <f ca="1">IFERROR(__xludf.DUMMYFUNCTION("""COMPUTED_VALUE"""),53.85)</f>
        <v>53.85</v>
      </c>
      <c r="G111" s="143">
        <f ca="1">IFERROR(__xludf.DUMMYFUNCTION("""COMPUTED_VALUE"""),25248180)</f>
        <v>25248180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IFERROR(__xludf.DUMMYFUNCTION("""COMPUTED_VALUE"""),54.1)</f>
        <v>54.1</v>
      </c>
      <c r="D112" s="141">
        <f ca="1">IFERROR(__xludf.DUMMYFUNCTION("""COMPUTED_VALUE"""),54.33)</f>
        <v>54.33</v>
      </c>
      <c r="E112" s="141">
        <f ca="1">IFERROR(__xludf.DUMMYFUNCTION("""COMPUTED_VALUE"""),53.96)</f>
        <v>53.96</v>
      </c>
      <c r="F112" s="141">
        <f ca="1">IFERROR(__xludf.DUMMYFUNCTION("""COMPUTED_VALUE"""),54.24)</f>
        <v>54.24</v>
      </c>
      <c r="G112" s="143">
        <f ca="1">IFERROR(__xludf.DUMMYFUNCTION("""COMPUTED_VALUE"""),22161638)</f>
        <v>22161638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IFERROR(__xludf.DUMMYFUNCTION("""COMPUTED_VALUE"""),54.16)</f>
        <v>54.16</v>
      </c>
      <c r="D113" s="141">
        <f ca="1">IFERROR(__xludf.DUMMYFUNCTION("""COMPUTED_VALUE"""),54.37)</f>
        <v>54.37</v>
      </c>
      <c r="E113" s="141">
        <f ca="1">IFERROR(__xludf.DUMMYFUNCTION("""COMPUTED_VALUE"""),54.12)</f>
        <v>54.12</v>
      </c>
      <c r="F113" s="141">
        <f ca="1">IFERROR(__xludf.DUMMYFUNCTION("""COMPUTED_VALUE"""),54.32)</f>
        <v>54.32</v>
      </c>
      <c r="G113" s="143">
        <f ca="1">IFERROR(__xludf.DUMMYFUNCTION("""COMPUTED_VALUE"""),15057453)</f>
        <v>15057453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IFERROR(__xludf.DUMMYFUNCTION("""COMPUTED_VALUE"""),54.15)</f>
        <v>54.15</v>
      </c>
      <c r="D114" s="141">
        <f ca="1">IFERROR(__xludf.DUMMYFUNCTION("""COMPUTED_VALUE"""),54.45)</f>
        <v>54.45</v>
      </c>
      <c r="E114" s="141">
        <f ca="1">IFERROR(__xludf.DUMMYFUNCTION("""COMPUTED_VALUE"""),54.15)</f>
        <v>54.15</v>
      </c>
      <c r="F114" s="141">
        <f ca="1">IFERROR(__xludf.DUMMYFUNCTION("""COMPUTED_VALUE"""),54.28)</f>
        <v>54.28</v>
      </c>
      <c r="G114" s="143">
        <f ca="1">IFERROR(__xludf.DUMMYFUNCTION("""COMPUTED_VALUE"""),17854074)</f>
        <v>17854074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IFERROR(__xludf.DUMMYFUNCTION("""COMPUTED_VALUE"""),54.36)</f>
        <v>54.36</v>
      </c>
      <c r="D115" s="141">
        <f ca="1">IFERROR(__xludf.DUMMYFUNCTION("""COMPUTED_VALUE"""),54.38)</f>
        <v>54.38</v>
      </c>
      <c r="E115" s="141">
        <f ca="1">IFERROR(__xludf.DUMMYFUNCTION("""COMPUTED_VALUE"""),54.07)</f>
        <v>54.07</v>
      </c>
      <c r="F115" s="141">
        <f ca="1">IFERROR(__xludf.DUMMYFUNCTION("""COMPUTED_VALUE"""),54.3)</f>
        <v>54.3</v>
      </c>
      <c r="G115" s="143">
        <f ca="1">IFERROR(__xludf.DUMMYFUNCTION("""COMPUTED_VALUE"""),22523089)</f>
        <v>22523089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IFERROR(__xludf.DUMMYFUNCTION("""COMPUTED_VALUE"""),54.14)</f>
        <v>54.14</v>
      </c>
      <c r="D116" s="141">
        <f ca="1">IFERROR(__xludf.DUMMYFUNCTION("""COMPUTED_VALUE"""),54.35)</f>
        <v>54.35</v>
      </c>
      <c r="E116" s="141">
        <f ca="1">IFERROR(__xludf.DUMMYFUNCTION("""COMPUTED_VALUE"""),54.05)</f>
        <v>54.05</v>
      </c>
      <c r="F116" s="141">
        <f ca="1">IFERROR(__xludf.DUMMYFUNCTION("""COMPUTED_VALUE"""),54.34)</f>
        <v>54.34</v>
      </c>
      <c r="G116" s="143">
        <f ca="1">IFERROR(__xludf.DUMMYFUNCTION("""COMPUTED_VALUE"""),16750182)</f>
        <v>16750182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IFERROR(__xludf.DUMMYFUNCTION("""COMPUTED_VALUE"""),54.41)</f>
        <v>54.41</v>
      </c>
      <c r="D117" s="141">
        <f ca="1">IFERROR(__xludf.DUMMYFUNCTION("""COMPUTED_VALUE"""),54.41)</f>
        <v>54.41</v>
      </c>
      <c r="E117" s="141">
        <f ca="1">IFERROR(__xludf.DUMMYFUNCTION("""COMPUTED_VALUE"""),54.18)</f>
        <v>54.18</v>
      </c>
      <c r="F117" s="141">
        <f ca="1">IFERROR(__xludf.DUMMYFUNCTION("""COMPUTED_VALUE"""),54.33)</f>
        <v>54.33</v>
      </c>
      <c r="G117" s="143">
        <f ca="1">IFERROR(__xludf.DUMMYFUNCTION("""COMPUTED_VALUE"""),14443495)</f>
        <v>14443495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IFERROR(__xludf.DUMMYFUNCTION("""COMPUTED_VALUE"""),54.93)</f>
        <v>54.93</v>
      </c>
      <c r="D118" s="141">
        <f ca="1">IFERROR(__xludf.DUMMYFUNCTION("""COMPUTED_VALUE"""),55.12)</f>
        <v>55.12</v>
      </c>
      <c r="E118" s="141">
        <f ca="1">IFERROR(__xludf.DUMMYFUNCTION("""COMPUTED_VALUE"""),54.67)</f>
        <v>54.67</v>
      </c>
      <c r="F118" s="141">
        <f ca="1">IFERROR(__xludf.DUMMYFUNCTION("""COMPUTED_VALUE"""),54.74)</f>
        <v>54.74</v>
      </c>
      <c r="G118" s="143">
        <f ca="1">IFERROR(__xludf.DUMMYFUNCTION("""COMPUTED_VALUE"""),20114547)</f>
        <v>20114547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IFERROR(__xludf.DUMMYFUNCTION("""COMPUTED_VALUE"""),54.87)</f>
        <v>54.87</v>
      </c>
      <c r="D119" s="141">
        <f ca="1">IFERROR(__xludf.DUMMYFUNCTION("""COMPUTED_VALUE"""),54.87)</f>
        <v>54.87</v>
      </c>
      <c r="E119" s="141">
        <f ca="1">IFERROR(__xludf.DUMMYFUNCTION("""COMPUTED_VALUE"""),54.48)</f>
        <v>54.48</v>
      </c>
      <c r="F119" s="141">
        <f ca="1">IFERROR(__xludf.DUMMYFUNCTION("""COMPUTED_VALUE"""),54.62)</f>
        <v>54.62</v>
      </c>
      <c r="G119" s="143">
        <f ca="1">IFERROR(__xludf.DUMMYFUNCTION("""COMPUTED_VALUE"""),29055648)</f>
        <v>29055648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IFERROR(__xludf.DUMMYFUNCTION("""COMPUTED_VALUE"""),54.3)</f>
        <v>54.3</v>
      </c>
      <c r="D120" s="141">
        <f ca="1">IFERROR(__xludf.DUMMYFUNCTION("""COMPUTED_VALUE"""),54.58)</f>
        <v>54.58</v>
      </c>
      <c r="E120" s="141">
        <f ca="1">IFERROR(__xludf.DUMMYFUNCTION("""COMPUTED_VALUE"""),54.25)</f>
        <v>54.25</v>
      </c>
      <c r="F120" s="141">
        <f ca="1">IFERROR(__xludf.DUMMYFUNCTION("""COMPUTED_VALUE"""),54.53)</f>
        <v>54.53</v>
      </c>
      <c r="G120" s="143">
        <f ca="1">IFERROR(__xludf.DUMMYFUNCTION("""COMPUTED_VALUE"""),17789155)</f>
        <v>17789155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IFERROR(__xludf.DUMMYFUNCTION("""COMPUTED_VALUE"""),54.65)</f>
        <v>54.65</v>
      </c>
      <c r="D121" s="141">
        <f ca="1">IFERROR(__xludf.DUMMYFUNCTION("""COMPUTED_VALUE"""),55.24)</f>
        <v>55.24</v>
      </c>
      <c r="E121" s="141">
        <f ca="1">IFERROR(__xludf.DUMMYFUNCTION("""COMPUTED_VALUE"""),54.58)</f>
        <v>54.58</v>
      </c>
      <c r="F121" s="141">
        <f ca="1">IFERROR(__xludf.DUMMYFUNCTION("""COMPUTED_VALUE"""),55.14)</f>
        <v>55.14</v>
      </c>
      <c r="G121" s="143">
        <f ca="1">IFERROR(__xludf.DUMMYFUNCTION("""COMPUTED_VALUE"""),35022917)</f>
        <v>35022917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IFERROR(__xludf.DUMMYFUNCTION("""COMPUTED_VALUE"""),54.7)</f>
        <v>54.7</v>
      </c>
      <c r="D122" s="141">
        <f ca="1">IFERROR(__xludf.DUMMYFUNCTION("""COMPUTED_VALUE"""),54.95)</f>
        <v>54.95</v>
      </c>
      <c r="E122" s="141">
        <f ca="1">IFERROR(__xludf.DUMMYFUNCTION("""COMPUTED_VALUE"""),54.48)</f>
        <v>54.48</v>
      </c>
      <c r="F122" s="141">
        <f ca="1">IFERROR(__xludf.DUMMYFUNCTION("""COMPUTED_VALUE"""),54.88)</f>
        <v>54.88</v>
      </c>
      <c r="G122" s="143">
        <f ca="1">IFERROR(__xludf.DUMMYFUNCTION("""COMPUTED_VALUE"""),22013616)</f>
        <v>22013616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IFERROR(__xludf.DUMMYFUNCTION("""COMPUTED_VALUE"""),54.91)</f>
        <v>54.91</v>
      </c>
      <c r="D123" s="141">
        <f ca="1">IFERROR(__xludf.DUMMYFUNCTION("""COMPUTED_VALUE"""),54.95)</f>
        <v>54.95</v>
      </c>
      <c r="E123" s="141">
        <f ca="1">IFERROR(__xludf.DUMMYFUNCTION("""COMPUTED_VALUE"""),54.1)</f>
        <v>54.1</v>
      </c>
      <c r="F123" s="141">
        <f ca="1">IFERROR(__xludf.DUMMYFUNCTION("""COMPUTED_VALUE"""),54.24)</f>
        <v>54.24</v>
      </c>
      <c r="G123" s="143">
        <f ca="1">IFERROR(__xludf.DUMMYFUNCTION("""COMPUTED_VALUE"""),30590003)</f>
        <v>30590003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IFERROR(__xludf.DUMMYFUNCTION("""COMPUTED_VALUE"""),54.55)</f>
        <v>54.55</v>
      </c>
      <c r="D124" s="141">
        <f ca="1">IFERROR(__xludf.DUMMYFUNCTION("""COMPUTED_VALUE"""),54.58)</f>
        <v>54.58</v>
      </c>
      <c r="E124" s="141">
        <f ca="1">IFERROR(__xludf.DUMMYFUNCTION("""COMPUTED_VALUE"""),54.07)</f>
        <v>54.07</v>
      </c>
      <c r="F124" s="141">
        <f ca="1">IFERROR(__xludf.DUMMYFUNCTION("""COMPUTED_VALUE"""),54.08)</f>
        <v>54.08</v>
      </c>
      <c r="G124" s="143">
        <f ca="1">IFERROR(__xludf.DUMMYFUNCTION("""COMPUTED_VALUE"""),29137022)</f>
        <v>29137022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IFERROR(__xludf.DUMMYFUNCTION("""COMPUTED_VALUE"""),52.96)</f>
        <v>52.96</v>
      </c>
      <c r="D125" s="141">
        <f ca="1">IFERROR(__xludf.DUMMYFUNCTION("""COMPUTED_VALUE"""),53.13)</f>
        <v>53.13</v>
      </c>
      <c r="E125" s="141">
        <f ca="1">IFERROR(__xludf.DUMMYFUNCTION("""COMPUTED_VALUE"""),52.77)</f>
        <v>52.77</v>
      </c>
      <c r="F125" s="141">
        <f ca="1">IFERROR(__xludf.DUMMYFUNCTION("""COMPUTED_VALUE"""),52.98)</f>
        <v>52.98</v>
      </c>
      <c r="G125" s="143">
        <f ca="1">IFERROR(__xludf.DUMMYFUNCTION("""COMPUTED_VALUE"""),38180868)</f>
        <v>38180868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IFERROR(__xludf.DUMMYFUNCTION("""COMPUTED_VALUE"""),53.26)</f>
        <v>53.26</v>
      </c>
      <c r="D126" s="141">
        <f ca="1">IFERROR(__xludf.DUMMYFUNCTION("""COMPUTED_VALUE"""),53.31)</f>
        <v>53.31</v>
      </c>
      <c r="E126" s="141">
        <f ca="1">IFERROR(__xludf.DUMMYFUNCTION("""COMPUTED_VALUE"""),52.58)</f>
        <v>52.58</v>
      </c>
      <c r="F126" s="141">
        <f ca="1">IFERROR(__xludf.DUMMYFUNCTION("""COMPUTED_VALUE"""),52.6)</f>
        <v>52.6</v>
      </c>
      <c r="G126" s="143">
        <f ca="1">IFERROR(__xludf.DUMMYFUNCTION("""COMPUTED_VALUE"""),35740791)</f>
        <v>35740791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IFERROR(__xludf.DUMMYFUNCTION("""COMPUTED_VALUE"""),53.27)</f>
        <v>53.27</v>
      </c>
      <c r="D127" s="141">
        <f ca="1">IFERROR(__xludf.DUMMYFUNCTION("""COMPUTED_VALUE"""),53.5)</f>
        <v>53.5</v>
      </c>
      <c r="E127" s="141">
        <f ca="1">IFERROR(__xludf.DUMMYFUNCTION("""COMPUTED_VALUE"""),53.14)</f>
        <v>53.14</v>
      </c>
      <c r="F127" s="141">
        <f ca="1">IFERROR(__xludf.DUMMYFUNCTION("""COMPUTED_VALUE"""),53.2)</f>
        <v>53.2</v>
      </c>
      <c r="G127" s="143">
        <f ca="1">IFERROR(__xludf.DUMMYFUNCTION("""COMPUTED_VALUE"""),29985716)</f>
        <v>29985716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IFERROR(__xludf.DUMMYFUNCTION("""COMPUTED_VALUE"""),53.54)</f>
        <v>53.54</v>
      </c>
      <c r="D128" s="141">
        <f ca="1">IFERROR(__xludf.DUMMYFUNCTION("""COMPUTED_VALUE"""),53.89)</f>
        <v>53.89</v>
      </c>
      <c r="E128" s="141">
        <f ca="1">IFERROR(__xludf.DUMMYFUNCTION("""COMPUTED_VALUE"""),53.5)</f>
        <v>53.5</v>
      </c>
      <c r="F128" s="141">
        <f ca="1">IFERROR(__xludf.DUMMYFUNCTION("""COMPUTED_VALUE"""),53.72)</f>
        <v>53.72</v>
      </c>
      <c r="G128" s="143">
        <f ca="1">IFERROR(__xludf.DUMMYFUNCTION("""COMPUTED_VALUE"""),28831658)</f>
        <v>28831658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IFERROR(__xludf.DUMMYFUNCTION("""COMPUTED_VALUE"""),53.97)</f>
        <v>53.97</v>
      </c>
      <c r="D129" s="141">
        <f ca="1">IFERROR(__xludf.DUMMYFUNCTION("""COMPUTED_VALUE"""),54.05)</f>
        <v>54.05</v>
      </c>
      <c r="E129" s="141">
        <f ca="1">IFERROR(__xludf.DUMMYFUNCTION("""COMPUTED_VALUE"""),53.89)</f>
        <v>53.89</v>
      </c>
      <c r="F129" s="141">
        <f ca="1">IFERROR(__xludf.DUMMYFUNCTION("""COMPUTED_VALUE"""),54.01)</f>
        <v>54.01</v>
      </c>
      <c r="G129" s="143">
        <f ca="1">IFERROR(__xludf.DUMMYFUNCTION("""COMPUTED_VALUE"""),21645446)</f>
        <v>21645446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IFERROR(__xludf.DUMMYFUNCTION("""COMPUTED_VALUE"""),53.99)</f>
        <v>53.99</v>
      </c>
      <c r="D130" s="141">
        <f ca="1">IFERROR(__xludf.DUMMYFUNCTION("""COMPUTED_VALUE"""),54.33)</f>
        <v>54.33</v>
      </c>
      <c r="E130" s="141">
        <f ca="1">IFERROR(__xludf.DUMMYFUNCTION("""COMPUTED_VALUE"""),53.9)</f>
        <v>53.9</v>
      </c>
      <c r="F130" s="141">
        <f ca="1">IFERROR(__xludf.DUMMYFUNCTION("""COMPUTED_VALUE"""),54.31)</f>
        <v>54.31</v>
      </c>
      <c r="G130" s="143">
        <f ca="1">IFERROR(__xludf.DUMMYFUNCTION("""COMPUTED_VALUE"""),25319659)</f>
        <v>25319659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IFERROR(__xludf.DUMMYFUNCTION("""COMPUTED_VALUE"""),54.41)</f>
        <v>54.41</v>
      </c>
      <c r="D131" s="141">
        <f ca="1">IFERROR(__xludf.DUMMYFUNCTION("""COMPUTED_VALUE"""),54.46)</f>
        <v>54.46</v>
      </c>
      <c r="E131" s="141">
        <f ca="1">IFERROR(__xludf.DUMMYFUNCTION("""COMPUTED_VALUE"""),54.34)</f>
        <v>54.34</v>
      </c>
      <c r="F131" s="141">
        <f ca="1">IFERROR(__xludf.DUMMYFUNCTION("""COMPUTED_VALUE"""),54.42)</f>
        <v>54.42</v>
      </c>
      <c r="G131" s="143">
        <f ca="1">IFERROR(__xludf.DUMMYFUNCTION("""COMPUTED_VALUE"""),9565286)</f>
        <v>9565286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IFERROR(__xludf.DUMMYFUNCTION("""COMPUTED_VALUE"""),54.59)</f>
        <v>54.59</v>
      </c>
      <c r="D132" s="141">
        <f ca="1">IFERROR(__xludf.DUMMYFUNCTION("""COMPUTED_VALUE"""),54.82)</f>
        <v>54.82</v>
      </c>
      <c r="E132" s="141">
        <f ca="1">IFERROR(__xludf.DUMMYFUNCTION("""COMPUTED_VALUE"""),54.53)</f>
        <v>54.53</v>
      </c>
      <c r="F132" s="141">
        <f ca="1">IFERROR(__xludf.DUMMYFUNCTION("""COMPUTED_VALUE"""),54.8)</f>
        <v>54.8</v>
      </c>
      <c r="G132" s="143">
        <f ca="1">IFERROR(__xludf.DUMMYFUNCTION("""COMPUTED_VALUE"""),11351951)</f>
        <v>11351951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IFERROR(__xludf.DUMMYFUNCTION("""COMPUTED_VALUE"""),54.52)</f>
        <v>54.52</v>
      </c>
      <c r="D133" s="141">
        <f ca="1">IFERROR(__xludf.DUMMYFUNCTION("""COMPUTED_VALUE"""),54.68)</f>
        <v>54.68</v>
      </c>
      <c r="E133" s="141">
        <f ca="1">IFERROR(__xludf.DUMMYFUNCTION("""COMPUTED_VALUE"""),54.43)</f>
        <v>54.43</v>
      </c>
      <c r="F133" s="141">
        <f ca="1">IFERROR(__xludf.DUMMYFUNCTION("""COMPUTED_VALUE"""),54.66)</f>
        <v>54.66</v>
      </c>
      <c r="G133" s="143">
        <f ca="1">IFERROR(__xludf.DUMMYFUNCTION("""COMPUTED_VALUE"""),18816661)</f>
        <v>18816661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IFERROR(__xludf.DUMMYFUNCTION("""COMPUTED_VALUE"""),54.87)</f>
        <v>54.87</v>
      </c>
      <c r="D134" s="141">
        <f ca="1">IFERROR(__xludf.DUMMYFUNCTION("""COMPUTED_VALUE"""),54.99)</f>
        <v>54.99</v>
      </c>
      <c r="E134" s="141">
        <f ca="1">IFERROR(__xludf.DUMMYFUNCTION("""COMPUTED_VALUE"""),54.81)</f>
        <v>54.81</v>
      </c>
      <c r="F134" s="141">
        <f ca="1">IFERROR(__xludf.DUMMYFUNCTION("""COMPUTED_VALUE"""),54.88)</f>
        <v>54.88</v>
      </c>
      <c r="G134" s="143">
        <f ca="1">IFERROR(__xludf.DUMMYFUNCTION("""COMPUTED_VALUE"""),24643047)</f>
        <v>24643047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IFERROR(__xludf.DUMMYFUNCTION("""COMPUTED_VALUE"""),54.9)</f>
        <v>54.9</v>
      </c>
      <c r="D135" s="141">
        <f ca="1">IFERROR(__xludf.DUMMYFUNCTION("""COMPUTED_VALUE"""),54.92)</f>
        <v>54.92</v>
      </c>
      <c r="E135" s="141">
        <f ca="1">IFERROR(__xludf.DUMMYFUNCTION("""COMPUTED_VALUE"""),54.68)</f>
        <v>54.68</v>
      </c>
      <c r="F135" s="141">
        <f ca="1">IFERROR(__xludf.DUMMYFUNCTION("""COMPUTED_VALUE"""),54.71)</f>
        <v>54.71</v>
      </c>
      <c r="G135" s="143">
        <f ca="1">IFERROR(__xludf.DUMMYFUNCTION("""COMPUTED_VALUE"""),20000924)</f>
        <v>20000924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IFERROR(__xludf.DUMMYFUNCTION("""COMPUTED_VALUE"""),55.89)</f>
        <v>55.89</v>
      </c>
      <c r="D136" s="141">
        <f ca="1">IFERROR(__xludf.DUMMYFUNCTION("""COMPUTED_VALUE"""),56.25)</f>
        <v>56.25</v>
      </c>
      <c r="E136" s="141">
        <f ca="1">IFERROR(__xludf.DUMMYFUNCTION("""COMPUTED_VALUE"""),55.81)</f>
        <v>55.81</v>
      </c>
      <c r="F136" s="141">
        <f ca="1">IFERROR(__xludf.DUMMYFUNCTION("""COMPUTED_VALUE"""),56.24)</f>
        <v>56.24</v>
      </c>
      <c r="G136" s="143">
        <f ca="1">IFERROR(__xludf.DUMMYFUNCTION("""COMPUTED_VALUE"""),38255887)</f>
        <v>38255887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IFERROR(__xludf.DUMMYFUNCTION("""COMPUTED_VALUE"""),56.59)</f>
        <v>56.59</v>
      </c>
      <c r="D137" s="141">
        <f ca="1">IFERROR(__xludf.DUMMYFUNCTION("""COMPUTED_VALUE"""),56.86)</f>
        <v>56.86</v>
      </c>
      <c r="E137" s="141">
        <f ca="1">IFERROR(__xludf.DUMMYFUNCTION("""COMPUTED_VALUE"""),56.36)</f>
        <v>56.36</v>
      </c>
      <c r="F137" s="141">
        <f ca="1">IFERROR(__xludf.DUMMYFUNCTION("""COMPUTED_VALUE"""),56.86)</f>
        <v>56.86</v>
      </c>
      <c r="G137" s="143">
        <f ca="1">IFERROR(__xludf.DUMMYFUNCTION("""COMPUTED_VALUE"""),37082488)</f>
        <v>37082488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IFERROR(__xludf.DUMMYFUNCTION("""COMPUTED_VALUE"""),57.17)</f>
        <v>57.17</v>
      </c>
      <c r="D138" s="141">
        <f ca="1">IFERROR(__xludf.DUMMYFUNCTION("""COMPUTED_VALUE"""),57.43)</f>
        <v>57.43</v>
      </c>
      <c r="E138" s="141">
        <f ca="1">IFERROR(__xludf.DUMMYFUNCTION("""COMPUTED_VALUE"""),57.16)</f>
        <v>57.16</v>
      </c>
      <c r="F138" s="141">
        <f ca="1">IFERROR(__xludf.DUMMYFUNCTION("""COMPUTED_VALUE"""),57.28)</f>
        <v>57.28</v>
      </c>
      <c r="G138" s="143">
        <f ca="1">IFERROR(__xludf.DUMMYFUNCTION("""COMPUTED_VALUE"""),29801701)</f>
        <v>29801701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IFERROR(__xludf.DUMMYFUNCTION("""COMPUTED_VALUE"""),57.03)</f>
        <v>57.03</v>
      </c>
      <c r="D139" s="141">
        <f ca="1">IFERROR(__xludf.DUMMYFUNCTION("""COMPUTED_VALUE"""),57.05)</f>
        <v>57.05</v>
      </c>
      <c r="E139" s="141">
        <f ca="1">IFERROR(__xludf.DUMMYFUNCTION("""COMPUTED_VALUE"""),56.8)</f>
        <v>56.8</v>
      </c>
      <c r="F139" s="141">
        <f ca="1">IFERROR(__xludf.DUMMYFUNCTION("""COMPUTED_VALUE"""),56.85)</f>
        <v>56.85</v>
      </c>
      <c r="G139" s="143">
        <f ca="1">IFERROR(__xludf.DUMMYFUNCTION("""COMPUTED_VALUE"""),26931301)</f>
        <v>26931301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IFERROR(__xludf.DUMMYFUNCTION("""COMPUTED_VALUE"""),56.75)</f>
        <v>56.75</v>
      </c>
      <c r="D140" s="141">
        <f ca="1">IFERROR(__xludf.DUMMYFUNCTION("""COMPUTED_VALUE"""),56.89)</f>
        <v>56.89</v>
      </c>
      <c r="E140" s="141">
        <f ca="1">IFERROR(__xludf.DUMMYFUNCTION("""COMPUTED_VALUE"""),56.62)</f>
        <v>56.62</v>
      </c>
      <c r="F140" s="141">
        <f ca="1">IFERROR(__xludf.DUMMYFUNCTION("""COMPUTED_VALUE"""),56.87)</f>
        <v>56.87</v>
      </c>
      <c r="G140" s="143">
        <f ca="1">IFERROR(__xludf.DUMMYFUNCTION("""COMPUTED_VALUE"""),27719776)</f>
        <v>27719776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IFERROR(__xludf.DUMMYFUNCTION("""COMPUTED_VALUE"""),56.88)</f>
        <v>56.88</v>
      </c>
      <c r="D141" s="141">
        <f ca="1">IFERROR(__xludf.DUMMYFUNCTION("""COMPUTED_VALUE"""),57.16)</f>
        <v>57.16</v>
      </c>
      <c r="E141" s="141">
        <f ca="1">IFERROR(__xludf.DUMMYFUNCTION("""COMPUTED_VALUE"""),56.71)</f>
        <v>56.71</v>
      </c>
      <c r="F141" s="141">
        <f ca="1">IFERROR(__xludf.DUMMYFUNCTION("""COMPUTED_VALUE"""),57.14)</f>
        <v>57.14</v>
      </c>
      <c r="G141" s="143">
        <f ca="1">IFERROR(__xludf.DUMMYFUNCTION("""COMPUTED_VALUE"""),31540743)</f>
        <v>31540743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IFERROR(__xludf.DUMMYFUNCTION("""COMPUTED_VALUE"""),57.24)</f>
        <v>57.24</v>
      </c>
      <c r="D142" s="141">
        <f ca="1">IFERROR(__xludf.DUMMYFUNCTION("""COMPUTED_VALUE"""),57.97)</f>
        <v>57.97</v>
      </c>
      <c r="E142" s="141">
        <f ca="1">IFERROR(__xludf.DUMMYFUNCTION("""COMPUTED_VALUE"""),57.21)</f>
        <v>57.21</v>
      </c>
      <c r="F142" s="141">
        <f ca="1">IFERROR(__xludf.DUMMYFUNCTION("""COMPUTED_VALUE"""),57.94)</f>
        <v>57.94</v>
      </c>
      <c r="G142" s="143">
        <f ca="1">IFERROR(__xludf.DUMMYFUNCTION("""COMPUTED_VALUE"""),47304266)</f>
        <v>47304266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IFERROR(__xludf.DUMMYFUNCTION("""COMPUTED_VALUE"""),57.77)</f>
        <v>57.77</v>
      </c>
      <c r="D143" s="141">
        <f ca="1">IFERROR(__xludf.DUMMYFUNCTION("""COMPUTED_VALUE"""),57.81)</f>
        <v>57.81</v>
      </c>
      <c r="E143" s="141">
        <f ca="1">IFERROR(__xludf.DUMMYFUNCTION("""COMPUTED_VALUE"""),57.38)</f>
        <v>57.38</v>
      </c>
      <c r="F143" s="141">
        <f ca="1">IFERROR(__xludf.DUMMYFUNCTION("""COMPUTED_VALUE"""),57.51)</f>
        <v>57.51</v>
      </c>
      <c r="G143" s="143">
        <f ca="1">IFERROR(__xludf.DUMMYFUNCTION("""COMPUTED_VALUE"""),34414934)</f>
        <v>34414934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IFERROR(__xludf.DUMMYFUNCTION("""COMPUTED_VALUE"""),57.58)</f>
        <v>57.58</v>
      </c>
      <c r="D144" s="141">
        <f ca="1">IFERROR(__xludf.DUMMYFUNCTION("""COMPUTED_VALUE"""),57.77)</f>
        <v>57.77</v>
      </c>
      <c r="E144" s="141">
        <f ca="1">IFERROR(__xludf.DUMMYFUNCTION("""COMPUTED_VALUE"""),57.44)</f>
        <v>57.44</v>
      </c>
      <c r="F144" s="141">
        <f ca="1">IFERROR(__xludf.DUMMYFUNCTION("""COMPUTED_VALUE"""),57.75)</f>
        <v>57.75</v>
      </c>
      <c r="G144" s="143">
        <f ca="1">IFERROR(__xludf.DUMMYFUNCTION("""COMPUTED_VALUE"""),45156387)</f>
        <v>45156387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IFERROR(__xludf.DUMMYFUNCTION("""COMPUTED_VALUE"""),58.15)</f>
        <v>58.15</v>
      </c>
      <c r="D145" s="141">
        <f ca="1">IFERROR(__xludf.DUMMYFUNCTION("""COMPUTED_VALUE"""),58.38)</f>
        <v>58.38</v>
      </c>
      <c r="E145" s="141">
        <f ca="1">IFERROR(__xludf.DUMMYFUNCTION("""COMPUTED_VALUE"""),57.93)</f>
        <v>57.93</v>
      </c>
      <c r="F145" s="141">
        <f ca="1">IFERROR(__xludf.DUMMYFUNCTION("""COMPUTED_VALUE"""),58.09)</f>
        <v>58.09</v>
      </c>
      <c r="G145" s="143">
        <f ca="1">IFERROR(__xludf.DUMMYFUNCTION("""COMPUTED_VALUE"""),60438104)</f>
        <v>60438104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IFERROR(__xludf.DUMMYFUNCTION("""COMPUTED_VALUE"""),57.97)</f>
        <v>57.97</v>
      </c>
      <c r="D146" s="141">
        <f ca="1">IFERROR(__xludf.DUMMYFUNCTION("""COMPUTED_VALUE"""),58.01)</f>
        <v>58.01</v>
      </c>
      <c r="E146" s="141">
        <f ca="1">IFERROR(__xludf.DUMMYFUNCTION("""COMPUTED_VALUE"""),57.57)</f>
        <v>57.57</v>
      </c>
      <c r="F146" s="141">
        <f ca="1">IFERROR(__xludf.DUMMYFUNCTION("""COMPUTED_VALUE"""),57.87)</f>
        <v>57.87</v>
      </c>
      <c r="G146" s="143">
        <f ca="1">IFERROR(__xludf.DUMMYFUNCTION("""COMPUTED_VALUE"""),30623987)</f>
        <v>30623987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IFERROR(__xludf.DUMMYFUNCTION("""COMPUTED_VALUE"""),57.35)</f>
        <v>57.35</v>
      </c>
      <c r="D147" s="141">
        <f ca="1">IFERROR(__xludf.DUMMYFUNCTION("""COMPUTED_VALUE"""),57.75)</f>
        <v>57.75</v>
      </c>
      <c r="E147" s="141">
        <f ca="1">IFERROR(__xludf.DUMMYFUNCTION("""COMPUTED_VALUE"""),57.24)</f>
        <v>57.24</v>
      </c>
      <c r="F147" s="141">
        <f ca="1">IFERROR(__xludf.DUMMYFUNCTION("""COMPUTED_VALUE"""),57.31)</f>
        <v>57.31</v>
      </c>
      <c r="G147" s="143">
        <f ca="1">IFERROR(__xludf.DUMMYFUNCTION("""COMPUTED_VALUE"""),37026874)</f>
        <v>37026874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IFERROR(__xludf.DUMMYFUNCTION("""COMPUTED_VALUE"""),57.99)</f>
        <v>57.99</v>
      </c>
      <c r="D148" s="141">
        <f ca="1">IFERROR(__xludf.DUMMYFUNCTION("""COMPUTED_VALUE"""),58.48)</f>
        <v>58.48</v>
      </c>
      <c r="E148" s="141">
        <f ca="1">IFERROR(__xludf.DUMMYFUNCTION("""COMPUTED_VALUE"""),57.92)</f>
        <v>57.92</v>
      </c>
      <c r="F148" s="141">
        <f ca="1">IFERROR(__xludf.DUMMYFUNCTION("""COMPUTED_VALUE"""),58.26)</f>
        <v>58.26</v>
      </c>
      <c r="G148" s="143">
        <f ca="1">IFERROR(__xludf.DUMMYFUNCTION("""COMPUTED_VALUE"""),44193755)</f>
        <v>44193755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IFERROR(__xludf.DUMMYFUNCTION("""COMPUTED_VALUE"""),58.7)</f>
        <v>58.7</v>
      </c>
      <c r="D149" s="141">
        <f ca="1">IFERROR(__xludf.DUMMYFUNCTION("""COMPUTED_VALUE"""),58.93)</f>
        <v>58.93</v>
      </c>
      <c r="E149" s="141">
        <f ca="1">IFERROR(__xludf.DUMMYFUNCTION("""COMPUTED_VALUE"""),58.5)</f>
        <v>58.5</v>
      </c>
      <c r="F149" s="141">
        <f ca="1">IFERROR(__xludf.DUMMYFUNCTION("""COMPUTED_VALUE"""),58.7)</f>
        <v>58.7</v>
      </c>
      <c r="G149" s="143">
        <f ca="1">IFERROR(__xludf.DUMMYFUNCTION("""COMPUTED_VALUE"""),33731365)</f>
        <v>33731365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IFERROR(__xludf.DUMMYFUNCTION("""COMPUTED_VALUE"""),58.56)</f>
        <v>58.56</v>
      </c>
      <c r="D150" s="141">
        <f ca="1">IFERROR(__xludf.DUMMYFUNCTION("""COMPUTED_VALUE"""),59.15)</f>
        <v>59.15</v>
      </c>
      <c r="E150" s="141">
        <f ca="1">IFERROR(__xludf.DUMMYFUNCTION("""COMPUTED_VALUE"""),58.43)</f>
        <v>58.43</v>
      </c>
      <c r="F150" s="141">
        <f ca="1">IFERROR(__xludf.DUMMYFUNCTION("""COMPUTED_VALUE"""),59.07)</f>
        <v>59.07</v>
      </c>
      <c r="G150" s="143">
        <f ca="1">IFERROR(__xludf.DUMMYFUNCTION("""COMPUTED_VALUE"""),31584651)</f>
        <v>31584651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IFERROR(__xludf.DUMMYFUNCTION("""COMPUTED_VALUE"""),59.04)</f>
        <v>59.04</v>
      </c>
      <c r="D151" s="141">
        <f ca="1">IFERROR(__xludf.DUMMYFUNCTION("""COMPUTED_VALUE"""),59.39)</f>
        <v>59.39</v>
      </c>
      <c r="E151" s="141">
        <f ca="1">IFERROR(__xludf.DUMMYFUNCTION("""COMPUTED_VALUE"""),58.99)</f>
        <v>58.99</v>
      </c>
      <c r="F151" s="141">
        <f ca="1">IFERROR(__xludf.DUMMYFUNCTION("""COMPUTED_VALUE"""),59.17)</f>
        <v>59.17</v>
      </c>
      <c r="G151" s="143">
        <f ca="1">IFERROR(__xludf.DUMMYFUNCTION("""COMPUTED_VALUE"""),37944967)</f>
        <v>37944967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IFERROR(__xludf.DUMMYFUNCTION("""COMPUTED_VALUE"""),59.97)</f>
        <v>59.97</v>
      </c>
      <c r="D152" s="141">
        <f ca="1">IFERROR(__xludf.DUMMYFUNCTION("""COMPUTED_VALUE"""),60.37)</f>
        <v>60.37</v>
      </c>
      <c r="E152" s="141">
        <f ca="1">IFERROR(__xludf.DUMMYFUNCTION("""COMPUTED_VALUE"""),59.88)</f>
        <v>59.88</v>
      </c>
      <c r="F152" s="141">
        <f ca="1">IFERROR(__xludf.DUMMYFUNCTION("""COMPUTED_VALUE"""),60.34)</f>
        <v>60.34</v>
      </c>
      <c r="G152" s="143">
        <f ca="1">IFERROR(__xludf.DUMMYFUNCTION("""COMPUTED_VALUE"""),62222268)</f>
        <v>62222268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IFERROR(__xludf.DUMMYFUNCTION("""COMPUTED_VALUE"""),60.87)</f>
        <v>60.87</v>
      </c>
      <c r="D153" s="141">
        <f ca="1">IFERROR(__xludf.DUMMYFUNCTION("""COMPUTED_VALUE"""),60.87)</f>
        <v>60.87</v>
      </c>
      <c r="E153" s="141">
        <f ca="1">IFERROR(__xludf.DUMMYFUNCTION("""COMPUTED_VALUE"""),60.37)</f>
        <v>60.37</v>
      </c>
      <c r="F153" s="141">
        <f ca="1">IFERROR(__xludf.DUMMYFUNCTION("""COMPUTED_VALUE"""),60.75)</f>
        <v>60.75</v>
      </c>
      <c r="G153" s="143">
        <f ca="1">IFERROR(__xludf.DUMMYFUNCTION("""COMPUTED_VALUE"""),52067699)</f>
        <v>52067699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IFERROR(__xludf.DUMMYFUNCTION("""COMPUTED_VALUE"""),60.86)</f>
        <v>60.86</v>
      </c>
      <c r="D154" s="141">
        <f ca="1">IFERROR(__xludf.DUMMYFUNCTION("""COMPUTED_VALUE"""),60.95)</f>
        <v>60.95</v>
      </c>
      <c r="E154" s="141">
        <f ca="1">IFERROR(__xludf.DUMMYFUNCTION("""COMPUTED_VALUE"""),59.55)</f>
        <v>59.55</v>
      </c>
      <c r="F154" s="141">
        <f ca="1">IFERROR(__xludf.DUMMYFUNCTION("""COMPUTED_VALUE"""),60.44)</f>
        <v>60.44</v>
      </c>
      <c r="G154" s="143">
        <f ca="1">IFERROR(__xludf.DUMMYFUNCTION("""COMPUTED_VALUE"""),70851897)</f>
        <v>70851897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IFERROR(__xludf.DUMMYFUNCTION("""COMPUTED_VALUE"""),59.81)</f>
        <v>59.81</v>
      </c>
      <c r="D155" s="141">
        <f ca="1">IFERROR(__xludf.DUMMYFUNCTION("""COMPUTED_VALUE"""),60.07)</f>
        <v>60.07</v>
      </c>
      <c r="E155" s="141">
        <f ca="1">IFERROR(__xludf.DUMMYFUNCTION("""COMPUTED_VALUE"""),58.83)</f>
        <v>58.83</v>
      </c>
      <c r="F155" s="141">
        <f ca="1">IFERROR(__xludf.DUMMYFUNCTION("""COMPUTED_VALUE"""),59.1)</f>
        <v>59.1</v>
      </c>
      <c r="G155" s="143">
        <f ca="1">IFERROR(__xludf.DUMMYFUNCTION("""COMPUTED_VALUE"""),73861242)</f>
        <v>73861242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IFERROR(__xludf.DUMMYFUNCTION("""COMPUTED_VALUE"""),58.58)</f>
        <v>58.58</v>
      </c>
      <c r="D156" s="141">
        <f ca="1">IFERROR(__xludf.DUMMYFUNCTION("""COMPUTED_VALUE"""),59.47)</f>
        <v>59.47</v>
      </c>
      <c r="E156" s="141">
        <f ca="1">IFERROR(__xludf.DUMMYFUNCTION("""COMPUTED_VALUE"""),58.56)</f>
        <v>58.56</v>
      </c>
      <c r="F156" s="141">
        <f ca="1">IFERROR(__xludf.DUMMYFUNCTION("""COMPUTED_VALUE"""),59.28)</f>
        <v>59.28</v>
      </c>
      <c r="G156" s="143">
        <f ca="1">IFERROR(__xludf.DUMMYFUNCTION("""COMPUTED_VALUE"""),44512251)</f>
        <v>44512251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IFERROR(__xludf.DUMMYFUNCTION("""COMPUTED_VALUE"""),59.93)</f>
        <v>59.93</v>
      </c>
      <c r="D157" s="141">
        <f ca="1">IFERROR(__xludf.DUMMYFUNCTION("""COMPUTED_VALUE"""),59.99)</f>
        <v>59.99</v>
      </c>
      <c r="E157" s="141">
        <f ca="1">IFERROR(__xludf.DUMMYFUNCTION("""COMPUTED_VALUE"""),59.03)</f>
        <v>59.03</v>
      </c>
      <c r="F157" s="141">
        <f ca="1">IFERROR(__xludf.DUMMYFUNCTION("""COMPUTED_VALUE"""),59.6)</f>
        <v>59.6</v>
      </c>
      <c r="G157" s="143">
        <f ca="1">IFERROR(__xludf.DUMMYFUNCTION("""COMPUTED_VALUE"""),41132269)</f>
        <v>41132269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IFERROR(__xludf.DUMMYFUNCTION("""COMPUTED_VALUE"""),59.89)</f>
        <v>59.89</v>
      </c>
      <c r="D158" s="141">
        <f ca="1">IFERROR(__xludf.DUMMYFUNCTION("""COMPUTED_VALUE"""),59.91)</f>
        <v>59.91</v>
      </c>
      <c r="E158" s="141">
        <f ca="1">IFERROR(__xludf.DUMMYFUNCTION("""COMPUTED_VALUE"""),58.55)</f>
        <v>58.55</v>
      </c>
      <c r="F158" s="141">
        <f ca="1">IFERROR(__xludf.DUMMYFUNCTION("""COMPUTED_VALUE"""),58.8)</f>
        <v>58.8</v>
      </c>
      <c r="G158" s="143">
        <f ca="1">IFERROR(__xludf.DUMMYFUNCTION("""COMPUTED_VALUE"""),50852437)</f>
        <v>50852437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IFERROR(__xludf.DUMMYFUNCTION("""COMPUTED_VALUE"""),58.55)</f>
        <v>58.55</v>
      </c>
      <c r="D159" s="141">
        <f ca="1">IFERROR(__xludf.DUMMYFUNCTION("""COMPUTED_VALUE"""),59.03)</f>
        <v>59.03</v>
      </c>
      <c r="E159" s="141">
        <f ca="1">IFERROR(__xludf.DUMMYFUNCTION("""COMPUTED_VALUE"""),58.22)</f>
        <v>58.22</v>
      </c>
      <c r="F159" s="141">
        <f ca="1">IFERROR(__xludf.DUMMYFUNCTION("""COMPUTED_VALUE"""),58.53)</f>
        <v>58.53</v>
      </c>
      <c r="G159" s="143">
        <f ca="1">IFERROR(__xludf.DUMMYFUNCTION("""COMPUTED_VALUE"""),50880874)</f>
        <v>50880874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IFERROR(__xludf.DUMMYFUNCTION("""COMPUTED_VALUE"""),59.24)</f>
        <v>59.24</v>
      </c>
      <c r="D160" s="141">
        <f ca="1">IFERROR(__xludf.DUMMYFUNCTION("""COMPUTED_VALUE"""),60.09)</f>
        <v>60.09</v>
      </c>
      <c r="E160" s="141">
        <f ca="1">IFERROR(__xludf.DUMMYFUNCTION("""COMPUTED_VALUE"""),59.22)</f>
        <v>59.22</v>
      </c>
      <c r="F160" s="141">
        <f ca="1">IFERROR(__xludf.DUMMYFUNCTION("""COMPUTED_VALUE"""),60.07)</f>
        <v>60.07</v>
      </c>
      <c r="G160" s="143">
        <f ca="1">IFERROR(__xludf.DUMMYFUNCTION("""COMPUTED_VALUE"""),37534828)</f>
        <v>37534828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IFERROR(__xludf.DUMMYFUNCTION("""COMPUTED_VALUE"""),59.97)</f>
        <v>59.97</v>
      </c>
      <c r="D161" s="141">
        <f ca="1">IFERROR(__xludf.DUMMYFUNCTION("""COMPUTED_VALUE"""),60.65)</f>
        <v>60.65</v>
      </c>
      <c r="E161" s="141">
        <f ca="1">IFERROR(__xludf.DUMMYFUNCTION("""COMPUTED_VALUE"""),59.9)</f>
        <v>59.9</v>
      </c>
      <c r="F161" s="141">
        <f ca="1">IFERROR(__xludf.DUMMYFUNCTION("""COMPUTED_VALUE"""),60.51)</f>
        <v>60.51</v>
      </c>
      <c r="G161" s="143">
        <f ca="1">IFERROR(__xludf.DUMMYFUNCTION("""COMPUTED_VALUE"""),35324336)</f>
        <v>35324336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IFERROR(__xludf.DUMMYFUNCTION("""COMPUTED_VALUE"""),60.72)</f>
        <v>60.72</v>
      </c>
      <c r="D162" s="141">
        <f ca="1">IFERROR(__xludf.DUMMYFUNCTION("""COMPUTED_VALUE"""),60.82)</f>
        <v>60.82</v>
      </c>
      <c r="E162" s="141">
        <f ca="1">IFERROR(__xludf.DUMMYFUNCTION("""COMPUTED_VALUE"""),60.42)</f>
        <v>60.42</v>
      </c>
      <c r="F162" s="141">
        <f ca="1">IFERROR(__xludf.DUMMYFUNCTION("""COMPUTED_VALUE"""),60.6)</f>
        <v>60.6</v>
      </c>
      <c r="G162" s="143">
        <f ca="1">IFERROR(__xludf.DUMMYFUNCTION("""COMPUTED_VALUE"""),32247095)</f>
        <v>32247095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IFERROR(__xludf.DUMMYFUNCTION("""COMPUTED_VALUE"""),61.18)</f>
        <v>61.18</v>
      </c>
      <c r="D163" s="141">
        <f ca="1">IFERROR(__xludf.DUMMYFUNCTION("""COMPUTED_VALUE"""),61.63)</f>
        <v>61.63</v>
      </c>
      <c r="E163" s="141">
        <f ca="1">IFERROR(__xludf.DUMMYFUNCTION("""COMPUTED_VALUE"""),60.78)</f>
        <v>60.78</v>
      </c>
      <c r="F163" s="141">
        <f ca="1">IFERROR(__xludf.DUMMYFUNCTION("""COMPUTED_VALUE"""),61.56)</f>
        <v>61.56</v>
      </c>
      <c r="G163" s="143">
        <f ca="1">IFERROR(__xludf.DUMMYFUNCTION("""COMPUTED_VALUE"""),38158948)</f>
        <v>38158948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IFERROR(__xludf.DUMMYFUNCTION("""COMPUTED_VALUE"""),61.84)</f>
        <v>61.84</v>
      </c>
      <c r="D164" s="141">
        <f ca="1">IFERROR(__xludf.DUMMYFUNCTION("""COMPUTED_VALUE"""),61.91)</f>
        <v>61.91</v>
      </c>
      <c r="E164" s="141">
        <f ca="1">IFERROR(__xludf.DUMMYFUNCTION("""COMPUTED_VALUE"""),60.68)</f>
        <v>60.68</v>
      </c>
      <c r="F164" s="141">
        <f ca="1">IFERROR(__xludf.DUMMYFUNCTION("""COMPUTED_VALUE"""),60.86)</f>
        <v>60.86</v>
      </c>
      <c r="G164" s="143">
        <f ca="1">IFERROR(__xludf.DUMMYFUNCTION("""COMPUTED_VALUE"""),48070636)</f>
        <v>48070636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IFERROR(__xludf.DUMMYFUNCTION("""COMPUTED_VALUE"""),60.72)</f>
        <v>60.72</v>
      </c>
      <c r="D165" s="141">
        <f ca="1">IFERROR(__xludf.DUMMYFUNCTION("""COMPUTED_VALUE"""),61.21)</f>
        <v>61.21</v>
      </c>
      <c r="E165" s="141">
        <f ca="1">IFERROR(__xludf.DUMMYFUNCTION("""COMPUTED_VALUE"""),60.13)</f>
        <v>60.13</v>
      </c>
      <c r="F165" s="141">
        <f ca="1">IFERROR(__xludf.DUMMYFUNCTION("""COMPUTED_VALUE"""),61.12)</f>
        <v>61.12</v>
      </c>
      <c r="G165" s="143">
        <f ca="1">IFERROR(__xludf.DUMMYFUNCTION("""COMPUTED_VALUE"""),40091288)</f>
        <v>40091288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IFERROR(__xludf.DUMMYFUNCTION("""COMPUTED_VALUE"""),60.72)</f>
        <v>60.72</v>
      </c>
      <c r="D166" s="141">
        <f ca="1">IFERROR(__xludf.DUMMYFUNCTION("""COMPUTED_VALUE"""),61.08)</f>
        <v>61.08</v>
      </c>
      <c r="E166" s="141">
        <f ca="1">IFERROR(__xludf.DUMMYFUNCTION("""COMPUTED_VALUE"""),60.19)</f>
        <v>60.19</v>
      </c>
      <c r="F166" s="141">
        <f ca="1">IFERROR(__xludf.DUMMYFUNCTION("""COMPUTED_VALUE"""),60.87)</f>
        <v>60.87</v>
      </c>
      <c r="G166" s="143">
        <f ca="1">IFERROR(__xludf.DUMMYFUNCTION("""COMPUTED_VALUE"""),38127228)</f>
        <v>38127228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IFERROR(__xludf.DUMMYFUNCTION("""COMPUTED_VALUE"""),61.03)</f>
        <v>61.03</v>
      </c>
      <c r="D167" s="141">
        <f ca="1">IFERROR(__xludf.DUMMYFUNCTION("""COMPUTED_VALUE"""),61.55)</f>
        <v>61.55</v>
      </c>
      <c r="E167" s="141">
        <f ca="1">IFERROR(__xludf.DUMMYFUNCTION("""COMPUTED_VALUE"""),60.91)</f>
        <v>60.91</v>
      </c>
      <c r="F167" s="141">
        <f ca="1">IFERROR(__xludf.DUMMYFUNCTION("""COMPUTED_VALUE"""),61.19)</f>
        <v>61.19</v>
      </c>
      <c r="G167" s="143">
        <f ca="1">IFERROR(__xludf.DUMMYFUNCTION("""COMPUTED_VALUE"""),29966901)</f>
        <v>29966901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IFERROR(__xludf.DUMMYFUNCTION("""COMPUTED_VALUE"""),60.83)</f>
        <v>60.83</v>
      </c>
      <c r="D168" s="141">
        <f ca="1">IFERROR(__xludf.DUMMYFUNCTION("""COMPUTED_VALUE"""),61.07)</f>
        <v>61.07</v>
      </c>
      <c r="E168" s="141">
        <f ca="1">IFERROR(__xludf.DUMMYFUNCTION("""COMPUTED_VALUE"""),60.58)</f>
        <v>60.58</v>
      </c>
      <c r="F168" s="141">
        <f ca="1">IFERROR(__xludf.DUMMYFUNCTION("""COMPUTED_VALUE"""),61.04)</f>
        <v>61.04</v>
      </c>
      <c r="G168" s="143">
        <f ca="1">IFERROR(__xludf.DUMMYFUNCTION("""COMPUTED_VALUE"""),38043844)</f>
        <v>38043844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IFERROR(__xludf.DUMMYFUNCTION("""COMPUTED_VALUE"""),61.01)</f>
        <v>61.01</v>
      </c>
      <c r="D169" s="141">
        <f ca="1">IFERROR(__xludf.DUMMYFUNCTION("""COMPUTED_VALUE"""),62.36)</f>
        <v>62.36</v>
      </c>
      <c r="E169" s="141">
        <f ca="1">IFERROR(__xludf.DUMMYFUNCTION("""COMPUTED_VALUE"""),60.97)</f>
        <v>60.97</v>
      </c>
      <c r="F169" s="141">
        <f ca="1">IFERROR(__xludf.DUMMYFUNCTION("""COMPUTED_VALUE"""),62.34)</f>
        <v>62.34</v>
      </c>
      <c r="G169" s="143">
        <f ca="1">IFERROR(__xludf.DUMMYFUNCTION("""COMPUTED_VALUE"""),56421588)</f>
        <v>56421588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IFERROR(__xludf.DUMMYFUNCTION("""COMPUTED_VALUE"""),62.02)</f>
        <v>62.02</v>
      </c>
      <c r="D170" s="141">
        <f ca="1">IFERROR(__xludf.DUMMYFUNCTION("""COMPUTED_VALUE"""),62.25)</f>
        <v>62.25</v>
      </c>
      <c r="E170" s="141">
        <f ca="1">IFERROR(__xludf.DUMMYFUNCTION("""COMPUTED_VALUE"""),61.51)</f>
        <v>61.51</v>
      </c>
      <c r="F170" s="141">
        <f ca="1">IFERROR(__xludf.DUMMYFUNCTION("""COMPUTED_VALUE"""),61.65)</f>
        <v>61.65</v>
      </c>
      <c r="G170" s="143">
        <f ca="1">IFERROR(__xludf.DUMMYFUNCTION("""COMPUTED_VALUE"""),35274525)</f>
        <v>35274525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IFERROR(__xludf.DUMMYFUNCTION("""COMPUTED_VALUE"""),62.24)</f>
        <v>62.24</v>
      </c>
      <c r="D171" s="141">
        <f ca="1">IFERROR(__xludf.DUMMYFUNCTION("""COMPUTED_VALUE"""),62.84)</f>
        <v>62.84</v>
      </c>
      <c r="E171" s="141">
        <f ca="1">IFERROR(__xludf.DUMMYFUNCTION("""COMPUTED_VALUE"""),62.11)</f>
        <v>62.11</v>
      </c>
      <c r="F171" s="141">
        <f ca="1">IFERROR(__xludf.DUMMYFUNCTION("""COMPUTED_VALUE"""),62.62)</f>
        <v>62.62</v>
      </c>
      <c r="G171" s="143">
        <f ca="1">IFERROR(__xludf.DUMMYFUNCTION("""COMPUTED_VALUE"""),44353146)</f>
        <v>44353146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IFERROR(__xludf.DUMMYFUNCTION("""COMPUTED_VALUE"""),63.42)</f>
        <v>63.42</v>
      </c>
      <c r="D172" s="141">
        <f ca="1">IFERROR(__xludf.DUMMYFUNCTION("""COMPUTED_VALUE"""),63.43)</f>
        <v>63.43</v>
      </c>
      <c r="E172" s="141">
        <f ca="1">IFERROR(__xludf.DUMMYFUNCTION("""COMPUTED_VALUE"""),63.04)</f>
        <v>63.04</v>
      </c>
      <c r="F172" s="141">
        <f ca="1">IFERROR(__xludf.DUMMYFUNCTION("""COMPUTED_VALUE"""),63.31)</f>
        <v>63.31</v>
      </c>
      <c r="G172" s="143">
        <f ca="1">IFERROR(__xludf.DUMMYFUNCTION("""COMPUTED_VALUE"""),41897806)</f>
        <v>41897806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IFERROR(__xludf.DUMMYFUNCTION("""COMPUTED_VALUE"""),63.28)</f>
        <v>63.28</v>
      </c>
      <c r="D173" s="141">
        <f ca="1">IFERROR(__xludf.DUMMYFUNCTION("""COMPUTED_VALUE"""),63.31)</f>
        <v>63.31</v>
      </c>
      <c r="E173" s="141">
        <f ca="1">IFERROR(__xludf.DUMMYFUNCTION("""COMPUTED_VALUE"""),62.08)</f>
        <v>62.08</v>
      </c>
      <c r="F173" s="141">
        <f ca="1">IFERROR(__xludf.DUMMYFUNCTION("""COMPUTED_VALUE"""),62.71)</f>
        <v>62.71</v>
      </c>
      <c r="G173" s="143">
        <f ca="1">IFERROR(__xludf.DUMMYFUNCTION("""COMPUTED_VALUE"""),52018035)</f>
        <v>52018035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IFERROR(__xludf.DUMMYFUNCTION("""COMPUTED_VALUE"""),62.2)</f>
        <v>62.2</v>
      </c>
      <c r="D174" s="141">
        <f ca="1">IFERROR(__xludf.DUMMYFUNCTION("""COMPUTED_VALUE"""),65.96)</f>
        <v>65.959999999999994</v>
      </c>
      <c r="E174" s="141">
        <f ca="1">IFERROR(__xludf.DUMMYFUNCTION("""COMPUTED_VALUE"""),62.12)</f>
        <v>62.12</v>
      </c>
      <c r="F174" s="141">
        <f ca="1">IFERROR(__xludf.DUMMYFUNCTION("""COMPUTED_VALUE"""),62.58)</f>
        <v>62.58</v>
      </c>
      <c r="G174" s="143">
        <f ca="1">IFERROR(__xludf.DUMMYFUNCTION("""COMPUTED_VALUE"""),34493811)</f>
        <v>34493811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IFERROR(__xludf.DUMMYFUNCTION("""COMPUTED_VALUE"""),60.79)</f>
        <v>60.79</v>
      </c>
      <c r="D175" s="141">
        <f ca="1">IFERROR(__xludf.DUMMYFUNCTION("""COMPUTED_VALUE"""),61.85)</f>
        <v>61.85</v>
      </c>
      <c r="E175" s="141">
        <f ca="1">IFERROR(__xludf.DUMMYFUNCTION("""COMPUTED_VALUE"""),60.79)</f>
        <v>60.79</v>
      </c>
      <c r="F175" s="141">
        <f ca="1">IFERROR(__xludf.DUMMYFUNCTION("""COMPUTED_VALUE"""),61.5)</f>
        <v>61.5</v>
      </c>
      <c r="G175" s="143">
        <f ca="1">IFERROR(__xludf.DUMMYFUNCTION("""COMPUTED_VALUE"""),46697063)</f>
        <v>46697063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IFERROR(__xludf.DUMMYFUNCTION("""COMPUTED_VALUE"""),57.97)</f>
        <v>57.97</v>
      </c>
      <c r="D176" s="141">
        <f ca="1">IFERROR(__xludf.DUMMYFUNCTION("""COMPUTED_VALUE"""),58.91)</f>
        <v>58.91</v>
      </c>
      <c r="E176" s="141">
        <f ca="1">IFERROR(__xludf.DUMMYFUNCTION("""COMPUTED_VALUE"""),56.74)</f>
        <v>56.74</v>
      </c>
      <c r="F176" s="141">
        <f ca="1">IFERROR(__xludf.DUMMYFUNCTION("""COMPUTED_VALUE"""),58.42)</f>
        <v>58.42</v>
      </c>
      <c r="G176" s="143">
        <f ca="1">IFERROR(__xludf.DUMMYFUNCTION("""COMPUTED_VALUE"""),99552491)</f>
        <v>99552491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IFERROR(__xludf.DUMMYFUNCTION("""COMPUTED_VALUE"""),58.55)</f>
        <v>58.55</v>
      </c>
      <c r="D177" s="141">
        <f ca="1">IFERROR(__xludf.DUMMYFUNCTION("""COMPUTED_VALUE"""),59.58)</f>
        <v>59.58</v>
      </c>
      <c r="E177" s="141">
        <f ca="1">IFERROR(__xludf.DUMMYFUNCTION("""COMPUTED_VALUE"""),58.24)</f>
        <v>58.24</v>
      </c>
      <c r="F177" s="141">
        <f ca="1">IFERROR(__xludf.DUMMYFUNCTION("""COMPUTED_VALUE"""),59.05)</f>
        <v>59.05</v>
      </c>
      <c r="G177" s="143">
        <f ca="1">IFERROR(__xludf.DUMMYFUNCTION("""COMPUTED_VALUE"""),73881733)</f>
        <v>73881733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IFERROR(__xludf.DUMMYFUNCTION("""COMPUTED_VALUE"""),58.02)</f>
        <v>58.02</v>
      </c>
      <c r="D178" s="141">
        <f ca="1">IFERROR(__xludf.DUMMYFUNCTION("""COMPUTED_VALUE"""),58.58)</f>
        <v>58.58</v>
      </c>
      <c r="E178" s="141">
        <f ca="1">IFERROR(__xludf.DUMMYFUNCTION("""COMPUTED_VALUE"""),56.89)</f>
        <v>56.89</v>
      </c>
      <c r="F178" s="141">
        <f ca="1">IFERROR(__xludf.DUMMYFUNCTION("""COMPUTED_VALUE"""),57.63)</f>
        <v>57.63</v>
      </c>
      <c r="G178" s="143">
        <f ca="1">IFERROR(__xludf.DUMMYFUNCTION("""COMPUTED_VALUE"""),80396334)</f>
        <v>80396334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IFERROR(__xludf.DUMMYFUNCTION("""COMPUTED_VALUE"""),56.83)</f>
        <v>56.83</v>
      </c>
      <c r="D179" s="141">
        <f ca="1">IFERROR(__xludf.DUMMYFUNCTION("""COMPUTED_VALUE"""),57.7)</f>
        <v>57.7</v>
      </c>
      <c r="E179" s="141">
        <f ca="1">IFERROR(__xludf.DUMMYFUNCTION("""COMPUTED_VALUE"""),56.56)</f>
        <v>56.56</v>
      </c>
      <c r="F179" s="141">
        <f ca="1">IFERROR(__xludf.DUMMYFUNCTION("""COMPUTED_VALUE"""),57.32)</f>
        <v>57.32</v>
      </c>
      <c r="G179" s="143">
        <f ca="1">IFERROR(__xludf.DUMMYFUNCTION("""COMPUTED_VALUE"""),54612821)</f>
        <v>54612821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IFERROR(__xludf.DUMMYFUNCTION("""COMPUTED_VALUE"""),56.66)</f>
        <v>56.66</v>
      </c>
      <c r="D180" s="141">
        <f ca="1">IFERROR(__xludf.DUMMYFUNCTION("""COMPUTED_VALUE"""),58.65)</f>
        <v>58.65</v>
      </c>
      <c r="E180" s="141">
        <f ca="1">IFERROR(__xludf.DUMMYFUNCTION("""COMPUTED_VALUE"""),56.24)</f>
        <v>56.24</v>
      </c>
      <c r="F180" s="141">
        <f ca="1">IFERROR(__xludf.DUMMYFUNCTION("""COMPUTED_VALUE"""),58.45)</f>
        <v>58.45</v>
      </c>
      <c r="G180" s="143">
        <f ca="1">IFERROR(__xludf.DUMMYFUNCTION("""COMPUTED_VALUE"""),64721661)</f>
        <v>64721661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IFERROR(__xludf.DUMMYFUNCTION("""COMPUTED_VALUE"""),58.66)</f>
        <v>58.66</v>
      </c>
      <c r="D181" s="141">
        <f ca="1">IFERROR(__xludf.DUMMYFUNCTION("""COMPUTED_VALUE"""),59.88)</f>
        <v>59.88</v>
      </c>
      <c r="E181" s="141">
        <f ca="1">IFERROR(__xludf.DUMMYFUNCTION("""COMPUTED_VALUE"""),58.34)</f>
        <v>58.34</v>
      </c>
      <c r="F181" s="141">
        <f ca="1">IFERROR(__xludf.DUMMYFUNCTION("""COMPUTED_VALUE"""),58.68)</f>
        <v>58.68</v>
      </c>
      <c r="G181" s="143">
        <f ca="1">IFERROR(__xludf.DUMMYFUNCTION("""COMPUTED_VALUE"""),55826909)</f>
        <v>55826909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IFERROR(__xludf.DUMMYFUNCTION("""COMPUTED_VALUE"""),58.7)</f>
        <v>58.7</v>
      </c>
      <c r="D182" s="141">
        <f ca="1">IFERROR(__xludf.DUMMYFUNCTION("""COMPUTED_VALUE"""),59.16)</f>
        <v>59.16</v>
      </c>
      <c r="E182" s="141">
        <f ca="1">IFERROR(__xludf.DUMMYFUNCTION("""COMPUTED_VALUE"""),58.39)</f>
        <v>58.39</v>
      </c>
      <c r="F182" s="141">
        <f ca="1">IFERROR(__xludf.DUMMYFUNCTION("""COMPUTED_VALUE"""),58.83)</f>
        <v>58.83</v>
      </c>
      <c r="G182" s="143">
        <f ca="1">IFERROR(__xludf.DUMMYFUNCTION("""COMPUTED_VALUE"""),35658158)</f>
        <v>35658158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IFERROR(__xludf.DUMMYFUNCTION("""COMPUTED_VALUE"""),57.99)</f>
        <v>57.99</v>
      </c>
      <c r="D183" s="141">
        <f ca="1">IFERROR(__xludf.DUMMYFUNCTION("""COMPUTED_VALUE"""),58.03)</f>
        <v>58.03</v>
      </c>
      <c r="E183" s="141">
        <f ca="1">IFERROR(__xludf.DUMMYFUNCTION("""COMPUTED_VALUE"""),56.86)</f>
        <v>56.86</v>
      </c>
      <c r="F183" s="141">
        <f ca="1">IFERROR(__xludf.DUMMYFUNCTION("""COMPUTED_VALUE"""),56.95)</f>
        <v>56.95</v>
      </c>
      <c r="G183" s="143">
        <f ca="1">IFERROR(__xludf.DUMMYFUNCTION("""COMPUTED_VALUE"""),53035002)</f>
        <v>53035002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IFERROR(__xludf.DUMMYFUNCTION("""COMPUTED_VALUE"""),57.62)</f>
        <v>57.62</v>
      </c>
      <c r="D184" s="141">
        <f ca="1">IFERROR(__xludf.DUMMYFUNCTION("""COMPUTED_VALUE"""),58.01)</f>
        <v>58.01</v>
      </c>
      <c r="E184" s="141">
        <f ca="1">IFERROR(__xludf.DUMMYFUNCTION("""COMPUTED_VALUE"""),56.66)</f>
        <v>56.66</v>
      </c>
      <c r="F184" s="141">
        <f ca="1">IFERROR(__xludf.DUMMYFUNCTION("""COMPUTED_VALUE"""),56.8)</f>
        <v>56.8</v>
      </c>
      <c r="G184" s="143">
        <f ca="1">IFERROR(__xludf.DUMMYFUNCTION("""COMPUTED_VALUE"""),47897122)</f>
        <v>47897122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IFERROR(__xludf.DUMMYFUNCTION("""COMPUTED_VALUE"""),58.05)</f>
        <v>58.05</v>
      </c>
      <c r="D185" s="141">
        <f ca="1">IFERROR(__xludf.DUMMYFUNCTION("""COMPUTED_VALUE"""),58.64)</f>
        <v>58.64</v>
      </c>
      <c r="E185" s="141">
        <f ca="1">IFERROR(__xludf.DUMMYFUNCTION("""COMPUTED_VALUE"""),57.99)</f>
        <v>57.99</v>
      </c>
      <c r="F185" s="141">
        <f ca="1">IFERROR(__xludf.DUMMYFUNCTION("""COMPUTED_VALUE"""),58.38)</f>
        <v>58.38</v>
      </c>
      <c r="G185" s="143">
        <f ca="1">IFERROR(__xludf.DUMMYFUNCTION("""COMPUTED_VALUE"""),36204921)</f>
        <v>36204921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IFERROR(__xludf.DUMMYFUNCTION("""COMPUTED_VALUE"""),58.88)</f>
        <v>58.88</v>
      </c>
      <c r="D186" s="141">
        <f ca="1">IFERROR(__xludf.DUMMYFUNCTION("""COMPUTED_VALUE"""),59.06)</f>
        <v>59.06</v>
      </c>
      <c r="E186" s="141">
        <f ca="1">IFERROR(__xludf.DUMMYFUNCTION("""COMPUTED_VALUE"""),58.53)</f>
        <v>58.53</v>
      </c>
      <c r="F186" s="141">
        <f ca="1">IFERROR(__xludf.DUMMYFUNCTION("""COMPUTED_VALUE"""),58.75)</f>
        <v>58.75</v>
      </c>
      <c r="G186" s="143">
        <f ca="1">IFERROR(__xludf.DUMMYFUNCTION("""COMPUTED_VALUE"""),24929124)</f>
        <v>24929124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IFERROR(__xludf.DUMMYFUNCTION("""COMPUTED_VALUE"""),58.38)</f>
        <v>58.38</v>
      </c>
      <c r="D187" s="141">
        <f ca="1">IFERROR(__xludf.DUMMYFUNCTION("""COMPUTED_VALUE"""),58.63)</f>
        <v>58.63</v>
      </c>
      <c r="E187" s="141">
        <f ca="1">IFERROR(__xludf.DUMMYFUNCTION("""COMPUTED_VALUE"""),57.54)</f>
        <v>57.54</v>
      </c>
      <c r="F187" s="141">
        <f ca="1">IFERROR(__xludf.DUMMYFUNCTION("""COMPUTED_VALUE"""),57.56)</f>
        <v>57.56</v>
      </c>
      <c r="G187" s="143">
        <f ca="1">IFERROR(__xludf.DUMMYFUNCTION("""COMPUTED_VALUE"""),37207424)</f>
        <v>37207424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IFERROR(__xludf.DUMMYFUNCTION("""COMPUTED_VALUE"""),56.44)</f>
        <v>56.44</v>
      </c>
      <c r="D188" s="141">
        <f ca="1">IFERROR(__xludf.DUMMYFUNCTION("""COMPUTED_VALUE"""),57.87)</f>
        <v>57.87</v>
      </c>
      <c r="E188" s="141">
        <f ca="1">IFERROR(__xludf.DUMMYFUNCTION("""COMPUTED_VALUE"""),56.26)</f>
        <v>56.26</v>
      </c>
      <c r="F188" s="141">
        <f ca="1">IFERROR(__xludf.DUMMYFUNCTION("""COMPUTED_VALUE"""),57.62)</f>
        <v>57.62</v>
      </c>
      <c r="G188" s="143">
        <f ca="1">IFERROR(__xludf.DUMMYFUNCTION("""COMPUTED_VALUE"""),50957579)</f>
        <v>50957579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IFERROR(__xludf.DUMMYFUNCTION("""COMPUTED_VALUE"""),56.95)</f>
        <v>56.95</v>
      </c>
      <c r="D189" s="141">
        <f ca="1">IFERROR(__xludf.DUMMYFUNCTION("""COMPUTED_VALUE"""),57.01)</f>
        <v>57.01</v>
      </c>
      <c r="E189" s="141">
        <f ca="1">IFERROR(__xludf.DUMMYFUNCTION("""COMPUTED_VALUE"""),55.44)</f>
        <v>55.44</v>
      </c>
      <c r="F189" s="141">
        <f ca="1">IFERROR(__xludf.DUMMYFUNCTION("""COMPUTED_VALUE"""),55.64)</f>
        <v>55.64</v>
      </c>
      <c r="G189" s="143">
        <f ca="1">IFERROR(__xludf.DUMMYFUNCTION("""COMPUTED_VALUE"""),78534156)</f>
        <v>78534156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IFERROR(__xludf.DUMMYFUNCTION("""COMPUTED_VALUE"""),56.89)</f>
        <v>56.89</v>
      </c>
      <c r="D190" s="141">
        <f ca="1">IFERROR(__xludf.DUMMYFUNCTION("""COMPUTED_VALUE"""),57.84)</f>
        <v>57.84</v>
      </c>
      <c r="E190" s="141">
        <f ca="1">IFERROR(__xludf.DUMMYFUNCTION("""COMPUTED_VALUE"""),56.56)</f>
        <v>56.56</v>
      </c>
      <c r="F190" s="141">
        <f ca="1">IFERROR(__xludf.DUMMYFUNCTION("""COMPUTED_VALUE"""),57.31)</f>
        <v>57.31</v>
      </c>
      <c r="G190" s="143">
        <f ca="1">IFERROR(__xludf.DUMMYFUNCTION("""COMPUTED_VALUE"""),61193446)</f>
        <v>61193446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IFERROR(__xludf.DUMMYFUNCTION("""COMPUTED_VALUE"""),56.1)</f>
        <v>56.1</v>
      </c>
      <c r="D191" s="141">
        <f ca="1">IFERROR(__xludf.DUMMYFUNCTION("""COMPUTED_VALUE"""),56.92)</f>
        <v>56.92</v>
      </c>
      <c r="E191" s="141">
        <f ca="1">IFERROR(__xludf.DUMMYFUNCTION("""COMPUTED_VALUE"""),56.03)</f>
        <v>56.03</v>
      </c>
      <c r="F191" s="141">
        <f ca="1">IFERROR(__xludf.DUMMYFUNCTION("""COMPUTED_VALUE"""),56.52)</f>
        <v>56.52</v>
      </c>
      <c r="G191" s="143">
        <f ca="1">IFERROR(__xludf.DUMMYFUNCTION("""COMPUTED_VALUE"""),37192273)</f>
        <v>37192273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IFERROR(__xludf.DUMMYFUNCTION("""COMPUTED_VALUE"""),57.42)</f>
        <v>57.42</v>
      </c>
      <c r="D192" s="141">
        <f ca="1">IFERROR(__xludf.DUMMYFUNCTION("""COMPUTED_VALUE"""),57.77)</f>
        <v>57.77</v>
      </c>
      <c r="E192" s="141">
        <f ca="1">IFERROR(__xludf.DUMMYFUNCTION("""COMPUTED_VALUE"""),57.03)</f>
        <v>57.03</v>
      </c>
      <c r="F192" s="141">
        <f ca="1">IFERROR(__xludf.DUMMYFUNCTION("""COMPUTED_VALUE"""),57.42)</f>
        <v>57.42</v>
      </c>
      <c r="G192" s="143">
        <f ca="1">IFERROR(__xludf.DUMMYFUNCTION("""COMPUTED_VALUE"""),36444043)</f>
        <v>36444043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IFERROR(__xludf.DUMMYFUNCTION("""COMPUTED_VALUE"""),56.26)</f>
        <v>56.26</v>
      </c>
      <c r="D193" s="141">
        <f ca="1">IFERROR(__xludf.DUMMYFUNCTION("""COMPUTED_VALUE"""),56.64)</f>
        <v>56.64</v>
      </c>
      <c r="E193" s="141">
        <f ca="1">IFERROR(__xludf.DUMMYFUNCTION("""COMPUTED_VALUE"""),55.44)</f>
        <v>55.44</v>
      </c>
      <c r="F193" s="141">
        <f ca="1">IFERROR(__xludf.DUMMYFUNCTION("""COMPUTED_VALUE"""),55.47)</f>
        <v>55.47</v>
      </c>
      <c r="G193" s="143">
        <f ca="1">IFERROR(__xludf.DUMMYFUNCTION("""COMPUTED_VALUE"""),42794940)</f>
        <v>42794940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IFERROR(__xludf.DUMMYFUNCTION("""COMPUTED_VALUE"""),55.35)</f>
        <v>55.35</v>
      </c>
      <c r="D194" s="141">
        <f ca="1">IFERROR(__xludf.DUMMYFUNCTION("""COMPUTED_VALUE"""),55.74)</f>
        <v>55.74</v>
      </c>
      <c r="E194" s="141">
        <f ca="1">IFERROR(__xludf.DUMMYFUNCTION("""COMPUTED_VALUE"""),55)</f>
        <v>55</v>
      </c>
      <c r="F194" s="141">
        <f ca="1">IFERROR(__xludf.DUMMYFUNCTION("""COMPUTED_VALUE"""),55.2)</f>
        <v>55.2</v>
      </c>
      <c r="G194" s="143">
        <f ca="1">IFERROR(__xludf.DUMMYFUNCTION("""COMPUTED_VALUE"""),38596105)</f>
        <v>38596105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IFERROR(__xludf.DUMMYFUNCTION("""COMPUTED_VALUE"""),55.5)</f>
        <v>55.5</v>
      </c>
      <c r="D195" s="141">
        <f ca="1">IFERROR(__xludf.DUMMYFUNCTION("""COMPUTED_VALUE"""),55.54)</f>
        <v>55.54</v>
      </c>
      <c r="E195" s="141">
        <f ca="1">IFERROR(__xludf.DUMMYFUNCTION("""COMPUTED_VALUE"""),54.44)</f>
        <v>54.44</v>
      </c>
      <c r="F195" s="141">
        <f ca="1">IFERROR(__xludf.DUMMYFUNCTION("""COMPUTED_VALUE"""),54.75)</f>
        <v>54.75</v>
      </c>
      <c r="G195" s="143">
        <f ca="1">IFERROR(__xludf.DUMMYFUNCTION("""COMPUTED_VALUE"""),32281490)</f>
        <v>32281490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IFERROR(__xludf.DUMMYFUNCTION("""COMPUTED_VALUE"""),54.94)</f>
        <v>54.94</v>
      </c>
      <c r="D196" s="141">
        <f ca="1">IFERROR(__xludf.DUMMYFUNCTION("""COMPUTED_VALUE"""),56.86)</f>
        <v>56.86</v>
      </c>
      <c r="E196" s="141">
        <f ca="1">IFERROR(__xludf.DUMMYFUNCTION("""COMPUTED_VALUE"""),54.88)</f>
        <v>54.88</v>
      </c>
      <c r="F196" s="141">
        <f ca="1">IFERROR(__xludf.DUMMYFUNCTION("""COMPUTED_VALUE"""),56.79)</f>
        <v>56.79</v>
      </c>
      <c r="G196" s="143">
        <f ca="1">IFERROR(__xludf.DUMMYFUNCTION("""COMPUTED_VALUE"""),64809405)</f>
        <v>64809405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IFERROR(__xludf.DUMMYFUNCTION("""COMPUTED_VALUE"""),57.21)</f>
        <v>57.21</v>
      </c>
      <c r="D197" s="141">
        <f ca="1">IFERROR(__xludf.DUMMYFUNCTION("""COMPUTED_VALUE"""),57.83)</f>
        <v>57.83</v>
      </c>
      <c r="E197" s="141">
        <f ca="1">IFERROR(__xludf.DUMMYFUNCTION("""COMPUTED_VALUE"""),57.02)</f>
        <v>57.02</v>
      </c>
      <c r="F197" s="141">
        <f ca="1">IFERROR(__xludf.DUMMYFUNCTION("""COMPUTED_VALUE"""),57.23)</f>
        <v>57.23</v>
      </c>
      <c r="G197" s="143">
        <f ca="1">IFERROR(__xludf.DUMMYFUNCTION("""COMPUTED_VALUE"""),51176297)</f>
        <v>51176297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IFERROR(__xludf.DUMMYFUNCTION("""COMPUTED_VALUE"""),55.57)</f>
        <v>55.57</v>
      </c>
      <c r="D198" s="141">
        <f ca="1">IFERROR(__xludf.DUMMYFUNCTION("""COMPUTED_VALUE"""),57.03)</f>
        <v>57.03</v>
      </c>
      <c r="E198" s="141">
        <f ca="1">IFERROR(__xludf.DUMMYFUNCTION("""COMPUTED_VALUE"""),55.43)</f>
        <v>55.43</v>
      </c>
      <c r="F198" s="141">
        <f ca="1">IFERROR(__xludf.DUMMYFUNCTION("""COMPUTED_VALUE"""),56.59)</f>
        <v>56.59</v>
      </c>
      <c r="G198" s="143">
        <f ca="1">IFERROR(__xludf.DUMMYFUNCTION("""COMPUTED_VALUE"""),33449846)</f>
        <v>33449846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IFERROR(__xludf.DUMMYFUNCTION("""COMPUTED_VALUE"""),56.95)</f>
        <v>56.95</v>
      </c>
      <c r="D199" s="141">
        <f ca="1">IFERROR(__xludf.DUMMYFUNCTION("""COMPUTED_VALUE"""),57.42)</f>
        <v>57.42</v>
      </c>
      <c r="E199" s="141">
        <f ca="1">IFERROR(__xludf.DUMMYFUNCTION("""COMPUTED_VALUE"""),56.74)</f>
        <v>56.74</v>
      </c>
      <c r="F199" s="141">
        <f ca="1">IFERROR(__xludf.DUMMYFUNCTION("""COMPUTED_VALUE"""),57.11)</f>
        <v>57.11</v>
      </c>
      <c r="G199" s="143">
        <f ca="1">IFERROR(__xludf.DUMMYFUNCTION("""COMPUTED_VALUE"""),19981724)</f>
        <v>19981724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IFERROR(__xludf.DUMMYFUNCTION("""COMPUTED_VALUE"""),57.17)</f>
        <v>57.17</v>
      </c>
      <c r="D200" s="141">
        <f ca="1">IFERROR(__xludf.DUMMYFUNCTION("""COMPUTED_VALUE"""),57.33)</f>
        <v>57.33</v>
      </c>
      <c r="E200" s="141">
        <f ca="1">IFERROR(__xludf.DUMMYFUNCTION("""COMPUTED_VALUE"""),56.33)</f>
        <v>56.33</v>
      </c>
      <c r="F200" s="141">
        <f ca="1">IFERROR(__xludf.DUMMYFUNCTION("""COMPUTED_VALUE"""),57.31)</f>
        <v>57.31</v>
      </c>
      <c r="G200" s="143">
        <f ca="1">IFERROR(__xludf.DUMMYFUNCTION("""COMPUTED_VALUE"""),28112832)</f>
        <v>28112832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IFERROR(__xludf.DUMMYFUNCTION("""COMPUTED_VALUE"""),60.86)</f>
        <v>60.86</v>
      </c>
      <c r="D201" s="141">
        <f ca="1">IFERROR(__xludf.DUMMYFUNCTION("""COMPUTED_VALUE"""),60.99)</f>
        <v>60.99</v>
      </c>
      <c r="E201" s="141">
        <f ca="1">IFERROR(__xludf.DUMMYFUNCTION("""COMPUTED_VALUE"""),59.9)</f>
        <v>59.9</v>
      </c>
      <c r="F201" s="141">
        <f ca="1">IFERROR(__xludf.DUMMYFUNCTION("""COMPUTED_VALUE"""),60.44)</f>
        <v>60.44</v>
      </c>
      <c r="G201" s="143">
        <f ca="1">IFERROR(__xludf.DUMMYFUNCTION("""COMPUTED_VALUE"""),50444840)</f>
        <v>50444840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IFERROR(__xludf.DUMMYFUNCTION("""COMPUTED_VALUE"""),59.76)</f>
        <v>59.76</v>
      </c>
      <c r="D202" s="141">
        <f ca="1">IFERROR(__xludf.DUMMYFUNCTION("""COMPUTED_VALUE"""),60.52)</f>
        <v>60.52</v>
      </c>
      <c r="E202" s="141">
        <f ca="1">IFERROR(__xludf.DUMMYFUNCTION("""COMPUTED_VALUE"""),59.49)</f>
        <v>59.49</v>
      </c>
      <c r="F202" s="141">
        <f ca="1">IFERROR(__xludf.DUMMYFUNCTION("""COMPUTED_VALUE"""),60.28)</f>
        <v>60.28</v>
      </c>
      <c r="G202" s="143">
        <f ca="1">IFERROR(__xludf.DUMMYFUNCTION("""COMPUTED_VALUE"""),35719550)</f>
        <v>35719550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IFERROR(__xludf.DUMMYFUNCTION("""COMPUTED_VALUE"""),60.71)</f>
        <v>60.71</v>
      </c>
      <c r="D203" s="141">
        <f ca="1">IFERROR(__xludf.DUMMYFUNCTION("""COMPUTED_VALUE"""),60.89)</f>
        <v>60.89</v>
      </c>
      <c r="E203" s="141">
        <f ca="1">IFERROR(__xludf.DUMMYFUNCTION("""COMPUTED_VALUE"""),60.37)</f>
        <v>60.37</v>
      </c>
      <c r="F203" s="141">
        <f ca="1">IFERROR(__xludf.DUMMYFUNCTION("""COMPUTED_VALUE"""),60.56)</f>
        <v>60.56</v>
      </c>
      <c r="G203" s="143">
        <f ca="1">IFERROR(__xludf.DUMMYFUNCTION("""COMPUTED_VALUE"""),20508652)</f>
        <v>20508652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IFERROR(__xludf.DUMMYFUNCTION("""COMPUTED_VALUE"""),60.08)</f>
        <v>60.08</v>
      </c>
      <c r="D204" s="141">
        <f ca="1">IFERROR(__xludf.DUMMYFUNCTION("""COMPUTED_VALUE"""),61.13)</f>
        <v>61.13</v>
      </c>
      <c r="E204" s="141">
        <f ca="1">IFERROR(__xludf.DUMMYFUNCTION("""COMPUTED_VALUE"""),60)</f>
        <v>60</v>
      </c>
      <c r="F204" s="141">
        <f ca="1">IFERROR(__xludf.DUMMYFUNCTION("""COMPUTED_VALUE"""),61.07)</f>
        <v>61.07</v>
      </c>
      <c r="G204" s="143">
        <f ca="1">IFERROR(__xludf.DUMMYFUNCTION("""COMPUTED_VALUE"""),24457387)</f>
        <v>24457387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IFERROR(__xludf.DUMMYFUNCTION("""COMPUTED_VALUE"""),61.6)</f>
        <v>61.6</v>
      </c>
      <c r="D205" s="141">
        <f ca="1">IFERROR(__xludf.DUMMYFUNCTION("""COMPUTED_VALUE"""),62.26)</f>
        <v>62.26</v>
      </c>
      <c r="E205" s="141">
        <f ca="1">IFERROR(__xludf.DUMMYFUNCTION("""COMPUTED_VALUE"""),61.57)</f>
        <v>61.57</v>
      </c>
      <c r="F205" s="141">
        <f ca="1">IFERROR(__xludf.DUMMYFUNCTION("""COMPUTED_VALUE"""),62.24)</f>
        <v>62.24</v>
      </c>
      <c r="G205" s="143">
        <f ca="1">IFERROR(__xludf.DUMMYFUNCTION("""COMPUTED_VALUE"""),23734193)</f>
        <v>23734193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IFERROR(__xludf.DUMMYFUNCTION("""COMPUTED_VALUE"""),62.04)</f>
        <v>62.04</v>
      </c>
      <c r="D206" s="141">
        <f ca="1">IFERROR(__xludf.DUMMYFUNCTION("""COMPUTED_VALUE"""),62.32)</f>
        <v>62.32</v>
      </c>
      <c r="E206" s="141">
        <f ca="1">IFERROR(__xludf.DUMMYFUNCTION("""COMPUTED_VALUE"""),61.86)</f>
        <v>61.86</v>
      </c>
      <c r="F206" s="141">
        <f ca="1">IFERROR(__xludf.DUMMYFUNCTION("""COMPUTED_VALUE"""),62.2)</f>
        <v>62.2</v>
      </c>
      <c r="G206" s="143">
        <f ca="1">IFERROR(__xludf.DUMMYFUNCTION("""COMPUTED_VALUE"""),26278694)</f>
        <v>26278694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IFERROR(__xludf.DUMMYFUNCTION("""COMPUTED_VALUE"""),62.43)</f>
        <v>62.43</v>
      </c>
      <c r="D207" s="141">
        <f ca="1">IFERROR(__xludf.DUMMYFUNCTION("""COMPUTED_VALUE"""),62.73)</f>
        <v>62.73</v>
      </c>
      <c r="E207" s="141">
        <f ca="1">IFERROR(__xludf.DUMMYFUNCTION("""COMPUTED_VALUE"""),62.06)</f>
        <v>62.06</v>
      </c>
      <c r="F207" s="141">
        <f ca="1">IFERROR(__xludf.DUMMYFUNCTION("""COMPUTED_VALUE"""),62.45)</f>
        <v>62.45</v>
      </c>
      <c r="G207" s="143">
        <f ca="1">IFERROR(__xludf.DUMMYFUNCTION("""COMPUTED_VALUE"""),32327551)</f>
        <v>32327551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IFERROR(__xludf.DUMMYFUNCTION("""COMPUTED_VALUE"""),63.53)</f>
        <v>63.53</v>
      </c>
      <c r="D208" s="141">
        <f ca="1">IFERROR(__xludf.DUMMYFUNCTION("""COMPUTED_VALUE"""),64.22)</f>
        <v>64.22</v>
      </c>
      <c r="E208" s="141">
        <f ca="1">IFERROR(__xludf.DUMMYFUNCTION("""COMPUTED_VALUE"""),63.37)</f>
        <v>63.37</v>
      </c>
      <c r="F208" s="141">
        <f ca="1">IFERROR(__xludf.DUMMYFUNCTION("""COMPUTED_VALUE"""),63.64)</f>
        <v>63.64</v>
      </c>
      <c r="G208" s="143">
        <f ca="1">IFERROR(__xludf.DUMMYFUNCTION("""COMPUTED_VALUE"""),46228644)</f>
        <v>46228644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IFERROR(__xludf.DUMMYFUNCTION("""COMPUTED_VALUE"""),63.11)</f>
        <v>63.11</v>
      </c>
      <c r="D209" s="141">
        <f ca="1">IFERROR(__xludf.DUMMYFUNCTION("""COMPUTED_VALUE"""),63.26)</f>
        <v>63.26</v>
      </c>
      <c r="E209" s="141">
        <f ca="1">IFERROR(__xludf.DUMMYFUNCTION("""COMPUTED_VALUE"""),62.78)</f>
        <v>62.78</v>
      </c>
      <c r="F209" s="141">
        <f ca="1">IFERROR(__xludf.DUMMYFUNCTION("""COMPUTED_VALUE"""),63.18)</f>
        <v>63.18</v>
      </c>
      <c r="G209" s="143">
        <f ca="1">IFERROR(__xludf.DUMMYFUNCTION("""COMPUTED_VALUE"""),20045649)</f>
        <v>20045649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IFERROR(__xludf.DUMMYFUNCTION("""COMPUTED_VALUE"""),63.28)</f>
        <v>63.28</v>
      </c>
      <c r="D210" s="141">
        <f ca="1">IFERROR(__xludf.DUMMYFUNCTION("""COMPUTED_VALUE"""),63.37)</f>
        <v>63.37</v>
      </c>
      <c r="E210" s="141">
        <f ca="1">IFERROR(__xludf.DUMMYFUNCTION("""COMPUTED_VALUE"""),62.15)</f>
        <v>62.15</v>
      </c>
      <c r="F210" s="141">
        <f ca="1">IFERROR(__xludf.DUMMYFUNCTION("""COMPUTED_VALUE"""),62.25)</f>
        <v>62.25</v>
      </c>
      <c r="G210" s="143">
        <f ca="1">IFERROR(__xludf.DUMMYFUNCTION("""COMPUTED_VALUE"""),25552580)</f>
        <v>25552580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IFERROR(__xludf.DUMMYFUNCTION("""COMPUTED_VALUE"""),62.99)</f>
        <v>62.99</v>
      </c>
      <c r="D211" s="141">
        <f ca="1">IFERROR(__xludf.DUMMYFUNCTION("""COMPUTED_VALUE"""),63.42)</f>
        <v>63.42</v>
      </c>
      <c r="E211" s="141">
        <f ca="1">IFERROR(__xludf.DUMMYFUNCTION("""COMPUTED_VALUE"""),62.89)</f>
        <v>62.89</v>
      </c>
      <c r="F211" s="141">
        <f ca="1">IFERROR(__xludf.DUMMYFUNCTION("""COMPUTED_VALUE"""),63.38)</f>
        <v>63.38</v>
      </c>
      <c r="G211" s="143">
        <f ca="1">IFERROR(__xludf.DUMMYFUNCTION("""COMPUTED_VALUE"""),19635732)</f>
        <v>19635732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IFERROR(__xludf.DUMMYFUNCTION("""COMPUTED_VALUE"""),62.75)</f>
        <v>62.75</v>
      </c>
      <c r="D212" s="141">
        <f ca="1">IFERROR(__xludf.DUMMYFUNCTION("""COMPUTED_VALUE"""),63.07)</f>
        <v>63.07</v>
      </c>
      <c r="E212" s="141">
        <f ca="1">IFERROR(__xludf.DUMMYFUNCTION("""COMPUTED_VALUE"""),61.7)</f>
        <v>61.7</v>
      </c>
      <c r="F212" s="141">
        <f ca="1">IFERROR(__xludf.DUMMYFUNCTION("""COMPUTED_VALUE"""),62.35)</f>
        <v>62.35</v>
      </c>
      <c r="G212" s="143">
        <f ca="1">IFERROR(__xludf.DUMMYFUNCTION("""COMPUTED_VALUE"""),33271524)</f>
        <v>33271524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IFERROR(__xludf.DUMMYFUNCTION("""COMPUTED_VALUE"""),63.28)</f>
        <v>63.28</v>
      </c>
      <c r="D213" s="141">
        <f ca="1">IFERROR(__xludf.DUMMYFUNCTION("""COMPUTED_VALUE"""),63.82)</f>
        <v>63.82</v>
      </c>
      <c r="E213" s="141">
        <f ca="1">IFERROR(__xludf.DUMMYFUNCTION("""COMPUTED_VALUE"""),63.1)</f>
        <v>63.1</v>
      </c>
      <c r="F213" s="141">
        <f ca="1">IFERROR(__xludf.DUMMYFUNCTION("""COMPUTED_VALUE"""),63.74)</f>
        <v>63.74</v>
      </c>
      <c r="G213" s="143">
        <f ca="1">IFERROR(__xludf.DUMMYFUNCTION("""COMPUTED_VALUE"""),26360827)</f>
        <v>26360827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IFERROR(__xludf.DUMMYFUNCTION("""COMPUTED_VALUE"""),63.9)</f>
        <v>63.9</v>
      </c>
      <c r="D214" s="141">
        <f ca="1">IFERROR(__xludf.DUMMYFUNCTION("""COMPUTED_VALUE"""),63.98)</f>
        <v>63.98</v>
      </c>
      <c r="E214" s="141">
        <f ca="1">IFERROR(__xludf.DUMMYFUNCTION("""COMPUTED_VALUE"""),63.5)</f>
        <v>63.5</v>
      </c>
      <c r="F214" s="141">
        <f ca="1">IFERROR(__xludf.DUMMYFUNCTION("""COMPUTED_VALUE"""),63.64)</f>
        <v>63.64</v>
      </c>
      <c r="G214" s="143">
        <f ca="1">IFERROR(__xludf.DUMMYFUNCTION("""COMPUTED_VALUE"""),14689535)</f>
        <v>14689535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IFERROR(__xludf.DUMMYFUNCTION("""COMPUTED_VALUE"""),62.79)</f>
        <v>62.79</v>
      </c>
      <c r="D215" s="141">
        <f ca="1">IFERROR(__xludf.DUMMYFUNCTION("""COMPUTED_VALUE"""),63.12)</f>
        <v>63.12</v>
      </c>
      <c r="E215" s="141">
        <f ca="1">IFERROR(__xludf.DUMMYFUNCTION("""COMPUTED_VALUE"""),62.53)</f>
        <v>62.53</v>
      </c>
      <c r="F215" s="141">
        <f ca="1">IFERROR(__xludf.DUMMYFUNCTION("""COMPUTED_VALUE"""),62.99)</f>
        <v>62.99</v>
      </c>
      <c r="G215" s="143">
        <f ca="1">IFERROR(__xludf.DUMMYFUNCTION("""COMPUTED_VALUE"""),20628904)</f>
        <v>20628904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IFERROR(__xludf.DUMMYFUNCTION("""COMPUTED_VALUE"""),63.07)</f>
        <v>63.07</v>
      </c>
      <c r="D216" s="141">
        <f ca="1">IFERROR(__xludf.DUMMYFUNCTION("""COMPUTED_VALUE"""),63.12)</f>
        <v>63.12</v>
      </c>
      <c r="E216" s="141">
        <f ca="1">IFERROR(__xludf.DUMMYFUNCTION("""COMPUTED_VALUE"""),62.44)</f>
        <v>62.44</v>
      </c>
      <c r="F216" s="141">
        <f ca="1">IFERROR(__xludf.DUMMYFUNCTION("""COMPUTED_VALUE"""),62.69)</f>
        <v>62.69</v>
      </c>
      <c r="G216" s="143">
        <f ca="1">IFERROR(__xludf.DUMMYFUNCTION("""COMPUTED_VALUE"""),21066220)</f>
        <v>21066220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IFERROR(__xludf.DUMMYFUNCTION("""COMPUTED_VALUE"""),63.24)</f>
        <v>63.24</v>
      </c>
      <c r="D217" s="141">
        <f ca="1">IFERROR(__xludf.DUMMYFUNCTION("""COMPUTED_VALUE"""),64.14)</f>
        <v>64.14</v>
      </c>
      <c r="E217" s="141">
        <f ca="1">IFERROR(__xludf.DUMMYFUNCTION("""COMPUTED_VALUE"""),62.88)</f>
        <v>62.88</v>
      </c>
      <c r="F217" s="141">
        <f ca="1">IFERROR(__xludf.DUMMYFUNCTION("""COMPUTED_VALUE"""),63.99)</f>
        <v>63.99</v>
      </c>
      <c r="G217" s="143">
        <f ca="1">IFERROR(__xludf.DUMMYFUNCTION("""COMPUTED_VALUE"""),32196998)</f>
        <v>32196998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IFERROR(__xludf.DUMMYFUNCTION("""COMPUTED_VALUE"""),63.84)</f>
        <v>63.84</v>
      </c>
      <c r="D218" s="141">
        <f ca="1">IFERROR(__xludf.DUMMYFUNCTION("""COMPUTED_VALUE"""),64.67)</f>
        <v>64.67</v>
      </c>
      <c r="E218" s="141">
        <f ca="1">IFERROR(__xludf.DUMMYFUNCTION("""COMPUTED_VALUE"""),63.8)</f>
        <v>63.8</v>
      </c>
      <c r="F218" s="141">
        <f ca="1">IFERROR(__xludf.DUMMYFUNCTION("""COMPUTED_VALUE"""),64.13)</f>
        <v>64.13</v>
      </c>
      <c r="G218" s="143">
        <f ca="1">IFERROR(__xludf.DUMMYFUNCTION("""COMPUTED_VALUE"""),22489221)</f>
        <v>22489221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IFERROR(__xludf.DUMMYFUNCTION("""COMPUTED_VALUE"""),64.47)</f>
        <v>64.47</v>
      </c>
      <c r="D219" s="141">
        <f ca="1">IFERROR(__xludf.DUMMYFUNCTION("""COMPUTED_VALUE"""),64.86)</f>
        <v>64.86</v>
      </c>
      <c r="E219" s="141">
        <f ca="1">IFERROR(__xludf.DUMMYFUNCTION("""COMPUTED_VALUE"""),63.81)</f>
        <v>63.81</v>
      </c>
      <c r="F219" s="141">
        <f ca="1">IFERROR(__xludf.DUMMYFUNCTION("""COMPUTED_VALUE"""),64.1)</f>
        <v>64.099999999999994</v>
      </c>
      <c r="G219" s="143">
        <f ca="1">IFERROR(__xludf.DUMMYFUNCTION("""COMPUTED_VALUE"""),19751754)</f>
        <v>19751754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IFERROR(__xludf.DUMMYFUNCTION("""COMPUTED_VALUE"""),64.98)</f>
        <v>64.98</v>
      </c>
      <c r="D220" s="141">
        <f ca="1">IFERROR(__xludf.DUMMYFUNCTION("""COMPUTED_VALUE"""),65.63)</f>
        <v>65.63</v>
      </c>
      <c r="E220" s="141">
        <f ca="1">IFERROR(__xludf.DUMMYFUNCTION("""COMPUTED_VALUE"""),64.89)</f>
        <v>64.89</v>
      </c>
      <c r="F220" s="141">
        <f ca="1">IFERROR(__xludf.DUMMYFUNCTION("""COMPUTED_VALUE"""),65.4)</f>
        <v>65.400000000000006</v>
      </c>
      <c r="G220" s="143">
        <f ca="1">IFERROR(__xludf.DUMMYFUNCTION("""COMPUTED_VALUE"""),18700983)</f>
        <v>18700983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IFERROR(__xludf.DUMMYFUNCTION("""COMPUTED_VALUE"""),66.85)</f>
        <v>66.849999999999994</v>
      </c>
      <c r="D221" s="141">
        <f ca="1">IFERROR(__xludf.DUMMYFUNCTION("""COMPUTED_VALUE"""),67.59)</f>
        <v>67.59</v>
      </c>
      <c r="E221" s="141">
        <f ca="1">IFERROR(__xludf.DUMMYFUNCTION("""COMPUTED_VALUE"""),66.64)</f>
        <v>66.64</v>
      </c>
      <c r="F221" s="141">
        <f ca="1">IFERROR(__xludf.DUMMYFUNCTION("""COMPUTED_VALUE"""),67.49)</f>
        <v>67.489999999999995</v>
      </c>
      <c r="G221" s="143">
        <f ca="1">IFERROR(__xludf.DUMMYFUNCTION("""COMPUTED_VALUE"""),35376450)</f>
        <v>35376450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IFERROR(__xludf.DUMMYFUNCTION("""COMPUTED_VALUE"""),67.67)</f>
        <v>67.67</v>
      </c>
      <c r="D222" s="141">
        <f ca="1">IFERROR(__xludf.DUMMYFUNCTION("""COMPUTED_VALUE"""),67.67)</f>
        <v>67.67</v>
      </c>
      <c r="E222" s="141">
        <f ca="1">IFERROR(__xludf.DUMMYFUNCTION("""COMPUTED_VALUE"""),66.48)</f>
        <v>66.48</v>
      </c>
      <c r="F222" s="141">
        <f ca="1">IFERROR(__xludf.DUMMYFUNCTION("""COMPUTED_VALUE"""),66.59)</f>
        <v>66.59</v>
      </c>
      <c r="G222" s="143">
        <f ca="1">IFERROR(__xludf.DUMMYFUNCTION("""COMPUTED_VALUE"""),34734668)</f>
        <v>34734668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IFERROR(__xludf.DUMMYFUNCTION("""COMPUTED_VALUE"""),67.33)</f>
        <v>67.33</v>
      </c>
      <c r="D223" s="141">
        <f ca="1">IFERROR(__xludf.DUMMYFUNCTION("""COMPUTED_VALUE"""),67.96)</f>
        <v>67.959999999999994</v>
      </c>
      <c r="E223" s="141">
        <f ca="1">IFERROR(__xludf.DUMMYFUNCTION("""COMPUTED_VALUE"""),67.28)</f>
        <v>67.28</v>
      </c>
      <c r="F223" s="141">
        <f ca="1">IFERROR(__xludf.DUMMYFUNCTION("""COMPUTED_VALUE"""),67.94)</f>
        <v>67.94</v>
      </c>
      <c r="G223" s="143">
        <f ca="1">IFERROR(__xludf.DUMMYFUNCTION("""COMPUTED_VALUE"""),27606254)</f>
        <v>27606254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IFERROR(__xludf.DUMMYFUNCTION("""COMPUTED_VALUE"""),67.83)</f>
        <v>67.83</v>
      </c>
      <c r="D224" s="141">
        <f ca="1">IFERROR(__xludf.DUMMYFUNCTION("""COMPUTED_VALUE"""),68.15)</f>
        <v>68.150000000000006</v>
      </c>
      <c r="E224" s="141">
        <f ca="1">IFERROR(__xludf.DUMMYFUNCTION("""COMPUTED_VALUE"""),67.58)</f>
        <v>67.58</v>
      </c>
      <c r="F224" s="141">
        <f ca="1">IFERROR(__xludf.DUMMYFUNCTION("""COMPUTED_VALUE"""),67.89)</f>
        <v>67.89</v>
      </c>
      <c r="G224" s="143">
        <f ca="1">IFERROR(__xludf.DUMMYFUNCTION("""COMPUTED_VALUE"""),14667108)</f>
        <v>14667108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IFERROR(__xludf.DUMMYFUNCTION("""COMPUTED_VALUE"""),66.22)</f>
        <v>66.22</v>
      </c>
      <c r="D225" s="141">
        <f ca="1">IFERROR(__xludf.DUMMYFUNCTION("""COMPUTED_VALUE"""),66.51)</f>
        <v>66.510000000000005</v>
      </c>
      <c r="E225" s="141">
        <f ca="1">IFERROR(__xludf.DUMMYFUNCTION("""COMPUTED_VALUE"""),64.99)</f>
        <v>64.989999999999995</v>
      </c>
      <c r="F225" s="141">
        <f ca="1">IFERROR(__xludf.DUMMYFUNCTION("""COMPUTED_VALUE"""),65.82)</f>
        <v>65.819999999999993</v>
      </c>
      <c r="G225" s="143">
        <f ca="1">IFERROR(__xludf.DUMMYFUNCTION("""COMPUTED_VALUE"""),37773354)</f>
        <v>37773354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IFERROR(__xludf.DUMMYFUNCTION("""COMPUTED_VALUE"""),66.57)</f>
        <v>66.569999999999993</v>
      </c>
      <c r="D226" s="141">
        <f ca="1">IFERROR(__xludf.DUMMYFUNCTION("""COMPUTED_VALUE"""),67.44)</f>
        <v>67.44</v>
      </c>
      <c r="E226" s="141">
        <f ca="1">IFERROR(__xludf.DUMMYFUNCTION("""COMPUTED_VALUE"""),66.27)</f>
        <v>66.27</v>
      </c>
      <c r="F226" s="141">
        <f ca="1">IFERROR(__xludf.DUMMYFUNCTION("""COMPUTED_VALUE"""),67.21)</f>
        <v>67.209999999999994</v>
      </c>
      <c r="G226" s="143">
        <f ca="1">IFERROR(__xludf.DUMMYFUNCTION("""COMPUTED_VALUE"""),26065354)</f>
        <v>26065354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IFERROR(__xludf.DUMMYFUNCTION("""COMPUTED_VALUE"""),66.95)</f>
        <v>66.95</v>
      </c>
      <c r="D227" s="141">
        <f ca="1">IFERROR(__xludf.DUMMYFUNCTION("""COMPUTED_VALUE"""),67.52)</f>
        <v>67.52</v>
      </c>
      <c r="E227" s="141">
        <f ca="1">IFERROR(__xludf.DUMMYFUNCTION("""COMPUTED_VALUE"""),66.83)</f>
        <v>66.83</v>
      </c>
      <c r="F227" s="141">
        <f ca="1">IFERROR(__xludf.DUMMYFUNCTION("""COMPUTED_VALUE"""),67.38)</f>
        <v>67.38</v>
      </c>
      <c r="G227" s="143">
        <f ca="1">IFERROR(__xludf.DUMMYFUNCTION("""COMPUTED_VALUE"""),21184438)</f>
        <v>21184438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IFERROR(__xludf.DUMMYFUNCTION("""COMPUTED_VALUE"""),65.23)</f>
        <v>65.23</v>
      </c>
      <c r="D228" s="141">
        <f ca="1">IFERROR(__xludf.DUMMYFUNCTION("""COMPUTED_VALUE"""),65.47)</f>
        <v>65.47</v>
      </c>
      <c r="E228" s="141">
        <f ca="1">IFERROR(__xludf.DUMMYFUNCTION("""COMPUTED_VALUE"""),64.72)</f>
        <v>64.72</v>
      </c>
      <c r="F228" s="141">
        <f ca="1">IFERROR(__xludf.DUMMYFUNCTION("""COMPUTED_VALUE"""),65.07)</f>
        <v>65.069999999999993</v>
      </c>
      <c r="G228" s="143">
        <f ca="1">IFERROR(__xludf.DUMMYFUNCTION("""COMPUTED_VALUE"""),34830879)</f>
        <v>34830879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IFERROR(__xludf.DUMMYFUNCTION("""COMPUTED_VALUE"""),65.66)</f>
        <v>65.66</v>
      </c>
      <c r="D229" s="141">
        <f ca="1">IFERROR(__xludf.DUMMYFUNCTION("""COMPUTED_VALUE"""),65.76)</f>
        <v>65.760000000000005</v>
      </c>
      <c r="E229" s="141">
        <f ca="1">IFERROR(__xludf.DUMMYFUNCTION("""COMPUTED_VALUE"""),64.38)</f>
        <v>64.38</v>
      </c>
      <c r="F229" s="141">
        <f ca="1">IFERROR(__xludf.DUMMYFUNCTION("""COMPUTED_VALUE"""),64.97)</f>
        <v>64.97</v>
      </c>
      <c r="G229" s="143">
        <f ca="1">IFERROR(__xludf.DUMMYFUNCTION("""COMPUTED_VALUE"""),37739831)</f>
        <v>37739831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IFERROR(__xludf.DUMMYFUNCTION("""COMPUTED_VALUE"""),63.62)</f>
        <v>63.62</v>
      </c>
      <c r="D230" s="141">
        <f ca="1">IFERROR(__xludf.DUMMYFUNCTION("""COMPUTED_VALUE"""),64.85)</f>
        <v>64.849999999999994</v>
      </c>
      <c r="E230" s="141">
        <f ca="1">IFERROR(__xludf.DUMMYFUNCTION("""COMPUTED_VALUE"""),63.48)</f>
        <v>63.48</v>
      </c>
      <c r="F230" s="141">
        <f ca="1">IFERROR(__xludf.DUMMYFUNCTION("""COMPUTED_VALUE"""),64.26)</f>
        <v>64.260000000000005</v>
      </c>
      <c r="G230" s="143">
        <f ca="1">IFERROR(__xludf.DUMMYFUNCTION("""COMPUTED_VALUE"""),37009420)</f>
        <v>37009420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IFERROR(__xludf.DUMMYFUNCTION("""COMPUTED_VALUE"""),64.63)</f>
        <v>64.63</v>
      </c>
      <c r="D231" s="141">
        <f ca="1">IFERROR(__xludf.DUMMYFUNCTION("""COMPUTED_VALUE"""),65.56)</f>
        <v>65.56</v>
      </c>
      <c r="E231" s="141">
        <f ca="1">IFERROR(__xludf.DUMMYFUNCTION("""COMPUTED_VALUE"""),64.4)</f>
        <v>64.400000000000006</v>
      </c>
      <c r="F231" s="141">
        <f ca="1">IFERROR(__xludf.DUMMYFUNCTION("""COMPUTED_VALUE"""),65.46)</f>
        <v>65.459999999999994</v>
      </c>
      <c r="G231" s="143">
        <f ca="1">IFERROR(__xludf.DUMMYFUNCTION("""COMPUTED_VALUE"""),32484717)</f>
        <v>32484717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IFERROR(__xludf.DUMMYFUNCTION("""COMPUTED_VALUE"""),65.23)</f>
        <v>65.23</v>
      </c>
      <c r="D232" s="141">
        <f ca="1">IFERROR(__xludf.DUMMYFUNCTION("""COMPUTED_VALUE"""),66.35)</f>
        <v>66.349999999999994</v>
      </c>
      <c r="E232" s="141">
        <f ca="1">IFERROR(__xludf.DUMMYFUNCTION("""COMPUTED_VALUE"""),65.05)</f>
        <v>65.05</v>
      </c>
      <c r="F232" s="141">
        <f ca="1">IFERROR(__xludf.DUMMYFUNCTION("""COMPUTED_VALUE"""),66.03)</f>
        <v>66.03</v>
      </c>
      <c r="G232" s="143">
        <f ca="1">IFERROR(__xludf.DUMMYFUNCTION("""COMPUTED_VALUE"""),28726486)</f>
        <v>28726486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IFERROR(__xludf.DUMMYFUNCTION("""COMPUTED_VALUE"""),66)</f>
        <v>66</v>
      </c>
      <c r="D233" s="141">
        <f ca="1">IFERROR(__xludf.DUMMYFUNCTION("""COMPUTED_VALUE"""),66.39)</f>
        <v>66.39</v>
      </c>
      <c r="E233" s="141">
        <f ca="1">IFERROR(__xludf.DUMMYFUNCTION("""COMPUTED_VALUE"""),65.74)</f>
        <v>65.739999999999995</v>
      </c>
      <c r="F233" s="141">
        <f ca="1">IFERROR(__xludf.DUMMYFUNCTION("""COMPUTED_VALUE"""),65.88)</f>
        <v>65.88</v>
      </c>
      <c r="G233" s="143">
        <f ca="1">IFERROR(__xludf.DUMMYFUNCTION("""COMPUTED_VALUE"""),30850969)</f>
        <v>30850969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IFERROR(__xludf.DUMMYFUNCTION("""COMPUTED_VALUE"""),67.72)</f>
        <v>67.72</v>
      </c>
      <c r="D234" s="141">
        <f ca="1">IFERROR(__xludf.DUMMYFUNCTION("""COMPUTED_VALUE"""),68.5)</f>
        <v>68.5</v>
      </c>
      <c r="E234" s="141">
        <f ca="1">IFERROR(__xludf.DUMMYFUNCTION("""COMPUTED_VALUE"""),67.69)</f>
        <v>67.69</v>
      </c>
      <c r="F234" s="141">
        <f ca="1">IFERROR(__xludf.DUMMYFUNCTION("""COMPUTED_VALUE"""),68.4)</f>
        <v>68.400000000000006</v>
      </c>
      <c r="G234" s="143">
        <f ca="1">IFERROR(__xludf.DUMMYFUNCTION("""COMPUTED_VALUE"""),25457012)</f>
        <v>25457012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IFERROR(__xludf.DUMMYFUNCTION("""COMPUTED_VALUE"""),68.76)</f>
        <v>68.760000000000005</v>
      </c>
      <c r="D235" s="141">
        <f ca="1">IFERROR(__xludf.DUMMYFUNCTION("""COMPUTED_VALUE"""),68.96)</f>
        <v>68.959999999999994</v>
      </c>
      <c r="E235" s="141">
        <f ca="1">IFERROR(__xludf.DUMMYFUNCTION("""COMPUTED_VALUE"""),67.94)</f>
        <v>67.94</v>
      </c>
      <c r="F235" s="141">
        <f ca="1">IFERROR(__xludf.DUMMYFUNCTION("""COMPUTED_VALUE"""),68.39)</f>
        <v>68.39</v>
      </c>
      <c r="G235" s="143">
        <f ca="1">IFERROR(__xludf.DUMMYFUNCTION("""COMPUTED_VALUE"""),31992372)</f>
        <v>31992372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IFERROR(__xludf.DUMMYFUNCTION("""COMPUTED_VALUE"""),67.65)</f>
        <v>67.650000000000006</v>
      </c>
      <c r="D236" s="141">
        <f ca="1">IFERROR(__xludf.DUMMYFUNCTION("""COMPUTED_VALUE"""),68.77)</f>
        <v>68.77</v>
      </c>
      <c r="E236" s="141">
        <f ca="1">IFERROR(__xludf.DUMMYFUNCTION("""COMPUTED_VALUE"""),67.43)</f>
        <v>67.430000000000007</v>
      </c>
      <c r="F236" s="141">
        <f ca="1">IFERROR(__xludf.DUMMYFUNCTION("""COMPUTED_VALUE"""),68.61)</f>
        <v>68.61</v>
      </c>
      <c r="G236" s="143">
        <f ca="1">IFERROR(__xludf.DUMMYFUNCTION("""COMPUTED_VALUE"""),33063296)</f>
        <v>33063296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IFERROR(__xludf.DUMMYFUNCTION("""COMPUTED_VALUE"""),68.93)</f>
        <v>68.930000000000007</v>
      </c>
      <c r="D237" s="141">
        <f ca="1">IFERROR(__xludf.DUMMYFUNCTION("""COMPUTED_VALUE"""),69.11)</f>
        <v>69.11</v>
      </c>
      <c r="E237" s="141">
        <f ca="1">IFERROR(__xludf.DUMMYFUNCTION("""COMPUTED_VALUE"""),68.5)</f>
        <v>68.5</v>
      </c>
      <c r="F237" s="141">
        <f ca="1">IFERROR(__xludf.DUMMYFUNCTION("""COMPUTED_VALUE"""),68.6)</f>
        <v>68.599999999999994</v>
      </c>
      <c r="G237" s="143">
        <f ca="1">IFERROR(__xludf.DUMMYFUNCTION("""COMPUTED_VALUE"""),32143085)</f>
        <v>32143085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IFERROR(__xludf.DUMMYFUNCTION("""COMPUTED_VALUE"""),69.38)</f>
        <v>69.38</v>
      </c>
      <c r="D238" s="141">
        <f ca="1">IFERROR(__xludf.DUMMYFUNCTION("""COMPUTED_VALUE"""),70.51)</f>
        <v>70.510000000000005</v>
      </c>
      <c r="E238" s="141">
        <f ca="1">IFERROR(__xludf.DUMMYFUNCTION("""COMPUTED_VALUE"""),69.13)</f>
        <v>69.13</v>
      </c>
      <c r="F238" s="141">
        <f ca="1">IFERROR(__xludf.DUMMYFUNCTION("""COMPUTED_VALUE"""),70.08)</f>
        <v>70.08</v>
      </c>
      <c r="G238" s="143">
        <f ca="1">IFERROR(__xludf.DUMMYFUNCTION("""COMPUTED_VALUE"""),31731104)</f>
        <v>31731104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IFERROR(__xludf.DUMMYFUNCTION("""COMPUTED_VALUE"""),70.29)</f>
        <v>70.290000000000006</v>
      </c>
      <c r="D239" s="141">
        <f ca="1">IFERROR(__xludf.DUMMYFUNCTION("""COMPUTED_VALUE"""),70.86)</f>
        <v>70.86</v>
      </c>
      <c r="E239" s="141">
        <f ca="1">IFERROR(__xludf.DUMMYFUNCTION("""COMPUTED_VALUE"""),70.06)</f>
        <v>70.06</v>
      </c>
      <c r="F239" s="141">
        <f ca="1">IFERROR(__xludf.DUMMYFUNCTION("""COMPUTED_VALUE"""),70.8)</f>
        <v>70.8</v>
      </c>
      <c r="G239" s="143">
        <f ca="1">IFERROR(__xludf.DUMMYFUNCTION("""COMPUTED_VALUE"""),16577427)</f>
        <v>16577427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IFERROR(__xludf.DUMMYFUNCTION("""COMPUTED_VALUE"""),70.41)</f>
        <v>70.41</v>
      </c>
      <c r="D240" s="141">
        <f ca="1">IFERROR(__xludf.DUMMYFUNCTION("""COMPUTED_VALUE"""),70.47)</f>
        <v>70.47</v>
      </c>
      <c r="E240" s="141">
        <f ca="1">IFERROR(__xludf.DUMMYFUNCTION("""COMPUTED_VALUE"""),69.56)</f>
        <v>69.56</v>
      </c>
      <c r="F240" s="141">
        <f ca="1">IFERROR(__xludf.DUMMYFUNCTION("""COMPUTED_VALUE"""),69.92)</f>
        <v>69.92</v>
      </c>
      <c r="G240" s="143">
        <f ca="1">IFERROR(__xludf.DUMMYFUNCTION("""COMPUTED_VALUE"""),22147085)</f>
        <v>22147085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IFERROR(__xludf.DUMMYFUNCTION("""COMPUTED_VALUE"""),68.52)</f>
        <v>68.52</v>
      </c>
      <c r="D241" s="141">
        <f ca="1">IFERROR(__xludf.DUMMYFUNCTION("""COMPUTED_VALUE"""),69.29)</f>
        <v>69.290000000000006</v>
      </c>
      <c r="E241" s="141">
        <f ca="1">IFERROR(__xludf.DUMMYFUNCTION("""COMPUTED_VALUE"""),68.08)</f>
        <v>68.08</v>
      </c>
      <c r="F241" s="141">
        <f ca="1">IFERROR(__xludf.DUMMYFUNCTION("""COMPUTED_VALUE"""),69.1)</f>
        <v>69.099999999999994</v>
      </c>
      <c r="G241" s="143">
        <f ca="1">IFERROR(__xludf.DUMMYFUNCTION("""COMPUTED_VALUE"""),21260298)</f>
        <v>21260298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IFERROR(__xludf.DUMMYFUNCTION("""COMPUTED_VALUE"""),66.73)</f>
        <v>66.73</v>
      </c>
      <c r="D242" s="141">
        <f ca="1">IFERROR(__xludf.DUMMYFUNCTION("""COMPUTED_VALUE"""),66.89)</f>
        <v>66.89</v>
      </c>
      <c r="E242" s="141">
        <f ca="1">IFERROR(__xludf.DUMMYFUNCTION("""COMPUTED_VALUE"""),64.36)</f>
        <v>64.36</v>
      </c>
      <c r="F242" s="141">
        <f ca="1">IFERROR(__xludf.DUMMYFUNCTION("""COMPUTED_VALUE"""),64.59)</f>
        <v>64.59</v>
      </c>
      <c r="G242" s="143">
        <f ca="1">IFERROR(__xludf.DUMMYFUNCTION("""COMPUTED_VALUE"""),56184498)</f>
        <v>56184498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IFERROR(__xludf.DUMMYFUNCTION("""COMPUTED_VALUE"""),66.07)</f>
        <v>66.069999999999993</v>
      </c>
      <c r="D243" s="141">
        <f ca="1">IFERROR(__xludf.DUMMYFUNCTION("""COMPUTED_VALUE"""),66.37)</f>
        <v>66.37</v>
      </c>
      <c r="E243" s="141">
        <f ca="1">IFERROR(__xludf.DUMMYFUNCTION("""COMPUTED_VALUE"""),65.59)</f>
        <v>65.59</v>
      </c>
      <c r="F243" s="141">
        <f ca="1">IFERROR(__xludf.DUMMYFUNCTION("""COMPUTED_VALUE"""),65.75)</f>
        <v>65.75</v>
      </c>
      <c r="G243" s="143">
        <f ca="1">IFERROR(__xludf.DUMMYFUNCTION("""COMPUTED_VALUE"""),29088374)</f>
        <v>29088374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IFERROR(__xludf.DUMMYFUNCTION("""COMPUTED_VALUE"""),67.21)</f>
        <v>67.209999999999994</v>
      </c>
      <c r="D244" s="141">
        <f ca="1">IFERROR(__xludf.DUMMYFUNCTION("""COMPUTED_VALUE"""),67.46)</f>
        <v>67.459999999999994</v>
      </c>
      <c r="E244" s="141">
        <f ca="1">IFERROR(__xludf.DUMMYFUNCTION("""COMPUTED_VALUE"""),64.07)</f>
        <v>64.069999999999993</v>
      </c>
      <c r="F244" s="141">
        <f ca="1">IFERROR(__xludf.DUMMYFUNCTION("""COMPUTED_VALUE"""),65.82)</f>
        <v>65.819999999999993</v>
      </c>
      <c r="G244" s="143">
        <f ca="1">IFERROR(__xludf.DUMMYFUNCTION("""COMPUTED_VALUE"""),42106665)</f>
        <v>42106665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IFERROR(__xludf.DUMMYFUNCTION("""COMPUTED_VALUE"""),65.31)</f>
        <v>65.31</v>
      </c>
      <c r="D245" s="141">
        <f ca="1">IFERROR(__xludf.DUMMYFUNCTION("""COMPUTED_VALUE"""),66.28)</f>
        <v>66.28</v>
      </c>
      <c r="E245" s="141">
        <f ca="1">IFERROR(__xludf.DUMMYFUNCTION("""COMPUTED_VALUE"""),64.58)</f>
        <v>64.58</v>
      </c>
      <c r="F245" s="141">
        <f ca="1">IFERROR(__xludf.DUMMYFUNCTION("""COMPUTED_VALUE"""),64.66)</f>
        <v>64.66</v>
      </c>
      <c r="G245" s="143">
        <f ca="1">IFERROR(__xludf.DUMMYFUNCTION("""COMPUTED_VALUE"""),37541930)</f>
        <v>37541930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IFERROR(__xludf.DUMMYFUNCTION("""COMPUTED_VALUE"""),65.27)</f>
        <v>65.27</v>
      </c>
      <c r="D246" s="141">
        <f ca="1">IFERROR(__xludf.DUMMYFUNCTION("""COMPUTED_VALUE"""),67.6)</f>
        <v>67.599999999999994</v>
      </c>
      <c r="E246" s="141">
        <f ca="1">IFERROR(__xludf.DUMMYFUNCTION("""COMPUTED_VALUE"""),65.18)</f>
        <v>65.180000000000007</v>
      </c>
      <c r="F246" s="141">
        <f ca="1">IFERROR(__xludf.DUMMYFUNCTION("""COMPUTED_VALUE"""),67.5)</f>
        <v>67.5</v>
      </c>
      <c r="G246" s="143">
        <f ca="1">IFERROR(__xludf.DUMMYFUNCTION("""COMPUTED_VALUE"""),41505658)</f>
        <v>41505658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IFERROR(__xludf.DUMMYFUNCTION("""COMPUTED_VALUE"""),67.53)</f>
        <v>67.53</v>
      </c>
      <c r="D247" s="141">
        <f ca="1">IFERROR(__xludf.DUMMYFUNCTION("""COMPUTED_VALUE"""),68.2)</f>
        <v>68.2</v>
      </c>
      <c r="E247" s="141">
        <f ca="1">IFERROR(__xludf.DUMMYFUNCTION("""COMPUTED_VALUE"""),67.08)</f>
        <v>67.08</v>
      </c>
      <c r="F247" s="141">
        <f ca="1">IFERROR(__xludf.DUMMYFUNCTION("""COMPUTED_VALUE"""),67.88)</f>
        <v>67.88</v>
      </c>
      <c r="G247" s="143">
        <f ca="1">IFERROR(__xludf.DUMMYFUNCTION("""COMPUTED_VALUE"""),39782751)</f>
        <v>39782751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IFERROR(__xludf.DUMMYFUNCTION("""COMPUTED_VALUE"""),69.61)</f>
        <v>69.61</v>
      </c>
      <c r="D248" s="141">
        <f ca="1">IFERROR(__xludf.DUMMYFUNCTION("""COMPUTED_VALUE"""),69.88)</f>
        <v>69.88</v>
      </c>
      <c r="E248" s="141">
        <f ca="1">IFERROR(__xludf.DUMMYFUNCTION("""COMPUTED_VALUE"""),69.38)</f>
        <v>69.38</v>
      </c>
      <c r="F248" s="141">
        <f ca="1">IFERROR(__xludf.DUMMYFUNCTION("""COMPUTED_VALUE"""),69.75)</f>
        <v>69.75</v>
      </c>
      <c r="G248" s="143">
        <f ca="1">IFERROR(__xludf.DUMMYFUNCTION("""COMPUTED_VALUE"""),37751515)</f>
        <v>37751515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IFERROR(__xludf.DUMMYFUNCTION("""COMPUTED_VALUE"""),69.33)</f>
        <v>69.33</v>
      </c>
      <c r="D249" s="141">
        <f ca="1">IFERROR(__xludf.DUMMYFUNCTION("""COMPUTED_VALUE"""),69.74)</f>
        <v>69.739999999999995</v>
      </c>
      <c r="E249" s="141">
        <f ca="1">IFERROR(__xludf.DUMMYFUNCTION("""COMPUTED_VALUE"""),68.58)</f>
        <v>68.58</v>
      </c>
      <c r="F249" s="141">
        <f ca="1">IFERROR(__xludf.DUMMYFUNCTION("""COMPUTED_VALUE"""),68.64)</f>
        <v>68.64</v>
      </c>
      <c r="G249" s="143">
        <f ca="1">IFERROR(__xludf.DUMMYFUNCTION("""COMPUTED_VALUE"""),31283482)</f>
        <v>31283482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IFERROR(__xludf.DUMMYFUNCTION("""COMPUTED_VALUE"""),69.57)</f>
        <v>69.569999999999993</v>
      </c>
      <c r="D250" s="141">
        <f ca="1">IFERROR(__xludf.DUMMYFUNCTION("""COMPUTED_VALUE"""),70.08)</f>
        <v>70.08</v>
      </c>
      <c r="E250" s="141">
        <f ca="1">IFERROR(__xludf.DUMMYFUNCTION("""COMPUTED_VALUE"""),68.41)</f>
        <v>68.41</v>
      </c>
      <c r="F250" s="141">
        <f ca="1">IFERROR(__xludf.DUMMYFUNCTION("""COMPUTED_VALUE"""),68.56)</f>
        <v>68.56</v>
      </c>
      <c r="G250" s="143">
        <f ca="1">IFERROR(__xludf.DUMMYFUNCTION("""COMPUTED_VALUE"""),36131294)</f>
        <v>36131294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IFERROR(__xludf.DUMMYFUNCTION("""COMPUTED_VALUE"""),70.18)</f>
        <v>70.180000000000007</v>
      </c>
      <c r="D251" s="141">
        <f ca="1">IFERROR(__xludf.DUMMYFUNCTION("""COMPUTED_VALUE"""),70.92)</f>
        <v>70.92</v>
      </c>
      <c r="E251" s="141">
        <f ca="1">IFERROR(__xludf.DUMMYFUNCTION("""COMPUTED_VALUE"""),70.15)</f>
        <v>70.150000000000006</v>
      </c>
      <c r="F251" s="141">
        <f ca="1">IFERROR(__xludf.DUMMYFUNCTION("""COMPUTED_VALUE"""),70.79)</f>
        <v>70.790000000000006</v>
      </c>
      <c r="G251" s="143">
        <f ca="1">IFERROR(__xludf.DUMMYFUNCTION("""COMPUTED_VALUE"""),49998097)</f>
        <v>49998097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IFERROR(__xludf.DUMMYFUNCTION("""COMPUTED_VALUE"""),71.29)</f>
        <v>71.290000000000006</v>
      </c>
      <c r="D252" s="141">
        <f ca="1">IFERROR(__xludf.DUMMYFUNCTION("""COMPUTED_VALUE"""),71.57)</f>
        <v>71.569999999999993</v>
      </c>
      <c r="E252" s="141">
        <f ca="1">IFERROR(__xludf.DUMMYFUNCTION("""COMPUTED_VALUE"""),70.99)</f>
        <v>70.989999999999995</v>
      </c>
      <c r="F252" s="141">
        <f ca="1">IFERROR(__xludf.DUMMYFUNCTION("""COMPUTED_VALUE"""),71.21)</f>
        <v>71.209999999999994</v>
      </c>
      <c r="G252" s="143">
        <f ca="1">IFERROR(__xludf.DUMMYFUNCTION("""COMPUTED_VALUE"""),25302327)</f>
        <v>25302327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IFERROR(__xludf.DUMMYFUNCTION("""COMPUTED_VALUE"""),67.25)</f>
        <v>67.25</v>
      </c>
      <c r="D253" s="141">
        <f ca="1">IFERROR(__xludf.DUMMYFUNCTION("""COMPUTED_VALUE"""),68.23)</f>
        <v>68.23</v>
      </c>
      <c r="E253" s="141">
        <f ca="1">IFERROR(__xludf.DUMMYFUNCTION("""COMPUTED_VALUE"""),67.07)</f>
        <v>67.069999999999993</v>
      </c>
      <c r="F253" s="141">
        <f ca="1">IFERROR(__xludf.DUMMYFUNCTION("""COMPUTED_VALUE"""),67.17)</f>
        <v>67.17</v>
      </c>
      <c r="G253" s="143">
        <f ca="1">IFERROR(__xludf.DUMMYFUNCTION("""COMPUTED_VALUE"""),39068999)</f>
        <v>39068999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IFERROR(__xludf.DUMMYFUNCTION("""COMPUTED_VALUE"""),67.38)</f>
        <v>67.38</v>
      </c>
      <c r="D254" s="141">
        <f ca="1">IFERROR(__xludf.DUMMYFUNCTION("""COMPUTED_VALUE"""),67.61)</f>
        <v>67.61</v>
      </c>
      <c r="E254" s="141">
        <f ca="1">IFERROR(__xludf.DUMMYFUNCTION("""COMPUTED_VALUE"""),66.6)</f>
        <v>66.599999999999994</v>
      </c>
      <c r="F254" s="141">
        <f ca="1">IFERROR(__xludf.DUMMYFUNCTION("""COMPUTED_VALUE"""),67.25)</f>
        <v>67.25</v>
      </c>
      <c r="G254" s="143">
        <f ca="1">IFERROR(__xludf.DUMMYFUNCTION("""COMPUTED_VALUE"""),22973259)</f>
        <v>22973259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IFERROR(__xludf.DUMMYFUNCTION("""COMPUTED_VALUE"""),68.91)</f>
        <v>68.91</v>
      </c>
      <c r="D255" s="141">
        <f ca="1">IFERROR(__xludf.DUMMYFUNCTION("""COMPUTED_VALUE"""),68.99)</f>
        <v>68.989999999999995</v>
      </c>
      <c r="E255" s="141">
        <f ca="1">IFERROR(__xludf.DUMMYFUNCTION("""COMPUTED_VALUE"""),67.27)</f>
        <v>67.27</v>
      </c>
      <c r="F255" s="141">
        <f ca="1">IFERROR(__xludf.DUMMYFUNCTION("""COMPUTED_VALUE"""),67.96)</f>
        <v>67.959999999999994</v>
      </c>
      <c r="G255" s="143">
        <f ca="1">IFERROR(__xludf.DUMMYFUNCTION("""COMPUTED_VALUE"""),24479776)</f>
        <v>24479776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IFERROR(__xludf.DUMMYFUNCTION("""COMPUTED_VALUE"""),66.34)</f>
        <v>66.34</v>
      </c>
      <c r="D256" s="141">
        <f ca="1">IFERROR(__xludf.DUMMYFUNCTION("""COMPUTED_VALUE"""),67.72)</f>
        <v>67.72</v>
      </c>
      <c r="E256" s="141">
        <f ca="1">IFERROR(__xludf.DUMMYFUNCTION("""COMPUTED_VALUE"""),66.27)</f>
        <v>66.27</v>
      </c>
      <c r="F256" s="141">
        <f ca="1">IFERROR(__xludf.DUMMYFUNCTION("""COMPUTED_VALUE"""),67.19)</f>
        <v>67.19</v>
      </c>
      <c r="G256" s="143">
        <f ca="1">IFERROR(__xludf.DUMMYFUNCTION("""COMPUTED_VALUE"""),24158895)</f>
        <v>24158895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IFERROR(__xludf.DUMMYFUNCTION("""COMPUTED_VALUE"""),66.99)</f>
        <v>66.989999999999995</v>
      </c>
      <c r="D257" s="141">
        <f ca="1">IFERROR(__xludf.DUMMYFUNCTION("""COMPUTED_VALUE"""),67.46)</f>
        <v>67.459999999999994</v>
      </c>
      <c r="E257" s="141">
        <f ca="1">IFERROR(__xludf.DUMMYFUNCTION("""COMPUTED_VALUE"""),66)</f>
        <v>66</v>
      </c>
      <c r="F257" s="141">
        <f ca="1">IFERROR(__xludf.DUMMYFUNCTION("""COMPUTED_VALUE"""),67.43)</f>
        <v>67.430000000000007</v>
      </c>
      <c r="G257" s="143">
        <f ca="1">IFERROR(__xludf.DUMMYFUNCTION("""COMPUTED_VALUE"""),18609726)</f>
        <v>18609726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IFERROR(__xludf.DUMMYFUNCTION("""COMPUTED_VALUE"""),67.59)</f>
        <v>67.59</v>
      </c>
      <c r="D258" s="141">
        <f ca="1">IFERROR(__xludf.DUMMYFUNCTION("""COMPUTED_VALUE"""),68.5)</f>
        <v>68.5</v>
      </c>
      <c r="E258" s="141">
        <f ca="1">IFERROR(__xludf.DUMMYFUNCTION("""COMPUTED_VALUE"""),67.48)</f>
        <v>67.48</v>
      </c>
      <c r="F258" s="141">
        <f ca="1">IFERROR(__xludf.DUMMYFUNCTION("""COMPUTED_VALUE"""),68.41)</f>
        <v>68.41</v>
      </c>
      <c r="G258" s="143">
        <f ca="1">IFERROR(__xludf.DUMMYFUNCTION("""COMPUTED_VALUE"""),20384263)</f>
        <v>20384263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IFERROR(__xludf.DUMMYFUNCTION("""COMPUTED_VALUE"""),66.91)</f>
        <v>66.91</v>
      </c>
      <c r="D259" s="141">
        <f ca="1">IFERROR(__xludf.DUMMYFUNCTION("""COMPUTED_VALUE"""),67.46)</f>
        <v>67.459999999999994</v>
      </c>
      <c r="E259" s="141">
        <f ca="1">IFERROR(__xludf.DUMMYFUNCTION("""COMPUTED_VALUE"""),66.48)</f>
        <v>66.48</v>
      </c>
      <c r="F259" s="141">
        <f ca="1">IFERROR(__xludf.DUMMYFUNCTION("""COMPUTED_VALUE"""),66.48)</f>
        <v>66.48</v>
      </c>
      <c r="G259" s="143">
        <f ca="1">IFERROR(__xludf.DUMMYFUNCTION("""COMPUTED_VALUE"""),28146677)</f>
        <v>28146677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IFERROR(__xludf.DUMMYFUNCTION("""COMPUTED_VALUE"""),66.53)</f>
        <v>66.53</v>
      </c>
      <c r="D260" s="141">
        <f ca="1">IFERROR(__xludf.DUMMYFUNCTION("""COMPUTED_VALUE"""),67.19)</f>
        <v>67.19</v>
      </c>
      <c r="E260" s="141">
        <f ca="1">IFERROR(__xludf.DUMMYFUNCTION("""COMPUTED_VALUE"""),64.8)</f>
        <v>64.8</v>
      </c>
      <c r="F260" s="141">
        <f ca="1">IFERROR(__xludf.DUMMYFUNCTION("""COMPUTED_VALUE"""),65.7)</f>
        <v>65.7</v>
      </c>
      <c r="G260" s="143">
        <f ca="1">IFERROR(__xludf.DUMMYFUNCTION("""COMPUTED_VALUE"""),34260828)</f>
        <v>34260828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IFERROR(__xludf.DUMMYFUNCTION("""COMPUTED_VALUE"""),67.25)</f>
        <v>67.25</v>
      </c>
      <c r="D261" s="141">
        <f ca="1">IFERROR(__xludf.DUMMYFUNCTION("""COMPUTED_VALUE"""),67.79)</f>
        <v>67.790000000000006</v>
      </c>
      <c r="E261" s="141">
        <f ca="1">IFERROR(__xludf.DUMMYFUNCTION("""COMPUTED_VALUE"""),67.21)</f>
        <v>67.209999999999994</v>
      </c>
      <c r="F261" s="141">
        <f ca="1">IFERROR(__xludf.DUMMYFUNCTION("""COMPUTED_VALUE"""),67.57)</f>
        <v>67.569999999999993</v>
      </c>
      <c r="G261" s="143">
        <f ca="1">IFERROR(__xludf.DUMMYFUNCTION("""COMPUTED_VALUE"""),24039307)</f>
        <v>24039307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IFERROR(__xludf.DUMMYFUNCTION("""COMPUTED_VALUE"""),65.99)</f>
        <v>65.989999999999995</v>
      </c>
      <c r="D262" s="141">
        <f ca="1">IFERROR(__xludf.DUMMYFUNCTION("""COMPUTED_VALUE"""),66.33)</f>
        <v>66.33</v>
      </c>
      <c r="E262" s="141">
        <f ca="1">IFERROR(__xludf.DUMMYFUNCTION("""COMPUTED_VALUE"""),65.26)</f>
        <v>65.260000000000005</v>
      </c>
      <c r="F262" s="141">
        <f ca="1">IFERROR(__xludf.DUMMYFUNCTION("""COMPUTED_VALUE"""),65.72)</f>
        <v>65.72</v>
      </c>
      <c r="G262" s="143">
        <f ca="1">IFERROR(__xludf.DUMMYFUNCTION("""COMPUTED_VALUE"""),26285125)</f>
        <v>26285125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IFERROR(__xludf.DUMMYFUNCTION("""COMPUTED_VALUE"""),65.16)</f>
        <v>65.16</v>
      </c>
      <c r="D263" s="141">
        <f ca="1">IFERROR(__xludf.DUMMYFUNCTION("""COMPUTED_VALUE"""),66.25)</f>
        <v>66.25</v>
      </c>
      <c r="E263" s="141">
        <f ca="1">IFERROR(__xludf.DUMMYFUNCTION("""COMPUTED_VALUE"""),64.97)</f>
        <v>64.97</v>
      </c>
      <c r="F263" s="141">
        <f ca="1">IFERROR(__xludf.DUMMYFUNCTION("""COMPUTED_VALUE"""),66.23)</f>
        <v>66.23</v>
      </c>
      <c r="G263" s="143">
        <f ca="1">IFERROR(__xludf.DUMMYFUNCTION("""COMPUTED_VALUE"""),20723496)</f>
        <v>20723496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IFERROR(__xludf.DUMMYFUNCTION("""COMPUTED_VALUE"""),66.57)</f>
        <v>66.569999999999993</v>
      </c>
      <c r="D264" s="141">
        <f ca="1">IFERROR(__xludf.DUMMYFUNCTION("""COMPUTED_VALUE"""),66.96)</f>
        <v>66.959999999999994</v>
      </c>
      <c r="E264" s="141">
        <f ca="1">IFERROR(__xludf.DUMMYFUNCTION("""COMPUTED_VALUE"""),66.36)</f>
        <v>66.36</v>
      </c>
      <c r="F264" s="141">
        <f ca="1">IFERROR(__xludf.DUMMYFUNCTION("""COMPUTED_VALUE"""),66.78)</f>
        <v>66.78</v>
      </c>
      <c r="G264" s="143">
        <f ca="1">IFERROR(__xludf.DUMMYFUNCTION("""COMPUTED_VALUE"""),19566804)</f>
        <v>19566804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IFERROR(__xludf.DUMMYFUNCTION("""COMPUTED_VALUE"""),66.54)</f>
        <v>66.540000000000006</v>
      </c>
      <c r="D265" s="141">
        <f ca="1">IFERROR(__xludf.DUMMYFUNCTION("""COMPUTED_VALUE"""),67.02)</f>
        <v>67.02</v>
      </c>
      <c r="E265" s="141">
        <f ca="1">IFERROR(__xludf.DUMMYFUNCTION("""COMPUTED_VALUE"""),66.19)</f>
        <v>66.19</v>
      </c>
      <c r="F265" s="141">
        <f ca="1">IFERROR(__xludf.DUMMYFUNCTION("""COMPUTED_VALUE"""),66.9)</f>
        <v>66.900000000000006</v>
      </c>
      <c r="G265" s="143">
        <f ca="1">IFERROR(__xludf.DUMMYFUNCTION("""COMPUTED_VALUE"""),18694776)</f>
        <v>18694776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IFERROR(__xludf.DUMMYFUNCTION("""COMPUTED_VALUE"""),65.19)</f>
        <v>65.19</v>
      </c>
      <c r="D266" s="141">
        <f ca="1">IFERROR(__xludf.DUMMYFUNCTION("""COMPUTED_VALUE"""),65.29)</f>
        <v>65.290000000000006</v>
      </c>
      <c r="E266" s="141">
        <f ca="1">IFERROR(__xludf.DUMMYFUNCTION("""COMPUTED_VALUE"""),64.39)</f>
        <v>64.39</v>
      </c>
      <c r="F266" s="141">
        <f ca="1">IFERROR(__xludf.DUMMYFUNCTION("""COMPUTED_VALUE"""),64.5)</f>
        <v>64.5</v>
      </c>
      <c r="G266" s="143">
        <f ca="1">IFERROR(__xludf.DUMMYFUNCTION("""COMPUTED_VALUE"""),25474755)</f>
        <v>25474755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IFERROR(__xludf.DUMMYFUNCTION("""COMPUTED_VALUE"""),65.53)</f>
        <v>65.53</v>
      </c>
      <c r="D267" s="141">
        <f ca="1">IFERROR(__xludf.DUMMYFUNCTION("""COMPUTED_VALUE"""),65.8)</f>
        <v>65.8</v>
      </c>
      <c r="E267" s="141">
        <f ca="1">IFERROR(__xludf.DUMMYFUNCTION("""COMPUTED_VALUE"""),65.11)</f>
        <v>65.11</v>
      </c>
      <c r="F267" s="141">
        <f ca="1">IFERROR(__xludf.DUMMYFUNCTION("""COMPUTED_VALUE"""),65.67)</f>
        <v>65.67</v>
      </c>
      <c r="G267" s="143">
        <f ca="1">IFERROR(__xludf.DUMMYFUNCTION("""COMPUTED_VALUE"""),18557843)</f>
        <v>18557843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IFERROR(__xludf.DUMMYFUNCTION("""COMPUTED_VALUE"""),65.87)</f>
        <v>65.87</v>
      </c>
      <c r="D268" s="141">
        <f ca="1">IFERROR(__xludf.DUMMYFUNCTION("""COMPUTED_VALUE"""),66.04)</f>
        <v>66.040000000000006</v>
      </c>
      <c r="E268" s="141">
        <f ca="1">IFERROR(__xludf.DUMMYFUNCTION("""COMPUTED_VALUE"""),64.66)</f>
        <v>64.66</v>
      </c>
      <c r="F268" s="141">
        <f ca="1">IFERROR(__xludf.DUMMYFUNCTION("""COMPUTED_VALUE"""),65.57)</f>
        <v>65.569999999999993</v>
      </c>
      <c r="G268" s="143">
        <f ca="1">IFERROR(__xludf.DUMMYFUNCTION("""COMPUTED_VALUE"""),30073857)</f>
        <v>30073857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IFERROR(__xludf.DUMMYFUNCTION("""COMPUTED_VALUE"""),64.43)</f>
        <v>64.430000000000007</v>
      </c>
      <c r="D269" s="141">
        <f ca="1">IFERROR(__xludf.DUMMYFUNCTION("""COMPUTED_VALUE"""),64.72)</f>
        <v>64.72</v>
      </c>
      <c r="E269" s="141">
        <f ca="1">IFERROR(__xludf.DUMMYFUNCTION("""COMPUTED_VALUE"""),63.92)</f>
        <v>63.92</v>
      </c>
      <c r="F269" s="141">
        <f ca="1">IFERROR(__xludf.DUMMYFUNCTION("""COMPUTED_VALUE"""),64.19)</f>
        <v>64.19</v>
      </c>
      <c r="G269" s="143">
        <f ca="1">IFERROR(__xludf.DUMMYFUNCTION("""COMPUTED_VALUE"""),21565693)</f>
        <v>21565693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IFERROR(__xludf.DUMMYFUNCTION("""COMPUTED_VALUE"""),62.3)</f>
        <v>62.3</v>
      </c>
      <c r="D270" s="141">
        <f ca="1">IFERROR(__xludf.DUMMYFUNCTION("""COMPUTED_VALUE"""),63.89)</f>
        <v>63.89</v>
      </c>
      <c r="E270" s="141">
        <f ca="1">IFERROR(__xludf.DUMMYFUNCTION("""COMPUTED_VALUE"""),62.01)</f>
        <v>62.01</v>
      </c>
      <c r="F270" s="141">
        <f ca="1">IFERROR(__xludf.DUMMYFUNCTION("""COMPUTED_VALUE"""),63.29)</f>
        <v>63.29</v>
      </c>
      <c r="G270" s="143">
        <f ca="1">IFERROR(__xludf.DUMMYFUNCTION("""COMPUTED_VALUE"""),35145370)</f>
        <v>35145370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IFERROR(__xludf.DUMMYFUNCTION("""COMPUTED_VALUE"""),64.04)</f>
        <v>64.040000000000006</v>
      </c>
      <c r="D271" s="141">
        <f ca="1">IFERROR(__xludf.DUMMYFUNCTION("""COMPUTED_VALUE"""),64.17)</f>
        <v>64.17</v>
      </c>
      <c r="E271" s="141">
        <f ca="1">IFERROR(__xludf.DUMMYFUNCTION("""COMPUTED_VALUE"""),63.48)</f>
        <v>63.48</v>
      </c>
      <c r="F271" s="141">
        <f ca="1">IFERROR(__xludf.DUMMYFUNCTION("""COMPUTED_VALUE"""),63.56)</f>
        <v>63.56</v>
      </c>
      <c r="G271" s="143">
        <f ca="1">IFERROR(__xludf.DUMMYFUNCTION("""COMPUTED_VALUE"""),19269609)</f>
        <v>19269609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IFERROR(__xludf.DUMMYFUNCTION("""COMPUTED_VALUE"""),65.12)</f>
        <v>65.12</v>
      </c>
      <c r="D272" s="141">
        <f ca="1">IFERROR(__xludf.DUMMYFUNCTION("""COMPUTED_VALUE"""),65.5)</f>
        <v>65.5</v>
      </c>
      <c r="E272" s="141">
        <f ca="1">IFERROR(__xludf.DUMMYFUNCTION("""COMPUTED_VALUE"""),64.82)</f>
        <v>64.819999999999993</v>
      </c>
      <c r="F272" s="141">
        <f ca="1">IFERROR(__xludf.DUMMYFUNCTION("""COMPUTED_VALUE"""),65.34)</f>
        <v>65.34</v>
      </c>
      <c r="G272" s="143">
        <f ca="1">IFERROR(__xludf.DUMMYFUNCTION("""COMPUTED_VALUE"""),20839300)</f>
        <v>20839300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IFERROR(__xludf.DUMMYFUNCTION("""COMPUTED_VALUE"""),64.64)</f>
        <v>64.64</v>
      </c>
      <c r="D273" s="141">
        <f ca="1">IFERROR(__xludf.DUMMYFUNCTION("""COMPUTED_VALUE"""),65.19)</f>
        <v>65.19</v>
      </c>
      <c r="E273" s="141">
        <f ca="1">IFERROR(__xludf.DUMMYFUNCTION("""COMPUTED_VALUE"""),64.63)</f>
        <v>64.63</v>
      </c>
      <c r="F273" s="141">
        <f ca="1">IFERROR(__xludf.DUMMYFUNCTION("""COMPUTED_VALUE"""),64.99)</f>
        <v>64.989999999999995</v>
      </c>
      <c r="G273" s="143">
        <f ca="1">IFERROR(__xludf.DUMMYFUNCTION("""COMPUTED_VALUE"""),13400147)</f>
        <v>13400147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IFERROR(__xludf.DUMMYFUNCTION("""COMPUTED_VALUE"""),64.49)</f>
        <v>64.489999999999995</v>
      </c>
      <c r="D274" s="141">
        <f ca="1">IFERROR(__xludf.DUMMYFUNCTION("""COMPUTED_VALUE"""),65.04)</f>
        <v>65.040000000000006</v>
      </c>
      <c r="E274" s="141">
        <f ca="1">IFERROR(__xludf.DUMMYFUNCTION("""COMPUTED_VALUE"""),63.99)</f>
        <v>63.99</v>
      </c>
      <c r="F274" s="141">
        <f ca="1">IFERROR(__xludf.DUMMYFUNCTION("""COMPUTED_VALUE"""),64.6)</f>
        <v>64.599999999999994</v>
      </c>
      <c r="G274" s="143">
        <f ca="1">IFERROR(__xludf.DUMMYFUNCTION("""COMPUTED_VALUE"""),13003342)</f>
        <v>13003342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IFERROR(__xludf.DUMMYFUNCTION("""COMPUTED_VALUE"""),63.95)</f>
        <v>63.95</v>
      </c>
      <c r="D275" s="141">
        <f ca="1">IFERROR(__xludf.DUMMYFUNCTION("""COMPUTED_VALUE"""),64.15)</f>
        <v>64.150000000000006</v>
      </c>
      <c r="E275" s="141">
        <f ca="1">IFERROR(__xludf.DUMMYFUNCTION("""COMPUTED_VALUE"""),63.25)</f>
        <v>63.25</v>
      </c>
      <c r="F275" s="141">
        <f ca="1">IFERROR(__xludf.DUMMYFUNCTION("""COMPUTED_VALUE"""),63.33)</f>
        <v>63.33</v>
      </c>
      <c r="G275" s="143">
        <f ca="1">IFERROR(__xludf.DUMMYFUNCTION("""COMPUTED_VALUE"""),20525619)</f>
        <v>20525619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IFERROR(__xludf.DUMMYFUNCTION("""COMPUTED_VALUE"""),64.22)</f>
        <v>64.22</v>
      </c>
      <c r="D276" s="141">
        <f ca="1">IFERROR(__xludf.DUMMYFUNCTION("""COMPUTED_VALUE"""),64.27)</f>
        <v>64.27</v>
      </c>
      <c r="E276" s="141">
        <f ca="1">IFERROR(__xludf.DUMMYFUNCTION("""COMPUTED_VALUE"""),62.85)</f>
        <v>62.85</v>
      </c>
      <c r="F276" s="141">
        <f ca="1">IFERROR(__xludf.DUMMYFUNCTION("""COMPUTED_VALUE"""),63.62)</f>
        <v>63.62</v>
      </c>
      <c r="G276" s="143">
        <f ca="1">IFERROR(__xludf.DUMMYFUNCTION("""COMPUTED_VALUE"""),23441421)</f>
        <v>23441421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IFERROR(__xludf.DUMMYFUNCTION("""COMPUTED_VALUE"""),62.06)</f>
        <v>62.06</v>
      </c>
      <c r="D277" s="141">
        <f ca="1">IFERROR(__xludf.DUMMYFUNCTION("""COMPUTED_VALUE"""),62.8)</f>
        <v>62.8</v>
      </c>
      <c r="E277" s="141">
        <f ca="1">IFERROR(__xludf.DUMMYFUNCTION("""COMPUTED_VALUE"""),61.68)</f>
        <v>61.68</v>
      </c>
      <c r="F277" s="141">
        <f ca="1">IFERROR(__xludf.DUMMYFUNCTION("""COMPUTED_VALUE"""),62.36)</f>
        <v>62.36</v>
      </c>
      <c r="G277" s="143">
        <f ca="1">IFERROR(__xludf.DUMMYFUNCTION("""COMPUTED_VALUE"""),29000865)</f>
        <v>29000865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IFERROR(__xludf.DUMMYFUNCTION("""COMPUTED_VALUE"""),61.73)</f>
        <v>61.73</v>
      </c>
      <c r="D278" s="141">
        <f ca="1">IFERROR(__xludf.DUMMYFUNCTION("""COMPUTED_VALUE"""),62.7)</f>
        <v>62.7</v>
      </c>
      <c r="E278" s="141">
        <f ca="1">IFERROR(__xludf.DUMMYFUNCTION("""COMPUTED_VALUE"""),60.77)</f>
        <v>60.77</v>
      </c>
      <c r="F278" s="141">
        <f ca="1">IFERROR(__xludf.DUMMYFUNCTION("""COMPUTED_VALUE"""),61.07)</f>
        <v>61.07</v>
      </c>
      <c r="G278" s="143">
        <f ca="1">IFERROR(__xludf.DUMMYFUNCTION("""COMPUTED_VALUE"""),32406506)</f>
        <v>32406506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47" priority="5" operator="lessThan">
      <formula>0</formula>
    </cfRule>
    <cfRule type="cellIs" dxfId="46" priority="6" operator="greaterThan">
      <formula>0</formula>
    </cfRule>
  </conditionalFormatting>
  <conditionalFormatting sqref="F28:F1000">
    <cfRule type="expression" dxfId="45" priority="1">
      <formula>AND(F28=MAX(F$28:F$1000),F28&gt;0)</formula>
    </cfRule>
    <cfRule type="expression" dxfId="44" priority="2">
      <formula>AND(F28=MIN(F$28:F$1000),F28&gt;0)</formula>
    </cfRule>
  </conditionalFormatting>
  <conditionalFormatting sqref="F29:F1000">
    <cfRule type="expression" dxfId="43" priority="3">
      <formula>F29&gt;F27</formula>
    </cfRule>
    <cfRule type="expression" dxfId="42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200-000000000000}">
      <formula1>"1 Month,3 Months,6 Months,12 Months,36 Months"</formula1>
    </dataValidation>
  </dataValidations>
  <hyperlinks>
    <hyperlink ref="G2" r:id="rId1" xr:uid="{00000000-0004-0000-1200-000000000000}"/>
  </hyperlinks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91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Core US Aggregate Bond ETF")</f>
        <v>iShares Core US Aggregate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IFERROR(__xludf.DUMMYFUNCTION("GOOGLEFINANCE(B18,""price"")"),97.55)</f>
        <v>97.55</v>
      </c>
      <c r="C10" s="322"/>
      <c r="D10" s="100">
        <f ca="1">IFERROR(__xludf.DUMMYFUNCTION("IFERROR(GOOGLEFINANCE(B18,""change""),""-"")"),-0.37)</f>
        <v>-0.37</v>
      </c>
      <c r="E10" s="103">
        <f ca="1">IFERROR(__xludf.DUMMYFUNCTION("IFERROR(GOOGLEFINANCE(B18,""changepct"")/100,""-"")"),-0.0038)</f>
        <v>-3.8E-3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IFERROR(__xludf.DUMMYFUNCTION("IFERROR(GOOGLEFINANCE(B18,""marketcap""),""-"")"),57564256800)</f>
        <v>57564256800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AGG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IFERROR(__xludf.DUMMYFUNCTION("""COMPUTED_VALUE"""),98.67)</f>
        <v>98.67</v>
      </c>
      <c r="D28" s="141">
        <f ca="1">IFERROR(__xludf.DUMMYFUNCTION("""COMPUTED_VALUE"""),98.82)</f>
        <v>98.82</v>
      </c>
      <c r="E28" s="141">
        <f ca="1">IFERROR(__xludf.DUMMYFUNCTION("""COMPUTED_VALUE"""),98.52)</f>
        <v>98.52</v>
      </c>
      <c r="F28" s="141">
        <f ca="1">IFERROR(__xludf.DUMMYFUNCTION("""COMPUTED_VALUE"""),98.57)</f>
        <v>98.57</v>
      </c>
      <c r="G28" s="143">
        <f ca="1">IFERROR(__xludf.DUMMYFUNCTION("""COMPUTED_VALUE"""),8305360)</f>
        <v>8305360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IFERROR(__xludf.DUMMYFUNCTION("""COMPUTED_VALUE"""),98.72)</f>
        <v>98.72</v>
      </c>
      <c r="D29" s="141">
        <f ca="1">IFERROR(__xludf.DUMMYFUNCTION("""COMPUTED_VALUE"""),98.83)</f>
        <v>98.83</v>
      </c>
      <c r="E29" s="141">
        <f ca="1">IFERROR(__xludf.DUMMYFUNCTION("""COMPUTED_VALUE"""),98.57)</f>
        <v>98.57</v>
      </c>
      <c r="F29" s="141">
        <f ca="1">IFERROR(__xludf.DUMMYFUNCTION("""COMPUTED_VALUE"""),98.62)</f>
        <v>98.62</v>
      </c>
      <c r="G29" s="143">
        <f ca="1">IFERROR(__xludf.DUMMYFUNCTION("""COMPUTED_VALUE"""),19774718)</f>
        <v>19774718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IFERROR(__xludf.DUMMYFUNCTION("""COMPUTED_VALUE"""),98.87)</f>
        <v>98.87</v>
      </c>
      <c r="D30" s="141">
        <f ca="1">IFERROR(__xludf.DUMMYFUNCTION("""COMPUTED_VALUE"""),99.16)</f>
        <v>99.16</v>
      </c>
      <c r="E30" s="141">
        <f ca="1">IFERROR(__xludf.DUMMYFUNCTION("""COMPUTED_VALUE"""),98.85)</f>
        <v>98.85</v>
      </c>
      <c r="F30" s="141">
        <f ca="1">IFERROR(__xludf.DUMMYFUNCTION("""COMPUTED_VALUE"""),99.14)</f>
        <v>99.14</v>
      </c>
      <c r="G30" s="143">
        <f ca="1">IFERROR(__xludf.DUMMYFUNCTION("""COMPUTED_VALUE"""),12416285)</f>
        <v>12416285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IFERROR(__xludf.DUMMYFUNCTION("""COMPUTED_VALUE"""),99.16)</f>
        <v>99.16</v>
      </c>
      <c r="D31" s="141">
        <f ca="1">IFERROR(__xludf.DUMMYFUNCTION("""COMPUTED_VALUE"""),99.24)</f>
        <v>99.24</v>
      </c>
      <c r="E31" s="141">
        <f ca="1">IFERROR(__xludf.DUMMYFUNCTION("""COMPUTED_VALUE"""),99.03)</f>
        <v>99.03</v>
      </c>
      <c r="F31" s="141">
        <f ca="1">IFERROR(__xludf.DUMMYFUNCTION("""COMPUTED_VALUE"""),99.22)</f>
        <v>99.22</v>
      </c>
      <c r="G31" s="143">
        <f ca="1">IFERROR(__xludf.DUMMYFUNCTION("""COMPUTED_VALUE"""),6717955)</f>
        <v>6717955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IFERROR(__xludf.DUMMYFUNCTION("""COMPUTED_VALUE"""),99.13)</f>
        <v>99.13</v>
      </c>
      <c r="D32" s="141">
        <f ca="1">IFERROR(__xludf.DUMMYFUNCTION("""COMPUTED_VALUE"""),99.31)</f>
        <v>99.31</v>
      </c>
      <c r="E32" s="141">
        <f ca="1">IFERROR(__xludf.DUMMYFUNCTION("""COMPUTED_VALUE"""),99.11)</f>
        <v>99.11</v>
      </c>
      <c r="F32" s="141">
        <f ca="1">IFERROR(__xludf.DUMMYFUNCTION("""COMPUTED_VALUE"""),99.25)</f>
        <v>99.25</v>
      </c>
      <c r="G32" s="143">
        <f ca="1">IFERROR(__xludf.DUMMYFUNCTION("""COMPUTED_VALUE"""),9092372)</f>
        <v>9092372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IFERROR(__xludf.DUMMYFUNCTION("""COMPUTED_VALUE"""),99.14)</f>
        <v>99.14</v>
      </c>
      <c r="D33" s="141">
        <f ca="1">IFERROR(__xludf.DUMMYFUNCTION("""COMPUTED_VALUE"""),99.29)</f>
        <v>99.29</v>
      </c>
      <c r="E33" s="141">
        <f ca="1">IFERROR(__xludf.DUMMYFUNCTION("""COMPUTED_VALUE"""),98.84)</f>
        <v>98.84</v>
      </c>
      <c r="F33" s="141">
        <f ca="1">IFERROR(__xludf.DUMMYFUNCTION("""COMPUTED_VALUE"""),99.21)</f>
        <v>99.21</v>
      </c>
      <c r="G33" s="143">
        <f ca="1">IFERROR(__xludf.DUMMYFUNCTION("""COMPUTED_VALUE"""),8102718)</f>
        <v>8102718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IFERROR(__xludf.DUMMYFUNCTION("""COMPUTED_VALUE"""),99.23)</f>
        <v>99.23</v>
      </c>
      <c r="D34" s="141">
        <f ca="1">IFERROR(__xludf.DUMMYFUNCTION("""COMPUTED_VALUE"""),99.32)</f>
        <v>99.32</v>
      </c>
      <c r="E34" s="141">
        <f ca="1">IFERROR(__xludf.DUMMYFUNCTION("""COMPUTED_VALUE"""),99.09)</f>
        <v>99.09</v>
      </c>
      <c r="F34" s="141">
        <f ca="1">IFERROR(__xludf.DUMMYFUNCTION("""COMPUTED_VALUE"""),99.13)</f>
        <v>99.13</v>
      </c>
      <c r="G34" s="143">
        <f ca="1">IFERROR(__xludf.DUMMYFUNCTION("""COMPUTED_VALUE"""),7869348)</f>
        <v>7869348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IFERROR(__xludf.DUMMYFUNCTION("""COMPUTED_VALUE"""),99)</f>
        <v>99</v>
      </c>
      <c r="D35" s="141">
        <f ca="1">IFERROR(__xludf.DUMMYFUNCTION("""COMPUTED_VALUE"""),99.12)</f>
        <v>99.12</v>
      </c>
      <c r="E35" s="141">
        <f ca="1">IFERROR(__xludf.DUMMYFUNCTION("""COMPUTED_VALUE"""),98.89)</f>
        <v>98.89</v>
      </c>
      <c r="F35" s="141">
        <f ca="1">IFERROR(__xludf.DUMMYFUNCTION("""COMPUTED_VALUE"""),98.94)</f>
        <v>98.94</v>
      </c>
      <c r="G35" s="143">
        <f ca="1">IFERROR(__xludf.DUMMYFUNCTION("""COMPUTED_VALUE"""),8238131)</f>
        <v>8238131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IFERROR(__xludf.DUMMYFUNCTION("""COMPUTED_VALUE"""),99.01)</f>
        <v>99.01</v>
      </c>
      <c r="D36" s="141">
        <f ca="1">IFERROR(__xludf.DUMMYFUNCTION("""COMPUTED_VALUE"""),99.12)</f>
        <v>99.12</v>
      </c>
      <c r="E36" s="141">
        <f ca="1">IFERROR(__xludf.DUMMYFUNCTION("""COMPUTED_VALUE"""),98.94)</f>
        <v>98.94</v>
      </c>
      <c r="F36" s="141">
        <f ca="1">IFERROR(__xludf.DUMMYFUNCTION("""COMPUTED_VALUE"""),99.01)</f>
        <v>99.01</v>
      </c>
      <c r="G36" s="143">
        <f ca="1">IFERROR(__xludf.DUMMYFUNCTION("""COMPUTED_VALUE"""),9698278)</f>
        <v>9698278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IFERROR(__xludf.DUMMYFUNCTION("""COMPUTED_VALUE"""),98.91)</f>
        <v>98.91</v>
      </c>
      <c r="D37" s="141">
        <f ca="1">IFERROR(__xludf.DUMMYFUNCTION("""COMPUTED_VALUE"""),99.01)</f>
        <v>99.01</v>
      </c>
      <c r="E37" s="141">
        <f ca="1">IFERROR(__xludf.DUMMYFUNCTION("""COMPUTED_VALUE"""),98.8)</f>
        <v>98.8</v>
      </c>
      <c r="F37" s="141">
        <f ca="1">IFERROR(__xludf.DUMMYFUNCTION("""COMPUTED_VALUE"""),99.01)</f>
        <v>99.01</v>
      </c>
      <c r="G37" s="143">
        <f ca="1">IFERROR(__xludf.DUMMYFUNCTION("""COMPUTED_VALUE"""),12239542)</f>
        <v>12239542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IFERROR(__xludf.DUMMYFUNCTION("""COMPUTED_VALUE"""),99.28)</f>
        <v>99.28</v>
      </c>
      <c r="D38" s="141">
        <f ca="1">IFERROR(__xludf.DUMMYFUNCTION("""COMPUTED_VALUE"""),99.41)</f>
        <v>99.41</v>
      </c>
      <c r="E38" s="141">
        <f ca="1">IFERROR(__xludf.DUMMYFUNCTION("""COMPUTED_VALUE"""),99.26)</f>
        <v>99.26</v>
      </c>
      <c r="F38" s="141">
        <f ca="1">IFERROR(__xludf.DUMMYFUNCTION("""COMPUTED_VALUE"""),99.37)</f>
        <v>99.37</v>
      </c>
      <c r="G38" s="143">
        <f ca="1">IFERROR(__xludf.DUMMYFUNCTION("""COMPUTED_VALUE"""),5386916)</f>
        <v>5386916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IFERROR(__xludf.DUMMYFUNCTION("""COMPUTED_VALUE"""),99.18)</f>
        <v>99.18</v>
      </c>
      <c r="D39" s="141">
        <f ca="1">IFERROR(__xludf.DUMMYFUNCTION("""COMPUTED_VALUE"""),99.27)</f>
        <v>99.27</v>
      </c>
      <c r="E39" s="141">
        <f ca="1">IFERROR(__xludf.DUMMYFUNCTION("""COMPUTED_VALUE"""),99.02)</f>
        <v>99.02</v>
      </c>
      <c r="F39" s="141">
        <f ca="1">IFERROR(__xludf.DUMMYFUNCTION("""COMPUTED_VALUE"""),99.09)</f>
        <v>99.09</v>
      </c>
      <c r="G39" s="143">
        <f ca="1">IFERROR(__xludf.DUMMYFUNCTION("""COMPUTED_VALUE"""),5208674)</f>
        <v>5208674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IFERROR(__xludf.DUMMYFUNCTION("""COMPUTED_VALUE"""),99.07)</f>
        <v>99.07</v>
      </c>
      <c r="D40" s="141">
        <f ca="1">IFERROR(__xludf.DUMMYFUNCTION("""COMPUTED_VALUE"""),99.1)</f>
        <v>99.1</v>
      </c>
      <c r="E40" s="141">
        <f ca="1">IFERROR(__xludf.DUMMYFUNCTION("""COMPUTED_VALUE"""),98.87)</f>
        <v>98.87</v>
      </c>
      <c r="F40" s="141">
        <f ca="1">IFERROR(__xludf.DUMMYFUNCTION("""COMPUTED_VALUE"""),98.94)</f>
        <v>98.94</v>
      </c>
      <c r="G40" s="143">
        <f ca="1">IFERROR(__xludf.DUMMYFUNCTION("""COMPUTED_VALUE"""),6884785)</f>
        <v>6884785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IFERROR(__xludf.DUMMYFUNCTION("""COMPUTED_VALUE"""),99)</f>
        <v>99</v>
      </c>
      <c r="D41" s="141">
        <f ca="1">IFERROR(__xludf.DUMMYFUNCTION("""COMPUTED_VALUE"""),99)</f>
        <v>99</v>
      </c>
      <c r="E41" s="141">
        <f ca="1">IFERROR(__xludf.DUMMYFUNCTION("""COMPUTED_VALUE"""),98.75)</f>
        <v>98.75</v>
      </c>
      <c r="F41" s="141">
        <f ca="1">IFERROR(__xludf.DUMMYFUNCTION("""COMPUTED_VALUE"""),98.83)</f>
        <v>98.83</v>
      </c>
      <c r="G41" s="143">
        <f ca="1">IFERROR(__xludf.DUMMYFUNCTION("""COMPUTED_VALUE"""),7906363)</f>
        <v>7906363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IFERROR(__xludf.DUMMYFUNCTION("""COMPUTED_VALUE"""),98.94)</f>
        <v>98.94</v>
      </c>
      <c r="D42" s="141">
        <f ca="1">IFERROR(__xludf.DUMMYFUNCTION("""COMPUTED_VALUE"""),99.04)</f>
        <v>99.04</v>
      </c>
      <c r="E42" s="141">
        <f ca="1">IFERROR(__xludf.DUMMYFUNCTION("""COMPUTED_VALUE"""),98.91)</f>
        <v>98.91</v>
      </c>
      <c r="F42" s="141">
        <f ca="1">IFERROR(__xludf.DUMMYFUNCTION("""COMPUTED_VALUE"""),99.02)</f>
        <v>99.02</v>
      </c>
      <c r="G42" s="143">
        <f ca="1">IFERROR(__xludf.DUMMYFUNCTION("""COMPUTED_VALUE"""),9946958)</f>
        <v>9946958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IFERROR(__xludf.DUMMYFUNCTION("""COMPUTED_VALUE"""),98.99)</f>
        <v>98.99</v>
      </c>
      <c r="D43" s="141">
        <f ca="1">IFERROR(__xludf.DUMMYFUNCTION("""COMPUTED_VALUE"""),99.16)</f>
        <v>99.16</v>
      </c>
      <c r="E43" s="141">
        <f ca="1">IFERROR(__xludf.DUMMYFUNCTION("""COMPUTED_VALUE"""),98.98)</f>
        <v>98.98</v>
      </c>
      <c r="F43" s="141">
        <f ca="1">IFERROR(__xludf.DUMMYFUNCTION("""COMPUTED_VALUE"""),99.08)</f>
        <v>99.08</v>
      </c>
      <c r="G43" s="143">
        <f ca="1">IFERROR(__xludf.DUMMYFUNCTION("""COMPUTED_VALUE"""),5615239)</f>
        <v>5615239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IFERROR(__xludf.DUMMYFUNCTION("""COMPUTED_VALUE"""),98.96)</f>
        <v>98.96</v>
      </c>
      <c r="D44" s="141">
        <f ca="1">IFERROR(__xludf.DUMMYFUNCTION("""COMPUTED_VALUE"""),98.99)</f>
        <v>98.99</v>
      </c>
      <c r="E44" s="141">
        <f ca="1">IFERROR(__xludf.DUMMYFUNCTION("""COMPUTED_VALUE"""),98.73)</f>
        <v>98.73</v>
      </c>
      <c r="F44" s="141">
        <f ca="1">IFERROR(__xludf.DUMMYFUNCTION("""COMPUTED_VALUE"""),98.85)</f>
        <v>98.85</v>
      </c>
      <c r="G44" s="143">
        <f ca="1">IFERROR(__xludf.DUMMYFUNCTION("""COMPUTED_VALUE"""),7129167)</f>
        <v>7129167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IFERROR(__xludf.DUMMYFUNCTION("""COMPUTED_VALUE"""),99.03)</f>
        <v>99.03</v>
      </c>
      <c r="D45" s="141">
        <f ca="1">IFERROR(__xludf.DUMMYFUNCTION("""COMPUTED_VALUE"""),99.45)</f>
        <v>99.45</v>
      </c>
      <c r="E45" s="141">
        <f ca="1">IFERROR(__xludf.DUMMYFUNCTION("""COMPUTED_VALUE"""),99)</f>
        <v>99</v>
      </c>
      <c r="F45" s="141">
        <f ca="1">IFERROR(__xludf.DUMMYFUNCTION("""COMPUTED_VALUE"""),99.4)</f>
        <v>99.4</v>
      </c>
      <c r="G45" s="143">
        <f ca="1">IFERROR(__xludf.DUMMYFUNCTION("""COMPUTED_VALUE"""),9451448)</f>
        <v>9451448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IFERROR(__xludf.DUMMYFUNCTION("""COMPUTED_VALUE"""),99.21)</f>
        <v>99.21</v>
      </c>
      <c r="D46" s="141">
        <f ca="1">IFERROR(__xludf.DUMMYFUNCTION("""COMPUTED_VALUE"""),99.34)</f>
        <v>99.34</v>
      </c>
      <c r="E46" s="141">
        <f ca="1">IFERROR(__xludf.DUMMYFUNCTION("""COMPUTED_VALUE"""),99.16)</f>
        <v>99.16</v>
      </c>
      <c r="F46" s="141">
        <f ca="1">IFERROR(__xludf.DUMMYFUNCTION("""COMPUTED_VALUE"""),99.25)</f>
        <v>99.25</v>
      </c>
      <c r="G46" s="143">
        <f ca="1">IFERROR(__xludf.DUMMYFUNCTION("""COMPUTED_VALUE"""),5625046)</f>
        <v>5625046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IFERROR(__xludf.DUMMYFUNCTION("""COMPUTED_VALUE"""),99.24)</f>
        <v>99.24</v>
      </c>
      <c r="D47" s="141">
        <f ca="1">IFERROR(__xludf.DUMMYFUNCTION("""COMPUTED_VALUE"""),99.39)</f>
        <v>99.39</v>
      </c>
      <c r="E47" s="141">
        <f ca="1">IFERROR(__xludf.DUMMYFUNCTION("""COMPUTED_VALUE"""),99.16)</f>
        <v>99.16</v>
      </c>
      <c r="F47" s="141">
        <f ca="1">IFERROR(__xludf.DUMMYFUNCTION("""COMPUTED_VALUE"""),99.37)</f>
        <v>99.37</v>
      </c>
      <c r="G47" s="143">
        <f ca="1">IFERROR(__xludf.DUMMYFUNCTION("""COMPUTED_VALUE"""),4695983)</f>
        <v>4695983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IFERROR(__xludf.DUMMYFUNCTION("""COMPUTED_VALUE"""),99.22)</f>
        <v>99.22</v>
      </c>
      <c r="D48" s="141">
        <f ca="1">IFERROR(__xludf.DUMMYFUNCTION("""COMPUTED_VALUE"""),99.47)</f>
        <v>99.47</v>
      </c>
      <c r="E48" s="141">
        <f ca="1">IFERROR(__xludf.DUMMYFUNCTION("""COMPUTED_VALUE"""),99.17)</f>
        <v>99.17</v>
      </c>
      <c r="F48" s="141">
        <f ca="1">IFERROR(__xludf.DUMMYFUNCTION("""COMPUTED_VALUE"""),99.47)</f>
        <v>99.47</v>
      </c>
      <c r="G48" s="143">
        <f ca="1">IFERROR(__xludf.DUMMYFUNCTION("""COMPUTED_VALUE"""),7320773)</f>
        <v>7320773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IFERROR(__xludf.DUMMYFUNCTION("""COMPUTED_VALUE"""),99.43)</f>
        <v>99.43</v>
      </c>
      <c r="D49" s="141">
        <f ca="1">IFERROR(__xludf.DUMMYFUNCTION("""COMPUTED_VALUE"""),99.61)</f>
        <v>99.61</v>
      </c>
      <c r="E49" s="141">
        <f ca="1">IFERROR(__xludf.DUMMYFUNCTION("""COMPUTED_VALUE"""),99.41)</f>
        <v>99.41</v>
      </c>
      <c r="F49" s="141">
        <f ca="1">IFERROR(__xludf.DUMMYFUNCTION("""COMPUTED_VALUE"""),99.59)</f>
        <v>99.59</v>
      </c>
      <c r="G49" s="143">
        <f ca="1">IFERROR(__xludf.DUMMYFUNCTION("""COMPUTED_VALUE"""),7068538)</f>
        <v>7068538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IFERROR(__xludf.DUMMYFUNCTION("""COMPUTED_VALUE"""),99.47)</f>
        <v>99.47</v>
      </c>
      <c r="D50" s="141">
        <f ca="1">IFERROR(__xludf.DUMMYFUNCTION("""COMPUTED_VALUE"""),99.54)</f>
        <v>99.54</v>
      </c>
      <c r="E50" s="141">
        <f ca="1">IFERROR(__xludf.DUMMYFUNCTION("""COMPUTED_VALUE"""),99.4)</f>
        <v>99.4</v>
      </c>
      <c r="F50" s="141">
        <f ca="1">IFERROR(__xludf.DUMMYFUNCTION("""COMPUTED_VALUE"""),99.46)</f>
        <v>99.46</v>
      </c>
      <c r="G50" s="143">
        <f ca="1">IFERROR(__xludf.DUMMYFUNCTION("""COMPUTED_VALUE"""),9181441)</f>
        <v>9181441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IFERROR(__xludf.DUMMYFUNCTION("""COMPUTED_VALUE"""),98.82)</f>
        <v>98.82</v>
      </c>
      <c r="D51" s="141">
        <f ca="1">IFERROR(__xludf.DUMMYFUNCTION("""COMPUTED_VALUE"""),98.95)</f>
        <v>98.95</v>
      </c>
      <c r="E51" s="141">
        <f ca="1">IFERROR(__xludf.DUMMYFUNCTION("""COMPUTED_VALUE"""),98.79)</f>
        <v>98.79</v>
      </c>
      <c r="F51" s="141">
        <f ca="1">IFERROR(__xludf.DUMMYFUNCTION("""COMPUTED_VALUE"""),98.87)</f>
        <v>98.87</v>
      </c>
      <c r="G51" s="143">
        <f ca="1">IFERROR(__xludf.DUMMYFUNCTION("""COMPUTED_VALUE"""),8530146)</f>
        <v>8530146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IFERROR(__xludf.DUMMYFUNCTION("""COMPUTED_VALUE"""),98.95)</f>
        <v>98.95</v>
      </c>
      <c r="D52" s="141">
        <f ca="1">IFERROR(__xludf.DUMMYFUNCTION("""COMPUTED_VALUE"""),99.33)</f>
        <v>99.33</v>
      </c>
      <c r="E52" s="141">
        <f ca="1">IFERROR(__xludf.DUMMYFUNCTION("""COMPUTED_VALUE"""),98.95)</f>
        <v>98.95</v>
      </c>
      <c r="F52" s="141">
        <f ca="1">IFERROR(__xludf.DUMMYFUNCTION("""COMPUTED_VALUE"""),99.23)</f>
        <v>99.23</v>
      </c>
      <c r="G52" s="143">
        <f ca="1">IFERROR(__xludf.DUMMYFUNCTION("""COMPUTED_VALUE"""),8399985)</f>
        <v>8399985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IFERROR(__xludf.DUMMYFUNCTION("""COMPUTED_VALUE"""),99.44)</f>
        <v>99.44</v>
      </c>
      <c r="D53" s="141">
        <f ca="1">IFERROR(__xludf.DUMMYFUNCTION("""COMPUTED_VALUE"""),99.64)</f>
        <v>99.64</v>
      </c>
      <c r="E53" s="141">
        <f ca="1">IFERROR(__xludf.DUMMYFUNCTION("""COMPUTED_VALUE"""),99.34)</f>
        <v>99.34</v>
      </c>
      <c r="F53" s="141">
        <f ca="1">IFERROR(__xludf.DUMMYFUNCTION("""COMPUTED_VALUE"""),99.63)</f>
        <v>99.63</v>
      </c>
      <c r="G53" s="143">
        <f ca="1">IFERROR(__xludf.DUMMYFUNCTION("""COMPUTED_VALUE"""),6297263)</f>
        <v>6297263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IFERROR(__xludf.DUMMYFUNCTION("""COMPUTED_VALUE"""),100.14)</f>
        <v>100.14</v>
      </c>
      <c r="D54" s="141">
        <f ca="1">IFERROR(__xludf.DUMMYFUNCTION("""COMPUTED_VALUE"""),100.23)</f>
        <v>100.23</v>
      </c>
      <c r="E54" s="141">
        <f ca="1">IFERROR(__xludf.DUMMYFUNCTION("""COMPUTED_VALUE"""),100.08)</f>
        <v>100.08</v>
      </c>
      <c r="F54" s="141">
        <f ca="1">IFERROR(__xludf.DUMMYFUNCTION("""COMPUTED_VALUE"""),100.1)</f>
        <v>100.1</v>
      </c>
      <c r="G54" s="143">
        <f ca="1">IFERROR(__xludf.DUMMYFUNCTION("""COMPUTED_VALUE"""),7617276)</f>
        <v>7617276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IFERROR(__xludf.DUMMYFUNCTION("""COMPUTED_VALUE"""),100.33)</f>
        <v>100.33</v>
      </c>
      <c r="D55" s="141">
        <f ca="1">IFERROR(__xludf.DUMMYFUNCTION("""COMPUTED_VALUE"""),100.45)</f>
        <v>100.45</v>
      </c>
      <c r="E55" s="141">
        <f ca="1">IFERROR(__xludf.DUMMYFUNCTION("""COMPUTED_VALUE"""),100.3)</f>
        <v>100.3</v>
      </c>
      <c r="F55" s="141">
        <f ca="1">IFERROR(__xludf.DUMMYFUNCTION("""COMPUTED_VALUE"""),100.44)</f>
        <v>100.44</v>
      </c>
      <c r="G55" s="143">
        <f ca="1">IFERROR(__xludf.DUMMYFUNCTION("""COMPUTED_VALUE"""),7202666)</f>
        <v>7202666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IFERROR(__xludf.DUMMYFUNCTION("""COMPUTED_VALUE"""),100.38)</f>
        <v>100.38</v>
      </c>
      <c r="D56" s="141">
        <f ca="1">IFERROR(__xludf.DUMMYFUNCTION("""COMPUTED_VALUE"""),100.46)</f>
        <v>100.46</v>
      </c>
      <c r="E56" s="141">
        <f ca="1">IFERROR(__xludf.DUMMYFUNCTION("""COMPUTED_VALUE"""),100.16)</f>
        <v>100.16</v>
      </c>
      <c r="F56" s="141">
        <f ca="1">IFERROR(__xludf.DUMMYFUNCTION("""COMPUTED_VALUE"""),100.24)</f>
        <v>100.24</v>
      </c>
      <c r="G56" s="143">
        <f ca="1">IFERROR(__xludf.DUMMYFUNCTION("""COMPUTED_VALUE"""),7090107)</f>
        <v>7090107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IFERROR(__xludf.DUMMYFUNCTION("""COMPUTED_VALUE"""),100.41)</f>
        <v>100.41</v>
      </c>
      <c r="D57" s="141">
        <f ca="1">IFERROR(__xludf.DUMMYFUNCTION("""COMPUTED_VALUE"""),100.59)</f>
        <v>100.59</v>
      </c>
      <c r="E57" s="141">
        <f ca="1">IFERROR(__xludf.DUMMYFUNCTION("""COMPUTED_VALUE"""),100.34)</f>
        <v>100.34</v>
      </c>
      <c r="F57" s="141">
        <f ca="1">IFERROR(__xludf.DUMMYFUNCTION("""COMPUTED_VALUE"""),100.44)</f>
        <v>100.44</v>
      </c>
      <c r="G57" s="143">
        <f ca="1">IFERROR(__xludf.DUMMYFUNCTION("""COMPUTED_VALUE"""),5952390)</f>
        <v>5952390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IFERROR(__xludf.DUMMYFUNCTION("""COMPUTED_VALUE"""),100.55)</f>
        <v>100.55</v>
      </c>
      <c r="D58" s="141">
        <f ca="1">IFERROR(__xludf.DUMMYFUNCTION("""COMPUTED_VALUE"""),100.78)</f>
        <v>100.78</v>
      </c>
      <c r="E58" s="141">
        <f ca="1">IFERROR(__xludf.DUMMYFUNCTION("""COMPUTED_VALUE"""),100.53)</f>
        <v>100.53</v>
      </c>
      <c r="F58" s="141">
        <f ca="1">IFERROR(__xludf.DUMMYFUNCTION("""COMPUTED_VALUE"""),100.63)</f>
        <v>100.63</v>
      </c>
      <c r="G58" s="143">
        <f ca="1">IFERROR(__xludf.DUMMYFUNCTION("""COMPUTED_VALUE"""),6776518)</f>
        <v>6776518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IFERROR(__xludf.DUMMYFUNCTION("""COMPUTED_VALUE"""),100.48)</f>
        <v>100.48</v>
      </c>
      <c r="D59" s="141">
        <f ca="1">IFERROR(__xludf.DUMMYFUNCTION("""COMPUTED_VALUE"""),100.54)</f>
        <v>100.54</v>
      </c>
      <c r="E59" s="141">
        <f ca="1">IFERROR(__xludf.DUMMYFUNCTION("""COMPUTED_VALUE"""),100.34)</f>
        <v>100.34</v>
      </c>
      <c r="F59" s="141">
        <f ca="1">IFERROR(__xludf.DUMMYFUNCTION("""COMPUTED_VALUE"""),100.54)</f>
        <v>100.54</v>
      </c>
      <c r="G59" s="143">
        <f ca="1">IFERROR(__xludf.DUMMYFUNCTION("""COMPUTED_VALUE"""),6525926)</f>
        <v>6525926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IFERROR(__xludf.DUMMYFUNCTION("""COMPUTED_VALUE"""),100.67)</f>
        <v>100.67</v>
      </c>
      <c r="D60" s="141">
        <f ca="1">IFERROR(__xludf.DUMMYFUNCTION("""COMPUTED_VALUE"""),100.74)</f>
        <v>100.74</v>
      </c>
      <c r="E60" s="141">
        <f ca="1">IFERROR(__xludf.DUMMYFUNCTION("""COMPUTED_VALUE"""),100.62)</f>
        <v>100.62</v>
      </c>
      <c r="F60" s="141">
        <f ca="1">IFERROR(__xludf.DUMMYFUNCTION("""COMPUTED_VALUE"""),100.71)</f>
        <v>100.71</v>
      </c>
      <c r="G60" s="143">
        <f ca="1">IFERROR(__xludf.DUMMYFUNCTION("""COMPUTED_VALUE"""),5038980)</f>
        <v>5038980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IFERROR(__xludf.DUMMYFUNCTION("""COMPUTED_VALUE"""),100.75)</f>
        <v>100.75</v>
      </c>
      <c r="D61" s="141">
        <f ca="1">IFERROR(__xludf.DUMMYFUNCTION("""COMPUTED_VALUE"""),100.97)</f>
        <v>100.97</v>
      </c>
      <c r="E61" s="141">
        <f ca="1">IFERROR(__xludf.DUMMYFUNCTION("""COMPUTED_VALUE"""),100.65)</f>
        <v>100.65</v>
      </c>
      <c r="F61" s="141">
        <f ca="1">IFERROR(__xludf.DUMMYFUNCTION("""COMPUTED_VALUE"""),100.75)</f>
        <v>100.75</v>
      </c>
      <c r="G61" s="143">
        <f ca="1">IFERROR(__xludf.DUMMYFUNCTION("""COMPUTED_VALUE"""),8264633)</f>
        <v>8264633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IFERROR(__xludf.DUMMYFUNCTION("""COMPUTED_VALUE"""),100.87)</f>
        <v>100.87</v>
      </c>
      <c r="D62" s="141">
        <f ca="1">IFERROR(__xludf.DUMMYFUNCTION("""COMPUTED_VALUE"""),101.02)</f>
        <v>101.02</v>
      </c>
      <c r="E62" s="141">
        <f ca="1">IFERROR(__xludf.DUMMYFUNCTION("""COMPUTED_VALUE"""),100.49)</f>
        <v>100.49</v>
      </c>
      <c r="F62" s="141">
        <f ca="1">IFERROR(__xludf.DUMMYFUNCTION("""COMPUTED_VALUE"""),100.57)</f>
        <v>100.57</v>
      </c>
      <c r="G62" s="143">
        <f ca="1">IFERROR(__xludf.DUMMYFUNCTION("""COMPUTED_VALUE"""),7878394)</f>
        <v>7878394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IFERROR(__xludf.DUMMYFUNCTION("""COMPUTED_VALUE"""),100.27)</f>
        <v>100.27</v>
      </c>
      <c r="D63" s="141">
        <f ca="1">IFERROR(__xludf.DUMMYFUNCTION("""COMPUTED_VALUE"""),100.41)</f>
        <v>100.41</v>
      </c>
      <c r="E63" s="141">
        <f ca="1">IFERROR(__xludf.DUMMYFUNCTION("""COMPUTED_VALUE"""),100.16)</f>
        <v>100.16</v>
      </c>
      <c r="F63" s="141">
        <f ca="1">IFERROR(__xludf.DUMMYFUNCTION("""COMPUTED_VALUE"""),100.29)</f>
        <v>100.29</v>
      </c>
      <c r="G63" s="143">
        <f ca="1">IFERROR(__xludf.DUMMYFUNCTION("""COMPUTED_VALUE"""),7123780)</f>
        <v>7123780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IFERROR(__xludf.DUMMYFUNCTION("""COMPUTED_VALUE"""),100.3)</f>
        <v>100.3</v>
      </c>
      <c r="D64" s="141">
        <f ca="1">IFERROR(__xludf.DUMMYFUNCTION("""COMPUTED_VALUE"""),100.36)</f>
        <v>100.36</v>
      </c>
      <c r="E64" s="141">
        <f ca="1">IFERROR(__xludf.DUMMYFUNCTION("""COMPUTED_VALUE"""),100.21)</f>
        <v>100.21</v>
      </c>
      <c r="F64" s="141">
        <f ca="1">IFERROR(__xludf.DUMMYFUNCTION("""COMPUTED_VALUE"""),100.29)</f>
        <v>100.29</v>
      </c>
      <c r="G64" s="143">
        <f ca="1">IFERROR(__xludf.DUMMYFUNCTION("""COMPUTED_VALUE"""),7238582)</f>
        <v>7238582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IFERROR(__xludf.DUMMYFUNCTION("""COMPUTED_VALUE"""),100.26)</f>
        <v>100.26</v>
      </c>
      <c r="D65" s="141">
        <f ca="1">IFERROR(__xludf.DUMMYFUNCTION("""COMPUTED_VALUE"""),100.29)</f>
        <v>100.29</v>
      </c>
      <c r="E65" s="141">
        <f ca="1">IFERROR(__xludf.DUMMYFUNCTION("""COMPUTED_VALUE"""),100.12)</f>
        <v>100.12</v>
      </c>
      <c r="F65" s="141">
        <f ca="1">IFERROR(__xludf.DUMMYFUNCTION("""COMPUTED_VALUE"""),100.17)</f>
        <v>100.17</v>
      </c>
      <c r="G65" s="143">
        <f ca="1">IFERROR(__xludf.DUMMYFUNCTION("""COMPUTED_VALUE"""),5642221)</f>
        <v>5642221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IFERROR(__xludf.DUMMYFUNCTION("""COMPUTED_VALUE"""),100.24)</f>
        <v>100.24</v>
      </c>
      <c r="D66" s="141">
        <f ca="1">IFERROR(__xludf.DUMMYFUNCTION("""COMPUTED_VALUE"""),100.36)</f>
        <v>100.36</v>
      </c>
      <c r="E66" s="141">
        <f ca="1">IFERROR(__xludf.DUMMYFUNCTION("""COMPUTED_VALUE"""),100.16)</f>
        <v>100.16</v>
      </c>
      <c r="F66" s="141">
        <f ca="1">IFERROR(__xludf.DUMMYFUNCTION("""COMPUTED_VALUE"""),100.33)</f>
        <v>100.33</v>
      </c>
      <c r="G66" s="143">
        <f ca="1">IFERROR(__xludf.DUMMYFUNCTION("""COMPUTED_VALUE"""),8095806)</f>
        <v>8095806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IFERROR(__xludf.DUMMYFUNCTION("""COMPUTED_VALUE"""),100.24)</f>
        <v>100.24</v>
      </c>
      <c r="D67" s="141">
        <f ca="1">IFERROR(__xludf.DUMMYFUNCTION("""COMPUTED_VALUE"""),100.36)</f>
        <v>100.36</v>
      </c>
      <c r="E67" s="141">
        <f ca="1">IFERROR(__xludf.DUMMYFUNCTION("""COMPUTED_VALUE"""),100.16)</f>
        <v>100.16</v>
      </c>
      <c r="F67" s="141">
        <f ca="1">IFERROR(__xludf.DUMMYFUNCTION("""COMPUTED_VALUE"""),100.33)</f>
        <v>100.33</v>
      </c>
      <c r="G67" s="143">
        <f ca="1">IFERROR(__xludf.DUMMYFUNCTION("""COMPUTED_VALUE"""),78104)</f>
        <v>78104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IFERROR(__xludf.DUMMYFUNCTION("""COMPUTED_VALUE"""),100)</f>
        <v>100</v>
      </c>
      <c r="D68" s="141">
        <f ca="1">IFERROR(__xludf.DUMMYFUNCTION("""COMPUTED_VALUE"""),100.06)</f>
        <v>100.06</v>
      </c>
      <c r="E68" s="141">
        <f ca="1">IFERROR(__xludf.DUMMYFUNCTION("""COMPUTED_VALUE"""),99.85)</f>
        <v>99.85</v>
      </c>
      <c r="F68" s="141">
        <f ca="1">IFERROR(__xludf.DUMMYFUNCTION("""COMPUTED_VALUE"""),100)</f>
        <v>100</v>
      </c>
      <c r="G68" s="143">
        <f ca="1">IFERROR(__xludf.DUMMYFUNCTION("""COMPUTED_VALUE"""),8743587)</f>
        <v>8743587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IFERROR(__xludf.DUMMYFUNCTION("""COMPUTED_VALUE"""),100.09)</f>
        <v>100.09</v>
      </c>
      <c r="D69" s="141">
        <f ca="1">IFERROR(__xludf.DUMMYFUNCTION("""COMPUTED_VALUE"""),100.21)</f>
        <v>100.21</v>
      </c>
      <c r="E69" s="141">
        <f ca="1">IFERROR(__xludf.DUMMYFUNCTION("""COMPUTED_VALUE"""),99.97)</f>
        <v>99.97</v>
      </c>
      <c r="F69" s="141">
        <f ca="1">IFERROR(__xludf.DUMMYFUNCTION("""COMPUTED_VALUE"""),100.07)</f>
        <v>100.07</v>
      </c>
      <c r="G69" s="143">
        <f ca="1">IFERROR(__xludf.DUMMYFUNCTION("""COMPUTED_VALUE"""),6868258)</f>
        <v>6868258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IFERROR(__xludf.DUMMYFUNCTION("""COMPUTED_VALUE"""),100.18)</f>
        <v>100.18</v>
      </c>
      <c r="D70" s="141">
        <f ca="1">IFERROR(__xludf.DUMMYFUNCTION("""COMPUTED_VALUE"""),100.33)</f>
        <v>100.33</v>
      </c>
      <c r="E70" s="141">
        <f ca="1">IFERROR(__xludf.DUMMYFUNCTION("""COMPUTED_VALUE"""),100.14)</f>
        <v>100.14</v>
      </c>
      <c r="F70" s="141">
        <f ca="1">IFERROR(__xludf.DUMMYFUNCTION("""COMPUTED_VALUE"""),100.26)</f>
        <v>100.26</v>
      </c>
      <c r="G70" s="143">
        <f ca="1">IFERROR(__xludf.DUMMYFUNCTION("""COMPUTED_VALUE"""),7751896)</f>
        <v>7751896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IFERROR(__xludf.DUMMYFUNCTION("""COMPUTED_VALUE"""),100.33)</f>
        <v>100.33</v>
      </c>
      <c r="D71" s="141">
        <f ca="1">IFERROR(__xludf.DUMMYFUNCTION("""COMPUTED_VALUE"""),100.49)</f>
        <v>100.49</v>
      </c>
      <c r="E71" s="141">
        <f ca="1">IFERROR(__xludf.DUMMYFUNCTION("""COMPUTED_VALUE"""),100.2)</f>
        <v>100.2</v>
      </c>
      <c r="F71" s="141">
        <f ca="1">IFERROR(__xludf.DUMMYFUNCTION("""COMPUTED_VALUE"""),100.25)</f>
        <v>100.25</v>
      </c>
      <c r="G71" s="143">
        <f ca="1">IFERROR(__xludf.DUMMYFUNCTION("""COMPUTED_VALUE"""),12400667)</f>
        <v>12400667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IFERROR(__xludf.DUMMYFUNCTION("""COMPUTED_VALUE"""),100.18)</f>
        <v>100.18</v>
      </c>
      <c r="D72" s="141">
        <f ca="1">IFERROR(__xludf.DUMMYFUNCTION("""COMPUTED_VALUE"""),100.26)</f>
        <v>100.26</v>
      </c>
      <c r="E72" s="141">
        <f ca="1">IFERROR(__xludf.DUMMYFUNCTION("""COMPUTED_VALUE"""),100.03)</f>
        <v>100.03</v>
      </c>
      <c r="F72" s="141">
        <f ca="1">IFERROR(__xludf.DUMMYFUNCTION("""COMPUTED_VALUE"""),100.18)</f>
        <v>100.18</v>
      </c>
      <c r="G72" s="143">
        <f ca="1">IFERROR(__xludf.DUMMYFUNCTION("""COMPUTED_VALUE"""),6961327)</f>
        <v>6961327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IFERROR(__xludf.DUMMYFUNCTION("""COMPUTED_VALUE"""),100.14)</f>
        <v>100.14</v>
      </c>
      <c r="D73" s="141">
        <f ca="1">IFERROR(__xludf.DUMMYFUNCTION("""COMPUTED_VALUE"""),100.32)</f>
        <v>100.32</v>
      </c>
      <c r="E73" s="141">
        <f ca="1">IFERROR(__xludf.DUMMYFUNCTION("""COMPUTED_VALUE"""),100.1)</f>
        <v>100.1</v>
      </c>
      <c r="F73" s="141">
        <f ca="1">IFERROR(__xludf.DUMMYFUNCTION("""COMPUTED_VALUE"""),100.29)</f>
        <v>100.29</v>
      </c>
      <c r="G73" s="143">
        <f ca="1">IFERROR(__xludf.DUMMYFUNCTION("""COMPUTED_VALUE"""),6055896)</f>
        <v>6055896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IFERROR(__xludf.DUMMYFUNCTION("""COMPUTED_VALUE"""),100.32)</f>
        <v>100.32</v>
      </c>
      <c r="D74" s="141">
        <f ca="1">IFERROR(__xludf.DUMMYFUNCTION("""COMPUTED_VALUE"""),100.38)</f>
        <v>100.38</v>
      </c>
      <c r="E74" s="141">
        <f ca="1">IFERROR(__xludf.DUMMYFUNCTION("""COMPUTED_VALUE"""),100.16)</f>
        <v>100.16</v>
      </c>
      <c r="F74" s="141">
        <f ca="1">IFERROR(__xludf.DUMMYFUNCTION("""COMPUTED_VALUE"""),100.18)</f>
        <v>100.18</v>
      </c>
      <c r="G74" s="143">
        <f ca="1">IFERROR(__xludf.DUMMYFUNCTION("""COMPUTED_VALUE"""),5268682)</f>
        <v>5268682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IFERROR(__xludf.DUMMYFUNCTION("""COMPUTED_VALUE"""),100)</f>
        <v>100</v>
      </c>
      <c r="D75" s="141">
        <f ca="1">IFERROR(__xludf.DUMMYFUNCTION("""COMPUTED_VALUE"""),100.15)</f>
        <v>100.15</v>
      </c>
      <c r="E75" s="141">
        <f ca="1">IFERROR(__xludf.DUMMYFUNCTION("""COMPUTED_VALUE"""),99.95)</f>
        <v>99.95</v>
      </c>
      <c r="F75" s="141">
        <f ca="1">IFERROR(__xludf.DUMMYFUNCTION("""COMPUTED_VALUE"""),99.96)</f>
        <v>99.96</v>
      </c>
      <c r="G75" s="143">
        <f ca="1">IFERROR(__xludf.DUMMYFUNCTION("""COMPUTED_VALUE"""),6950292)</f>
        <v>6950292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IFERROR(__xludf.DUMMYFUNCTION("""COMPUTED_VALUE"""),100.08)</f>
        <v>100.08</v>
      </c>
      <c r="D76" s="141">
        <f ca="1">IFERROR(__xludf.DUMMYFUNCTION("""COMPUTED_VALUE"""),100.23)</f>
        <v>100.23</v>
      </c>
      <c r="E76" s="141">
        <f ca="1">IFERROR(__xludf.DUMMYFUNCTION("""COMPUTED_VALUE"""),100.02)</f>
        <v>100.02</v>
      </c>
      <c r="F76" s="141">
        <f ca="1">IFERROR(__xludf.DUMMYFUNCTION("""COMPUTED_VALUE"""),100.13)</f>
        <v>100.13</v>
      </c>
      <c r="G76" s="143">
        <f ca="1">IFERROR(__xludf.DUMMYFUNCTION("""COMPUTED_VALUE"""),6379424)</f>
        <v>6379424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IFERROR(__xludf.DUMMYFUNCTION("""COMPUTED_VALUE"""),100.31)</f>
        <v>100.31</v>
      </c>
      <c r="D77" s="141">
        <f ca="1">IFERROR(__xludf.DUMMYFUNCTION("""COMPUTED_VALUE"""),100.33)</f>
        <v>100.33</v>
      </c>
      <c r="E77" s="141">
        <f ca="1">IFERROR(__xludf.DUMMYFUNCTION("""COMPUTED_VALUE"""),100.11)</f>
        <v>100.11</v>
      </c>
      <c r="F77" s="141">
        <f ca="1">IFERROR(__xludf.DUMMYFUNCTION("""COMPUTED_VALUE"""),100.14)</f>
        <v>100.14</v>
      </c>
      <c r="G77" s="143">
        <f ca="1">IFERROR(__xludf.DUMMYFUNCTION("""COMPUTED_VALUE"""),5726913)</f>
        <v>5726913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IFERROR(__xludf.DUMMYFUNCTION("""COMPUTED_VALUE"""),100.08)</f>
        <v>100.08</v>
      </c>
      <c r="D78" s="141">
        <f ca="1">IFERROR(__xludf.DUMMYFUNCTION("""COMPUTED_VALUE"""),100.1)</f>
        <v>100.1</v>
      </c>
      <c r="E78" s="141">
        <f ca="1">IFERROR(__xludf.DUMMYFUNCTION("""COMPUTED_VALUE"""),100)</f>
        <v>100</v>
      </c>
      <c r="F78" s="141">
        <f ca="1">IFERROR(__xludf.DUMMYFUNCTION("""COMPUTED_VALUE"""),100.02)</f>
        <v>100.02</v>
      </c>
      <c r="G78" s="143">
        <f ca="1">IFERROR(__xludf.DUMMYFUNCTION("""COMPUTED_VALUE"""),5199511)</f>
        <v>5199511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IFERROR(__xludf.DUMMYFUNCTION("""COMPUTED_VALUE"""),100.36)</f>
        <v>100.36</v>
      </c>
      <c r="D79" s="141">
        <f ca="1">IFERROR(__xludf.DUMMYFUNCTION("""COMPUTED_VALUE"""),100.54)</f>
        <v>100.54</v>
      </c>
      <c r="E79" s="141">
        <f ca="1">IFERROR(__xludf.DUMMYFUNCTION("""COMPUTED_VALUE"""),100.25)</f>
        <v>100.25</v>
      </c>
      <c r="F79" s="141">
        <f ca="1">IFERROR(__xludf.DUMMYFUNCTION("""COMPUTED_VALUE"""),100.43)</f>
        <v>100.43</v>
      </c>
      <c r="G79" s="143">
        <f ca="1">IFERROR(__xludf.DUMMYFUNCTION("""COMPUTED_VALUE"""),10204147)</f>
        <v>10204147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IFERROR(__xludf.DUMMYFUNCTION("""COMPUTED_VALUE"""),100.46)</f>
        <v>100.46</v>
      </c>
      <c r="D80" s="141">
        <f ca="1">IFERROR(__xludf.DUMMYFUNCTION("""COMPUTED_VALUE"""),100.63)</f>
        <v>100.63</v>
      </c>
      <c r="E80" s="141">
        <f ca="1">IFERROR(__xludf.DUMMYFUNCTION("""COMPUTED_VALUE"""),100.36)</f>
        <v>100.36</v>
      </c>
      <c r="F80" s="141">
        <f ca="1">IFERROR(__xludf.DUMMYFUNCTION("""COMPUTED_VALUE"""),100.62)</f>
        <v>100.62</v>
      </c>
      <c r="G80" s="143">
        <f ca="1">IFERROR(__xludf.DUMMYFUNCTION("""COMPUTED_VALUE"""),8320524)</f>
        <v>8320524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IFERROR(__xludf.DUMMYFUNCTION("""COMPUTED_VALUE"""),100.57)</f>
        <v>100.57</v>
      </c>
      <c r="D81" s="141">
        <f ca="1">IFERROR(__xludf.DUMMYFUNCTION("""COMPUTED_VALUE"""),100.79)</f>
        <v>100.79</v>
      </c>
      <c r="E81" s="141">
        <f ca="1">IFERROR(__xludf.DUMMYFUNCTION("""COMPUTED_VALUE"""),100.53)</f>
        <v>100.53</v>
      </c>
      <c r="F81" s="141">
        <f ca="1">IFERROR(__xludf.DUMMYFUNCTION("""COMPUTED_VALUE"""),100.78)</f>
        <v>100.78</v>
      </c>
      <c r="G81" s="143">
        <f ca="1">IFERROR(__xludf.DUMMYFUNCTION("""COMPUTED_VALUE"""),8508742)</f>
        <v>8508742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IFERROR(__xludf.DUMMYFUNCTION("""COMPUTED_VALUE"""),100.82)</f>
        <v>100.82</v>
      </c>
      <c r="D82" s="141">
        <f ca="1">IFERROR(__xludf.DUMMYFUNCTION("""COMPUTED_VALUE"""),100.93)</f>
        <v>100.93</v>
      </c>
      <c r="E82" s="141">
        <f ca="1">IFERROR(__xludf.DUMMYFUNCTION("""COMPUTED_VALUE"""),100.65)</f>
        <v>100.65</v>
      </c>
      <c r="F82" s="141">
        <f ca="1">IFERROR(__xludf.DUMMYFUNCTION("""COMPUTED_VALUE"""),100.74)</f>
        <v>100.74</v>
      </c>
      <c r="G82" s="143">
        <f ca="1">IFERROR(__xludf.DUMMYFUNCTION("""COMPUTED_VALUE"""),6297053)</f>
        <v>6297053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IFERROR(__xludf.DUMMYFUNCTION("""COMPUTED_VALUE"""),100.69)</f>
        <v>100.69</v>
      </c>
      <c r="D83" s="141">
        <f ca="1">IFERROR(__xludf.DUMMYFUNCTION("""COMPUTED_VALUE"""),101.11)</f>
        <v>101.11</v>
      </c>
      <c r="E83" s="141">
        <f ca="1">IFERROR(__xludf.DUMMYFUNCTION("""COMPUTED_VALUE"""),100.67)</f>
        <v>100.67</v>
      </c>
      <c r="F83" s="141">
        <f ca="1">IFERROR(__xludf.DUMMYFUNCTION("""COMPUTED_VALUE"""),101.1)</f>
        <v>101.1</v>
      </c>
      <c r="G83" s="143">
        <f ca="1">IFERROR(__xludf.DUMMYFUNCTION("""COMPUTED_VALUE"""),10035366)</f>
        <v>10035366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IFERROR(__xludf.DUMMYFUNCTION("""COMPUTED_VALUE"""),101.01)</f>
        <v>101.01</v>
      </c>
      <c r="D84" s="141">
        <f ca="1">IFERROR(__xludf.DUMMYFUNCTION("""COMPUTED_VALUE"""),101.01)</f>
        <v>101.01</v>
      </c>
      <c r="E84" s="141">
        <f ca="1">IFERROR(__xludf.DUMMYFUNCTION("""COMPUTED_VALUE"""),100.86)</f>
        <v>100.86</v>
      </c>
      <c r="F84" s="141">
        <f ca="1">IFERROR(__xludf.DUMMYFUNCTION("""COMPUTED_VALUE"""),100.96)</f>
        <v>100.96</v>
      </c>
      <c r="G84" s="143">
        <f ca="1">IFERROR(__xludf.DUMMYFUNCTION("""COMPUTED_VALUE"""),11738939)</f>
        <v>11738939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IFERROR(__xludf.DUMMYFUNCTION("""COMPUTED_VALUE"""),101.07)</f>
        <v>101.07</v>
      </c>
      <c r="D85" s="141">
        <f ca="1">IFERROR(__xludf.DUMMYFUNCTION("""COMPUTED_VALUE"""),101.13)</f>
        <v>101.13</v>
      </c>
      <c r="E85" s="141">
        <f ca="1">IFERROR(__xludf.DUMMYFUNCTION("""COMPUTED_VALUE"""),101.02)</f>
        <v>101.02</v>
      </c>
      <c r="F85" s="141">
        <f ca="1">IFERROR(__xludf.DUMMYFUNCTION("""COMPUTED_VALUE"""),101.13)</f>
        <v>101.13</v>
      </c>
      <c r="G85" s="143">
        <f ca="1">IFERROR(__xludf.DUMMYFUNCTION("""COMPUTED_VALUE"""),7299173)</f>
        <v>7299173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IFERROR(__xludf.DUMMYFUNCTION("""COMPUTED_VALUE"""),101.27)</f>
        <v>101.27</v>
      </c>
      <c r="D86" s="141">
        <f ca="1">IFERROR(__xludf.DUMMYFUNCTION("""COMPUTED_VALUE"""),101.35)</f>
        <v>101.35</v>
      </c>
      <c r="E86" s="141">
        <f ca="1">IFERROR(__xludf.DUMMYFUNCTION("""COMPUTED_VALUE"""),101.2)</f>
        <v>101.2</v>
      </c>
      <c r="F86" s="141">
        <f ca="1">IFERROR(__xludf.DUMMYFUNCTION("""COMPUTED_VALUE"""),101.23)</f>
        <v>101.23</v>
      </c>
      <c r="G86" s="143">
        <f ca="1">IFERROR(__xludf.DUMMYFUNCTION("""COMPUTED_VALUE"""),12966016)</f>
        <v>12966016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IFERROR(__xludf.DUMMYFUNCTION("""COMPUTED_VALUE"""),101.16)</f>
        <v>101.16</v>
      </c>
      <c r="D87" s="141">
        <f ca="1">IFERROR(__xludf.DUMMYFUNCTION("""COMPUTED_VALUE"""),101.24)</f>
        <v>101.24</v>
      </c>
      <c r="E87" s="141">
        <f ca="1">IFERROR(__xludf.DUMMYFUNCTION("""COMPUTED_VALUE"""),101.09)</f>
        <v>101.09</v>
      </c>
      <c r="F87" s="141">
        <f ca="1">IFERROR(__xludf.DUMMYFUNCTION("""COMPUTED_VALUE"""),101.22)</f>
        <v>101.22</v>
      </c>
      <c r="G87" s="143">
        <f ca="1">IFERROR(__xludf.DUMMYFUNCTION("""COMPUTED_VALUE"""),13263181)</f>
        <v>13263181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IFERROR(__xludf.DUMMYFUNCTION("""COMPUTED_VALUE"""),101.11)</f>
        <v>101.11</v>
      </c>
      <c r="D88" s="141">
        <f ca="1">IFERROR(__xludf.DUMMYFUNCTION("""COMPUTED_VALUE"""),101.17)</f>
        <v>101.17</v>
      </c>
      <c r="E88" s="141">
        <f ca="1">IFERROR(__xludf.DUMMYFUNCTION("""COMPUTED_VALUE"""),101.01)</f>
        <v>101.01</v>
      </c>
      <c r="F88" s="141">
        <f ca="1">IFERROR(__xludf.DUMMYFUNCTION("""COMPUTED_VALUE"""),101.04)</f>
        <v>101.04</v>
      </c>
      <c r="G88" s="143">
        <f ca="1">IFERROR(__xludf.DUMMYFUNCTION("""COMPUTED_VALUE"""),9975319)</f>
        <v>9975319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IFERROR(__xludf.DUMMYFUNCTION("""COMPUTED_VALUE"""),101.17)</f>
        <v>101.17</v>
      </c>
      <c r="D89" s="141">
        <f ca="1">IFERROR(__xludf.DUMMYFUNCTION("""COMPUTED_VALUE"""),101.2)</f>
        <v>101.2</v>
      </c>
      <c r="E89" s="141">
        <f ca="1">IFERROR(__xludf.DUMMYFUNCTION("""COMPUTED_VALUE"""),101.02)</f>
        <v>101.02</v>
      </c>
      <c r="F89" s="141">
        <f ca="1">IFERROR(__xludf.DUMMYFUNCTION("""COMPUTED_VALUE"""),101.14)</f>
        <v>101.14</v>
      </c>
      <c r="G89" s="143">
        <f ca="1">IFERROR(__xludf.DUMMYFUNCTION("""COMPUTED_VALUE"""),6544551)</f>
        <v>6544551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IFERROR(__xludf.DUMMYFUNCTION("""COMPUTED_VALUE"""),101.08)</f>
        <v>101.08</v>
      </c>
      <c r="D90" s="141">
        <f ca="1">IFERROR(__xludf.DUMMYFUNCTION("""COMPUTED_VALUE"""),101.21)</f>
        <v>101.21</v>
      </c>
      <c r="E90" s="141">
        <f ca="1">IFERROR(__xludf.DUMMYFUNCTION("""COMPUTED_VALUE"""),100.97)</f>
        <v>100.97</v>
      </c>
      <c r="F90" s="141">
        <f ca="1">IFERROR(__xludf.DUMMYFUNCTION("""COMPUTED_VALUE"""),101.21)</f>
        <v>101.21</v>
      </c>
      <c r="G90" s="143">
        <f ca="1">IFERROR(__xludf.DUMMYFUNCTION("""COMPUTED_VALUE"""),8527970)</f>
        <v>8527970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IFERROR(__xludf.DUMMYFUNCTION("""COMPUTED_VALUE"""),101.19)</f>
        <v>101.19</v>
      </c>
      <c r="D91" s="141">
        <f ca="1">IFERROR(__xludf.DUMMYFUNCTION("""COMPUTED_VALUE"""),101.3)</f>
        <v>101.3</v>
      </c>
      <c r="E91" s="141">
        <f ca="1">IFERROR(__xludf.DUMMYFUNCTION("""COMPUTED_VALUE"""),101.14)</f>
        <v>101.14</v>
      </c>
      <c r="F91" s="141">
        <f ca="1">IFERROR(__xludf.DUMMYFUNCTION("""COMPUTED_VALUE"""),101.27)</f>
        <v>101.27</v>
      </c>
      <c r="G91" s="143">
        <f ca="1">IFERROR(__xludf.DUMMYFUNCTION("""COMPUTED_VALUE"""),10300923)</f>
        <v>10300923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IFERROR(__xludf.DUMMYFUNCTION("""COMPUTED_VALUE"""),101.25)</f>
        <v>101.25</v>
      </c>
      <c r="D92" s="141">
        <f ca="1">IFERROR(__xludf.DUMMYFUNCTION("""COMPUTED_VALUE"""),101.25)</f>
        <v>101.25</v>
      </c>
      <c r="E92" s="141">
        <f ca="1">IFERROR(__xludf.DUMMYFUNCTION("""COMPUTED_VALUE"""),100.76)</f>
        <v>100.76</v>
      </c>
      <c r="F92" s="141">
        <f ca="1">IFERROR(__xludf.DUMMYFUNCTION("""COMPUTED_VALUE"""),100.79)</f>
        <v>100.79</v>
      </c>
      <c r="G92" s="143">
        <f ca="1">IFERROR(__xludf.DUMMYFUNCTION("""COMPUTED_VALUE"""),9275654)</f>
        <v>9275654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IFERROR(__xludf.DUMMYFUNCTION("""COMPUTED_VALUE"""),100.48)</f>
        <v>100.48</v>
      </c>
      <c r="D93" s="141">
        <f ca="1">IFERROR(__xludf.DUMMYFUNCTION("""COMPUTED_VALUE"""),100.76)</f>
        <v>100.76</v>
      </c>
      <c r="E93" s="141">
        <f ca="1">IFERROR(__xludf.DUMMYFUNCTION("""COMPUTED_VALUE"""),100.46)</f>
        <v>100.46</v>
      </c>
      <c r="F93" s="141">
        <f ca="1">IFERROR(__xludf.DUMMYFUNCTION("""COMPUTED_VALUE"""),100.6)</f>
        <v>100.6</v>
      </c>
      <c r="G93" s="143">
        <f ca="1">IFERROR(__xludf.DUMMYFUNCTION("""COMPUTED_VALUE"""),13563858)</f>
        <v>13563858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IFERROR(__xludf.DUMMYFUNCTION("""COMPUTED_VALUE"""),100.66)</f>
        <v>100.66</v>
      </c>
      <c r="D94" s="141">
        <f ca="1">IFERROR(__xludf.DUMMYFUNCTION("""COMPUTED_VALUE"""),100.7)</f>
        <v>100.7</v>
      </c>
      <c r="E94" s="141">
        <f ca="1">IFERROR(__xludf.DUMMYFUNCTION("""COMPUTED_VALUE"""),100.5)</f>
        <v>100.5</v>
      </c>
      <c r="F94" s="141">
        <f ca="1">IFERROR(__xludf.DUMMYFUNCTION("""COMPUTED_VALUE"""),100.54)</f>
        <v>100.54</v>
      </c>
      <c r="G94" s="143">
        <f ca="1">IFERROR(__xludf.DUMMYFUNCTION("""COMPUTED_VALUE"""),13111993)</f>
        <v>13111993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IFERROR(__xludf.DUMMYFUNCTION("""COMPUTED_VALUE"""),100.07)</f>
        <v>100.07</v>
      </c>
      <c r="D95" s="141">
        <f ca="1">IFERROR(__xludf.DUMMYFUNCTION("""COMPUTED_VALUE"""),100.15)</f>
        <v>100.15</v>
      </c>
      <c r="E95" s="141">
        <f ca="1">IFERROR(__xludf.DUMMYFUNCTION("""COMPUTED_VALUE"""),100)</f>
        <v>100</v>
      </c>
      <c r="F95" s="141">
        <f ca="1">IFERROR(__xludf.DUMMYFUNCTION("""COMPUTED_VALUE"""),100.09)</f>
        <v>100.09</v>
      </c>
      <c r="G95" s="143">
        <f ca="1">IFERROR(__xludf.DUMMYFUNCTION("""COMPUTED_VALUE"""),9042118)</f>
        <v>9042118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IFERROR(__xludf.DUMMYFUNCTION("""COMPUTED_VALUE"""),100.15)</f>
        <v>100.15</v>
      </c>
      <c r="D96" s="141">
        <f ca="1">IFERROR(__xludf.DUMMYFUNCTION("""COMPUTED_VALUE"""),100.28)</f>
        <v>100.28</v>
      </c>
      <c r="E96" s="141">
        <f ca="1">IFERROR(__xludf.DUMMYFUNCTION("""COMPUTED_VALUE"""),100.13)</f>
        <v>100.13</v>
      </c>
      <c r="F96" s="141">
        <f ca="1">IFERROR(__xludf.DUMMYFUNCTION("""COMPUTED_VALUE"""),100.14)</f>
        <v>100.14</v>
      </c>
      <c r="G96" s="143">
        <f ca="1">IFERROR(__xludf.DUMMYFUNCTION("""COMPUTED_VALUE"""),29687556)</f>
        <v>29687556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IFERROR(__xludf.DUMMYFUNCTION("""COMPUTED_VALUE"""),100.1)</f>
        <v>100.1</v>
      </c>
      <c r="D97" s="141">
        <f ca="1">IFERROR(__xludf.DUMMYFUNCTION("""COMPUTED_VALUE"""),100.11)</f>
        <v>100.11</v>
      </c>
      <c r="E97" s="141">
        <f ca="1">IFERROR(__xludf.DUMMYFUNCTION("""COMPUTED_VALUE"""),99.82)</f>
        <v>99.82</v>
      </c>
      <c r="F97" s="141">
        <f ca="1">IFERROR(__xludf.DUMMYFUNCTION("""COMPUTED_VALUE"""),99.87)</f>
        <v>99.87</v>
      </c>
      <c r="G97" s="143">
        <f ca="1">IFERROR(__xludf.DUMMYFUNCTION("""COMPUTED_VALUE"""),8164985)</f>
        <v>8164985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IFERROR(__xludf.DUMMYFUNCTION("""COMPUTED_VALUE"""),100.18)</f>
        <v>100.18</v>
      </c>
      <c r="D98" s="141">
        <f ca="1">IFERROR(__xludf.DUMMYFUNCTION("""COMPUTED_VALUE"""),100.3)</f>
        <v>100.3</v>
      </c>
      <c r="E98" s="141">
        <f ca="1">IFERROR(__xludf.DUMMYFUNCTION("""COMPUTED_VALUE"""),100.14)</f>
        <v>100.14</v>
      </c>
      <c r="F98" s="141">
        <f ca="1">IFERROR(__xludf.DUMMYFUNCTION("""COMPUTED_VALUE"""),100.24)</f>
        <v>100.24</v>
      </c>
      <c r="G98" s="143">
        <f ca="1">IFERROR(__xludf.DUMMYFUNCTION("""COMPUTED_VALUE"""),7247564)</f>
        <v>7247564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IFERROR(__xludf.DUMMYFUNCTION("""COMPUTED_VALUE"""),100.13)</f>
        <v>100.13</v>
      </c>
      <c r="D99" s="141">
        <f ca="1">IFERROR(__xludf.DUMMYFUNCTION("""COMPUTED_VALUE"""),100.34)</f>
        <v>100.34</v>
      </c>
      <c r="E99" s="141">
        <f ca="1">IFERROR(__xludf.DUMMYFUNCTION("""COMPUTED_VALUE"""),100.11)</f>
        <v>100.11</v>
      </c>
      <c r="F99" s="141">
        <f ca="1">IFERROR(__xludf.DUMMYFUNCTION("""COMPUTED_VALUE"""),100.2)</f>
        <v>100.2</v>
      </c>
      <c r="G99" s="143">
        <f ca="1">IFERROR(__xludf.DUMMYFUNCTION("""COMPUTED_VALUE"""),5708277)</f>
        <v>5708277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IFERROR(__xludf.DUMMYFUNCTION("""COMPUTED_VALUE"""),100.2)</f>
        <v>100.2</v>
      </c>
      <c r="D100" s="141">
        <f ca="1">IFERROR(__xludf.DUMMYFUNCTION("""COMPUTED_VALUE"""),100.27)</f>
        <v>100.27</v>
      </c>
      <c r="E100" s="141">
        <f ca="1">IFERROR(__xludf.DUMMYFUNCTION("""COMPUTED_VALUE"""),100.1)</f>
        <v>100.1</v>
      </c>
      <c r="F100" s="141">
        <f ca="1">IFERROR(__xludf.DUMMYFUNCTION("""COMPUTED_VALUE"""),100.16)</f>
        <v>100.16</v>
      </c>
      <c r="G100" s="143">
        <f ca="1">IFERROR(__xludf.DUMMYFUNCTION("""COMPUTED_VALUE"""),7944991)</f>
        <v>7944991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IFERROR(__xludf.DUMMYFUNCTION("""COMPUTED_VALUE"""),100.38)</f>
        <v>100.38</v>
      </c>
      <c r="D101" s="141">
        <f ca="1">IFERROR(__xludf.DUMMYFUNCTION("""COMPUTED_VALUE"""),100.49)</f>
        <v>100.49</v>
      </c>
      <c r="E101" s="141">
        <f ca="1">IFERROR(__xludf.DUMMYFUNCTION("""COMPUTED_VALUE"""),100.33)</f>
        <v>100.33</v>
      </c>
      <c r="F101" s="141">
        <f ca="1">IFERROR(__xludf.DUMMYFUNCTION("""COMPUTED_VALUE"""),100.46)</f>
        <v>100.46</v>
      </c>
      <c r="G101" s="143">
        <f ca="1">IFERROR(__xludf.DUMMYFUNCTION("""COMPUTED_VALUE"""),5186222)</f>
        <v>5186222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IFERROR(__xludf.DUMMYFUNCTION("""COMPUTED_VALUE"""),100.42)</f>
        <v>100.42</v>
      </c>
      <c r="D102" s="141">
        <f ca="1">IFERROR(__xludf.DUMMYFUNCTION("""COMPUTED_VALUE"""),100.5)</f>
        <v>100.5</v>
      </c>
      <c r="E102" s="141">
        <f ca="1">IFERROR(__xludf.DUMMYFUNCTION("""COMPUTED_VALUE"""),100.36)</f>
        <v>100.36</v>
      </c>
      <c r="F102" s="141">
        <f ca="1">IFERROR(__xludf.DUMMYFUNCTION("""COMPUTED_VALUE"""),100.42)</f>
        <v>100.42</v>
      </c>
      <c r="G102" s="143">
        <f ca="1">IFERROR(__xludf.DUMMYFUNCTION("""COMPUTED_VALUE"""),6267263)</f>
        <v>6267263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IFERROR(__xludf.DUMMYFUNCTION("""COMPUTED_VALUE"""),100.24)</f>
        <v>100.24</v>
      </c>
      <c r="D103" s="141">
        <f ca="1">IFERROR(__xludf.DUMMYFUNCTION("""COMPUTED_VALUE"""),100.33)</f>
        <v>100.33</v>
      </c>
      <c r="E103" s="141">
        <f ca="1">IFERROR(__xludf.DUMMYFUNCTION("""COMPUTED_VALUE"""),100.12)</f>
        <v>100.12</v>
      </c>
      <c r="F103" s="141">
        <f ca="1">IFERROR(__xludf.DUMMYFUNCTION("""COMPUTED_VALUE"""),100.12)</f>
        <v>100.12</v>
      </c>
      <c r="G103" s="143">
        <f ca="1">IFERROR(__xludf.DUMMYFUNCTION("""COMPUTED_VALUE"""),7541607)</f>
        <v>7541607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IFERROR(__xludf.DUMMYFUNCTION("""COMPUTED_VALUE"""),100.3)</f>
        <v>100.3</v>
      </c>
      <c r="D104" s="141">
        <f ca="1">IFERROR(__xludf.DUMMYFUNCTION("""COMPUTED_VALUE"""),100.33)</f>
        <v>100.33</v>
      </c>
      <c r="E104" s="141">
        <f ca="1">IFERROR(__xludf.DUMMYFUNCTION("""COMPUTED_VALUE"""),99.98)</f>
        <v>99.98</v>
      </c>
      <c r="F104" s="141">
        <f ca="1">IFERROR(__xludf.DUMMYFUNCTION("""COMPUTED_VALUE"""),100)</f>
        <v>100</v>
      </c>
      <c r="G104" s="143">
        <f ca="1">IFERROR(__xludf.DUMMYFUNCTION("""COMPUTED_VALUE"""),6350455)</f>
        <v>6350455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IFERROR(__xludf.DUMMYFUNCTION("""COMPUTED_VALUE"""),100.05)</f>
        <v>100.05</v>
      </c>
      <c r="D105" s="141">
        <f ca="1">IFERROR(__xludf.DUMMYFUNCTION("""COMPUTED_VALUE"""),100.14)</f>
        <v>100.14</v>
      </c>
      <c r="E105" s="141">
        <f ca="1">IFERROR(__xludf.DUMMYFUNCTION("""COMPUTED_VALUE"""),100.01)</f>
        <v>100.01</v>
      </c>
      <c r="F105" s="141">
        <f ca="1">IFERROR(__xludf.DUMMYFUNCTION("""COMPUTED_VALUE"""),100.02)</f>
        <v>100.02</v>
      </c>
      <c r="G105" s="143">
        <f ca="1">IFERROR(__xludf.DUMMYFUNCTION("""COMPUTED_VALUE"""),7821945)</f>
        <v>7821945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IFERROR(__xludf.DUMMYFUNCTION("""COMPUTED_VALUE"""),100.25)</f>
        <v>100.25</v>
      </c>
      <c r="D106" s="141">
        <f ca="1">IFERROR(__xludf.DUMMYFUNCTION("""COMPUTED_VALUE"""),100.27)</f>
        <v>100.27</v>
      </c>
      <c r="E106" s="141">
        <f ca="1">IFERROR(__xludf.DUMMYFUNCTION("""COMPUTED_VALUE"""),100)</f>
        <v>100</v>
      </c>
      <c r="F106" s="141">
        <f ca="1">IFERROR(__xludf.DUMMYFUNCTION("""COMPUTED_VALUE"""),100.08)</f>
        <v>100.08</v>
      </c>
      <c r="G106" s="143">
        <f ca="1">IFERROR(__xludf.DUMMYFUNCTION("""COMPUTED_VALUE"""),7731817)</f>
        <v>7731817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IFERROR(__xludf.DUMMYFUNCTION("""COMPUTED_VALUE"""),100.2)</f>
        <v>100.2</v>
      </c>
      <c r="D107" s="141">
        <f ca="1">IFERROR(__xludf.DUMMYFUNCTION("""COMPUTED_VALUE"""),100.25)</f>
        <v>100.25</v>
      </c>
      <c r="E107" s="141">
        <f ca="1">IFERROR(__xludf.DUMMYFUNCTION("""COMPUTED_VALUE"""),100.03)</f>
        <v>100.03</v>
      </c>
      <c r="F107" s="141">
        <f ca="1">IFERROR(__xludf.DUMMYFUNCTION("""COMPUTED_VALUE"""),100.08)</f>
        <v>100.08</v>
      </c>
      <c r="G107" s="143">
        <f ca="1">IFERROR(__xludf.DUMMYFUNCTION("""COMPUTED_VALUE"""),8951707)</f>
        <v>8951707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IFERROR(__xludf.DUMMYFUNCTION("""COMPUTED_VALUE"""),100.18)</f>
        <v>100.18</v>
      </c>
      <c r="D108" s="141">
        <f ca="1">IFERROR(__xludf.DUMMYFUNCTION("""COMPUTED_VALUE"""),100.28)</f>
        <v>100.28</v>
      </c>
      <c r="E108" s="141">
        <f ca="1">IFERROR(__xludf.DUMMYFUNCTION("""COMPUTED_VALUE"""),100.14)</f>
        <v>100.14</v>
      </c>
      <c r="F108" s="141">
        <f ca="1">IFERROR(__xludf.DUMMYFUNCTION("""COMPUTED_VALUE"""),100.2)</f>
        <v>100.2</v>
      </c>
      <c r="G108" s="143">
        <f ca="1">IFERROR(__xludf.DUMMYFUNCTION("""COMPUTED_VALUE"""),12968079)</f>
        <v>12968079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IFERROR(__xludf.DUMMYFUNCTION("""COMPUTED_VALUE"""),100.45)</f>
        <v>100.45</v>
      </c>
      <c r="D109" s="141">
        <f ca="1">IFERROR(__xludf.DUMMYFUNCTION("""COMPUTED_VALUE"""),100.5)</f>
        <v>100.5</v>
      </c>
      <c r="E109" s="141">
        <f ca="1">IFERROR(__xludf.DUMMYFUNCTION("""COMPUTED_VALUE"""),100.28)</f>
        <v>100.28</v>
      </c>
      <c r="F109" s="141">
        <f ca="1">IFERROR(__xludf.DUMMYFUNCTION("""COMPUTED_VALUE"""),100.44)</f>
        <v>100.44</v>
      </c>
      <c r="G109" s="143">
        <f ca="1">IFERROR(__xludf.DUMMYFUNCTION("""COMPUTED_VALUE"""),9334905)</f>
        <v>9334905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IFERROR(__xludf.DUMMYFUNCTION("""COMPUTED_VALUE"""),100.51)</f>
        <v>100.51</v>
      </c>
      <c r="D110" s="141">
        <f ca="1">IFERROR(__xludf.DUMMYFUNCTION("""COMPUTED_VALUE"""),100.66)</f>
        <v>100.66</v>
      </c>
      <c r="E110" s="141">
        <f ca="1">IFERROR(__xludf.DUMMYFUNCTION("""COMPUTED_VALUE"""),100.5)</f>
        <v>100.5</v>
      </c>
      <c r="F110" s="141">
        <f ca="1">IFERROR(__xludf.DUMMYFUNCTION("""COMPUTED_VALUE"""),100.64)</f>
        <v>100.64</v>
      </c>
      <c r="G110" s="143">
        <f ca="1">IFERROR(__xludf.DUMMYFUNCTION("""COMPUTED_VALUE"""),7717732)</f>
        <v>7717732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IFERROR(__xludf.DUMMYFUNCTION("""COMPUTED_VALUE"""),100.71)</f>
        <v>100.71</v>
      </c>
      <c r="D111" s="141">
        <f ca="1">IFERROR(__xludf.DUMMYFUNCTION("""COMPUTED_VALUE"""),100.95)</f>
        <v>100.95</v>
      </c>
      <c r="E111" s="141">
        <f ca="1">IFERROR(__xludf.DUMMYFUNCTION("""COMPUTED_VALUE"""),100.7)</f>
        <v>100.7</v>
      </c>
      <c r="F111" s="141">
        <f ca="1">IFERROR(__xludf.DUMMYFUNCTION("""COMPUTED_VALUE"""),100.8)</f>
        <v>100.8</v>
      </c>
      <c r="G111" s="143">
        <f ca="1">IFERROR(__xludf.DUMMYFUNCTION("""COMPUTED_VALUE"""),16788420)</f>
        <v>16788420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IFERROR(__xludf.DUMMYFUNCTION("""COMPUTED_VALUE"""),100.78)</f>
        <v>100.78</v>
      </c>
      <c r="D112" s="141">
        <f ca="1">IFERROR(__xludf.DUMMYFUNCTION("""COMPUTED_VALUE"""),100.97)</f>
        <v>100.97</v>
      </c>
      <c r="E112" s="141">
        <f ca="1">IFERROR(__xludf.DUMMYFUNCTION("""COMPUTED_VALUE"""),100.66)</f>
        <v>100.66</v>
      </c>
      <c r="F112" s="141">
        <f ca="1">IFERROR(__xludf.DUMMYFUNCTION("""COMPUTED_VALUE"""),100.96)</f>
        <v>100.96</v>
      </c>
      <c r="G112" s="143">
        <f ca="1">IFERROR(__xludf.DUMMYFUNCTION("""COMPUTED_VALUE"""),8935197)</f>
        <v>8935197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IFERROR(__xludf.DUMMYFUNCTION("""COMPUTED_VALUE"""),100.91)</f>
        <v>100.91</v>
      </c>
      <c r="D113" s="141">
        <f ca="1">IFERROR(__xludf.DUMMYFUNCTION("""COMPUTED_VALUE"""),100.94)</f>
        <v>100.94</v>
      </c>
      <c r="E113" s="141">
        <f ca="1">IFERROR(__xludf.DUMMYFUNCTION("""COMPUTED_VALUE"""),100.7)</f>
        <v>100.7</v>
      </c>
      <c r="F113" s="141">
        <f ca="1">IFERROR(__xludf.DUMMYFUNCTION("""COMPUTED_VALUE"""),100.82)</f>
        <v>100.82</v>
      </c>
      <c r="G113" s="143">
        <f ca="1">IFERROR(__xludf.DUMMYFUNCTION("""COMPUTED_VALUE"""),5064814)</f>
        <v>5064814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IFERROR(__xludf.DUMMYFUNCTION("""COMPUTED_VALUE"""),100.07)</f>
        <v>100.07</v>
      </c>
      <c r="D114" s="141">
        <f ca="1">IFERROR(__xludf.DUMMYFUNCTION("""COMPUTED_VALUE"""),100.14)</f>
        <v>100.14</v>
      </c>
      <c r="E114" s="141">
        <f ca="1">IFERROR(__xludf.DUMMYFUNCTION("""COMPUTED_VALUE"""),100.02)</f>
        <v>100.02</v>
      </c>
      <c r="F114" s="141">
        <f ca="1">IFERROR(__xludf.DUMMYFUNCTION("""COMPUTED_VALUE"""),100.06)</f>
        <v>100.06</v>
      </c>
      <c r="G114" s="143">
        <f ca="1">IFERROR(__xludf.DUMMYFUNCTION("""COMPUTED_VALUE"""),7249251)</f>
        <v>7249251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IFERROR(__xludf.DUMMYFUNCTION("""COMPUTED_VALUE"""),100.07)</f>
        <v>100.07</v>
      </c>
      <c r="D115" s="141">
        <f ca="1">IFERROR(__xludf.DUMMYFUNCTION("""COMPUTED_VALUE"""),100.22)</f>
        <v>100.22</v>
      </c>
      <c r="E115" s="141">
        <f ca="1">IFERROR(__xludf.DUMMYFUNCTION("""COMPUTED_VALUE"""),100.04)</f>
        <v>100.04</v>
      </c>
      <c r="F115" s="141">
        <f ca="1">IFERROR(__xludf.DUMMYFUNCTION("""COMPUTED_VALUE"""),100.19)</f>
        <v>100.19</v>
      </c>
      <c r="G115" s="143">
        <f ca="1">IFERROR(__xludf.DUMMYFUNCTION("""COMPUTED_VALUE"""),7972078)</f>
        <v>7972078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IFERROR(__xludf.DUMMYFUNCTION("""COMPUTED_VALUE"""),100.3)</f>
        <v>100.3</v>
      </c>
      <c r="D116" s="141">
        <f ca="1">IFERROR(__xludf.DUMMYFUNCTION("""COMPUTED_VALUE"""),100.39)</f>
        <v>100.39</v>
      </c>
      <c r="E116" s="141">
        <f ca="1">IFERROR(__xludf.DUMMYFUNCTION("""COMPUTED_VALUE"""),100.21)</f>
        <v>100.21</v>
      </c>
      <c r="F116" s="141">
        <f ca="1">IFERROR(__xludf.DUMMYFUNCTION("""COMPUTED_VALUE"""),100.38)</f>
        <v>100.38</v>
      </c>
      <c r="G116" s="143">
        <f ca="1">IFERROR(__xludf.DUMMYFUNCTION("""COMPUTED_VALUE"""),9744487)</f>
        <v>9744487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IFERROR(__xludf.DUMMYFUNCTION("""COMPUTED_VALUE"""),100.25)</f>
        <v>100.25</v>
      </c>
      <c r="D117" s="141">
        <f ca="1">IFERROR(__xludf.DUMMYFUNCTION("""COMPUTED_VALUE"""),100.31)</f>
        <v>100.31</v>
      </c>
      <c r="E117" s="141">
        <f ca="1">IFERROR(__xludf.DUMMYFUNCTION("""COMPUTED_VALUE"""),100.11)</f>
        <v>100.11</v>
      </c>
      <c r="F117" s="141">
        <f ca="1">IFERROR(__xludf.DUMMYFUNCTION("""COMPUTED_VALUE"""),100.14)</f>
        <v>100.14</v>
      </c>
      <c r="G117" s="143">
        <f ca="1">IFERROR(__xludf.DUMMYFUNCTION("""COMPUTED_VALUE"""),6953210)</f>
        <v>6953210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IFERROR(__xludf.DUMMYFUNCTION("""COMPUTED_VALUE"""),100.17)</f>
        <v>100.17</v>
      </c>
      <c r="D118" s="141">
        <f ca="1">IFERROR(__xludf.DUMMYFUNCTION("""COMPUTED_VALUE"""),100.17)</f>
        <v>100.17</v>
      </c>
      <c r="E118" s="141">
        <f ca="1">IFERROR(__xludf.DUMMYFUNCTION("""COMPUTED_VALUE"""),99.96)</f>
        <v>99.96</v>
      </c>
      <c r="F118" s="141">
        <f ca="1">IFERROR(__xludf.DUMMYFUNCTION("""COMPUTED_VALUE"""),100.03)</f>
        <v>100.03</v>
      </c>
      <c r="G118" s="143">
        <f ca="1">IFERROR(__xludf.DUMMYFUNCTION("""COMPUTED_VALUE"""),6870064)</f>
        <v>6870064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IFERROR(__xludf.DUMMYFUNCTION("""COMPUTED_VALUE"""),100.02)</f>
        <v>100.02</v>
      </c>
      <c r="D119" s="141">
        <f ca="1">IFERROR(__xludf.DUMMYFUNCTION("""COMPUTED_VALUE"""),100.03)</f>
        <v>100.03</v>
      </c>
      <c r="E119" s="141">
        <f ca="1">IFERROR(__xludf.DUMMYFUNCTION("""COMPUTED_VALUE"""),99.74)</f>
        <v>99.74</v>
      </c>
      <c r="F119" s="141">
        <f ca="1">IFERROR(__xludf.DUMMYFUNCTION("""COMPUTED_VALUE"""),99.87)</f>
        <v>99.87</v>
      </c>
      <c r="G119" s="143">
        <f ca="1">IFERROR(__xludf.DUMMYFUNCTION("""COMPUTED_VALUE"""),8039061)</f>
        <v>8039061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IFERROR(__xludf.DUMMYFUNCTION("""COMPUTED_VALUE"""),100.04)</f>
        <v>100.04</v>
      </c>
      <c r="D120" s="141">
        <f ca="1">IFERROR(__xludf.DUMMYFUNCTION("""COMPUTED_VALUE"""),100.04)</f>
        <v>100.04</v>
      </c>
      <c r="E120" s="141">
        <f ca="1">IFERROR(__xludf.DUMMYFUNCTION("""COMPUTED_VALUE"""),99.77)</f>
        <v>99.77</v>
      </c>
      <c r="F120" s="141">
        <f ca="1">IFERROR(__xludf.DUMMYFUNCTION("""COMPUTED_VALUE"""),99.78)</f>
        <v>99.78</v>
      </c>
      <c r="G120" s="143">
        <f ca="1">IFERROR(__xludf.DUMMYFUNCTION("""COMPUTED_VALUE"""),5967960)</f>
        <v>5967960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IFERROR(__xludf.DUMMYFUNCTION("""COMPUTED_VALUE"""),99.77)</f>
        <v>99.77</v>
      </c>
      <c r="D121" s="141">
        <f ca="1">IFERROR(__xludf.DUMMYFUNCTION("""COMPUTED_VALUE"""),100.13)</f>
        <v>100.13</v>
      </c>
      <c r="E121" s="141">
        <f ca="1">IFERROR(__xludf.DUMMYFUNCTION("""COMPUTED_VALUE"""),99.76)</f>
        <v>99.76</v>
      </c>
      <c r="F121" s="141">
        <f ca="1">IFERROR(__xludf.DUMMYFUNCTION("""COMPUTED_VALUE"""),100.1)</f>
        <v>100.1</v>
      </c>
      <c r="G121" s="143">
        <f ca="1">IFERROR(__xludf.DUMMYFUNCTION("""COMPUTED_VALUE"""),9279664)</f>
        <v>9279664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IFERROR(__xludf.DUMMYFUNCTION("""COMPUTED_VALUE"""),100.32)</f>
        <v>100.32</v>
      </c>
      <c r="D122" s="141">
        <f ca="1">IFERROR(__xludf.DUMMYFUNCTION("""COMPUTED_VALUE"""),100.35)</f>
        <v>100.35</v>
      </c>
      <c r="E122" s="141">
        <f ca="1">IFERROR(__xludf.DUMMYFUNCTION("""COMPUTED_VALUE"""),100.08)</f>
        <v>100.08</v>
      </c>
      <c r="F122" s="141">
        <f ca="1">IFERROR(__xludf.DUMMYFUNCTION("""COMPUTED_VALUE"""),100.12)</f>
        <v>100.12</v>
      </c>
      <c r="G122" s="143">
        <f ca="1">IFERROR(__xludf.DUMMYFUNCTION("""COMPUTED_VALUE"""),9961268)</f>
        <v>9961268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IFERROR(__xludf.DUMMYFUNCTION("""COMPUTED_VALUE"""),99.84)</f>
        <v>99.84</v>
      </c>
      <c r="D123" s="141">
        <f ca="1">IFERROR(__xludf.DUMMYFUNCTION("""COMPUTED_VALUE"""),99.92)</f>
        <v>99.92</v>
      </c>
      <c r="E123" s="141">
        <f ca="1">IFERROR(__xludf.DUMMYFUNCTION("""COMPUTED_VALUE"""),99.78)</f>
        <v>99.78</v>
      </c>
      <c r="F123" s="141">
        <f ca="1">IFERROR(__xludf.DUMMYFUNCTION("""COMPUTED_VALUE"""),99.81)</f>
        <v>99.81</v>
      </c>
      <c r="G123" s="143">
        <f ca="1">IFERROR(__xludf.DUMMYFUNCTION("""COMPUTED_VALUE"""),7588508)</f>
        <v>7588508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IFERROR(__xludf.DUMMYFUNCTION("""COMPUTED_VALUE"""),100.01)</f>
        <v>100.01</v>
      </c>
      <c r="D124" s="141">
        <f ca="1">IFERROR(__xludf.DUMMYFUNCTION("""COMPUTED_VALUE"""),100.08)</f>
        <v>100.08</v>
      </c>
      <c r="E124" s="141">
        <f ca="1">IFERROR(__xludf.DUMMYFUNCTION("""COMPUTED_VALUE"""),99.88)</f>
        <v>99.88</v>
      </c>
      <c r="F124" s="141">
        <f ca="1">IFERROR(__xludf.DUMMYFUNCTION("""COMPUTED_VALUE"""),99.91)</f>
        <v>99.91</v>
      </c>
      <c r="G124" s="143">
        <f ca="1">IFERROR(__xludf.DUMMYFUNCTION("""COMPUTED_VALUE"""),9960413)</f>
        <v>9960413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IFERROR(__xludf.DUMMYFUNCTION("""COMPUTED_VALUE"""),99.87)</f>
        <v>99.87</v>
      </c>
      <c r="D125" s="141">
        <f ca="1">IFERROR(__xludf.DUMMYFUNCTION("""COMPUTED_VALUE"""),100.15)</f>
        <v>100.15</v>
      </c>
      <c r="E125" s="141">
        <f ca="1">IFERROR(__xludf.DUMMYFUNCTION("""COMPUTED_VALUE"""),99.86)</f>
        <v>99.86</v>
      </c>
      <c r="F125" s="141">
        <f ca="1">IFERROR(__xludf.DUMMYFUNCTION("""COMPUTED_VALUE"""),100.1)</f>
        <v>100.1</v>
      </c>
      <c r="G125" s="143">
        <f ca="1">IFERROR(__xludf.DUMMYFUNCTION("""COMPUTED_VALUE"""),8614448)</f>
        <v>8614448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IFERROR(__xludf.DUMMYFUNCTION("""COMPUTED_VALUE"""),100.03)</f>
        <v>100.03</v>
      </c>
      <c r="D126" s="141">
        <f ca="1">IFERROR(__xludf.DUMMYFUNCTION("""COMPUTED_VALUE"""),100.14)</f>
        <v>100.14</v>
      </c>
      <c r="E126" s="141">
        <f ca="1">IFERROR(__xludf.DUMMYFUNCTION("""COMPUTED_VALUE"""),100.02)</f>
        <v>100.02</v>
      </c>
      <c r="F126" s="141">
        <f ca="1">IFERROR(__xludf.DUMMYFUNCTION("""COMPUTED_VALUE"""),100.07)</f>
        <v>100.07</v>
      </c>
      <c r="G126" s="143">
        <f ca="1">IFERROR(__xludf.DUMMYFUNCTION("""COMPUTED_VALUE"""),12010954)</f>
        <v>12010954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IFERROR(__xludf.DUMMYFUNCTION("""COMPUTED_VALUE"""),100.32)</f>
        <v>100.32</v>
      </c>
      <c r="D127" s="141">
        <f ca="1">IFERROR(__xludf.DUMMYFUNCTION("""COMPUTED_VALUE"""),100.37)</f>
        <v>100.37</v>
      </c>
      <c r="E127" s="141">
        <f ca="1">IFERROR(__xludf.DUMMYFUNCTION("""COMPUTED_VALUE"""),100.22)</f>
        <v>100.22</v>
      </c>
      <c r="F127" s="141">
        <f ca="1">IFERROR(__xludf.DUMMYFUNCTION("""COMPUTED_VALUE"""),100.32)</f>
        <v>100.32</v>
      </c>
      <c r="G127" s="143">
        <f ca="1">IFERROR(__xludf.DUMMYFUNCTION("""COMPUTED_VALUE"""),8191080)</f>
        <v>8191080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IFERROR(__xludf.DUMMYFUNCTION("""COMPUTED_VALUE"""),99.89)</f>
        <v>99.89</v>
      </c>
      <c r="D128" s="141">
        <f ca="1">IFERROR(__xludf.DUMMYFUNCTION("""COMPUTED_VALUE"""),99.95)</f>
        <v>99.95</v>
      </c>
      <c r="E128" s="141">
        <f ca="1">IFERROR(__xludf.DUMMYFUNCTION("""COMPUTED_VALUE"""),99.8)</f>
        <v>99.8</v>
      </c>
      <c r="F128" s="141">
        <f ca="1">IFERROR(__xludf.DUMMYFUNCTION("""COMPUTED_VALUE"""),99.84)</f>
        <v>99.84</v>
      </c>
      <c r="G128" s="143">
        <f ca="1">IFERROR(__xludf.DUMMYFUNCTION("""COMPUTED_VALUE"""),6216568)</f>
        <v>6216568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IFERROR(__xludf.DUMMYFUNCTION("""COMPUTED_VALUE"""),99.82)</f>
        <v>99.82</v>
      </c>
      <c r="D129" s="141">
        <f ca="1">IFERROR(__xludf.DUMMYFUNCTION("""COMPUTED_VALUE"""),99.83)</f>
        <v>99.83</v>
      </c>
      <c r="E129" s="141">
        <f ca="1">IFERROR(__xludf.DUMMYFUNCTION("""COMPUTED_VALUE"""),99.74)</f>
        <v>99.74</v>
      </c>
      <c r="F129" s="141">
        <f ca="1">IFERROR(__xludf.DUMMYFUNCTION("""COMPUTED_VALUE"""),99.8)</f>
        <v>99.8</v>
      </c>
      <c r="G129" s="143">
        <f ca="1">IFERROR(__xludf.DUMMYFUNCTION("""COMPUTED_VALUE"""),6178745)</f>
        <v>6178745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IFERROR(__xludf.DUMMYFUNCTION("""COMPUTED_VALUE"""),99.6)</f>
        <v>99.6</v>
      </c>
      <c r="D130" s="141">
        <f ca="1">IFERROR(__xludf.DUMMYFUNCTION("""COMPUTED_VALUE"""),99.82)</f>
        <v>99.82</v>
      </c>
      <c r="E130" s="141">
        <f ca="1">IFERROR(__xludf.DUMMYFUNCTION("""COMPUTED_VALUE"""),99.58)</f>
        <v>99.58</v>
      </c>
      <c r="F130" s="141">
        <f ca="1">IFERROR(__xludf.DUMMYFUNCTION("""COMPUTED_VALUE"""),99.8)</f>
        <v>99.8</v>
      </c>
      <c r="G130" s="143">
        <f ca="1">IFERROR(__xludf.DUMMYFUNCTION("""COMPUTED_VALUE"""),9744231)</f>
        <v>9744231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IFERROR(__xludf.DUMMYFUNCTION("""COMPUTED_VALUE"""),99.9)</f>
        <v>99.9</v>
      </c>
      <c r="D131" s="141">
        <f ca="1">IFERROR(__xludf.DUMMYFUNCTION("""COMPUTED_VALUE"""),100.04)</f>
        <v>100.04</v>
      </c>
      <c r="E131" s="141">
        <f ca="1">IFERROR(__xludf.DUMMYFUNCTION("""COMPUTED_VALUE"""),99.85)</f>
        <v>99.85</v>
      </c>
      <c r="F131" s="141">
        <f ca="1">IFERROR(__xludf.DUMMYFUNCTION("""COMPUTED_VALUE"""),100.02)</f>
        <v>100.02</v>
      </c>
      <c r="G131" s="143">
        <f ca="1">IFERROR(__xludf.DUMMYFUNCTION("""COMPUTED_VALUE"""),4483895)</f>
        <v>4483895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IFERROR(__xludf.DUMMYFUNCTION("""COMPUTED_VALUE"""),100.13)</f>
        <v>100.13</v>
      </c>
      <c r="D132" s="141">
        <f ca="1">IFERROR(__xludf.DUMMYFUNCTION("""COMPUTED_VALUE"""),100.15)</f>
        <v>100.15</v>
      </c>
      <c r="E132" s="141">
        <f ca="1">IFERROR(__xludf.DUMMYFUNCTION("""COMPUTED_VALUE"""),99.97)</f>
        <v>99.97</v>
      </c>
      <c r="F132" s="141">
        <f ca="1">IFERROR(__xludf.DUMMYFUNCTION("""COMPUTED_VALUE"""),100.04)</f>
        <v>100.04</v>
      </c>
      <c r="G132" s="143">
        <f ca="1">IFERROR(__xludf.DUMMYFUNCTION("""COMPUTED_VALUE"""),6503670)</f>
        <v>6503670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IFERROR(__xludf.DUMMYFUNCTION("""COMPUTED_VALUE"""),100.12)</f>
        <v>100.12</v>
      </c>
      <c r="D133" s="141">
        <f ca="1">IFERROR(__xludf.DUMMYFUNCTION("""COMPUTED_VALUE"""),100.19)</f>
        <v>100.19</v>
      </c>
      <c r="E133" s="141">
        <f ca="1">IFERROR(__xludf.DUMMYFUNCTION("""COMPUTED_VALUE"""),100.06)</f>
        <v>100.06</v>
      </c>
      <c r="F133" s="141">
        <f ca="1">IFERROR(__xludf.DUMMYFUNCTION("""COMPUTED_VALUE"""),100.16)</f>
        <v>100.16</v>
      </c>
      <c r="G133" s="143">
        <f ca="1">IFERROR(__xludf.DUMMYFUNCTION("""COMPUTED_VALUE"""),7886660)</f>
        <v>7886660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IFERROR(__xludf.DUMMYFUNCTION("""COMPUTED_VALUE"""),100.06)</f>
        <v>100.06</v>
      </c>
      <c r="D134" s="141">
        <f ca="1">IFERROR(__xludf.DUMMYFUNCTION("""COMPUTED_VALUE"""),100.18)</f>
        <v>100.18</v>
      </c>
      <c r="E134" s="141">
        <f ca="1">IFERROR(__xludf.DUMMYFUNCTION("""COMPUTED_VALUE"""),100.03)</f>
        <v>100.03</v>
      </c>
      <c r="F134" s="141">
        <f ca="1">IFERROR(__xludf.DUMMYFUNCTION("""COMPUTED_VALUE"""),100.12)</f>
        <v>100.12</v>
      </c>
      <c r="G134" s="143">
        <f ca="1">IFERROR(__xludf.DUMMYFUNCTION("""COMPUTED_VALUE"""),7955848)</f>
        <v>7955848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IFERROR(__xludf.DUMMYFUNCTION("""COMPUTED_VALUE"""),100.02)</f>
        <v>100.02</v>
      </c>
      <c r="D135" s="141">
        <f ca="1">IFERROR(__xludf.DUMMYFUNCTION("""COMPUTED_VALUE"""),100.12)</f>
        <v>100.12</v>
      </c>
      <c r="E135" s="141">
        <f ca="1">IFERROR(__xludf.DUMMYFUNCTION("""COMPUTED_VALUE"""),99.88)</f>
        <v>99.88</v>
      </c>
      <c r="F135" s="141">
        <f ca="1">IFERROR(__xludf.DUMMYFUNCTION("""COMPUTED_VALUE"""),99.88)</f>
        <v>99.88</v>
      </c>
      <c r="G135" s="143">
        <f ca="1">IFERROR(__xludf.DUMMYFUNCTION("""COMPUTED_VALUE"""),13535517)</f>
        <v>13535517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IFERROR(__xludf.DUMMYFUNCTION("""COMPUTED_VALUE"""),100.01)</f>
        <v>100.01</v>
      </c>
      <c r="D136" s="141">
        <f ca="1">IFERROR(__xludf.DUMMYFUNCTION("""COMPUTED_VALUE"""),100.01)</f>
        <v>100.01</v>
      </c>
      <c r="E136" s="141">
        <f ca="1">IFERROR(__xludf.DUMMYFUNCTION("""COMPUTED_VALUE"""),99.81)</f>
        <v>99.81</v>
      </c>
      <c r="F136" s="141">
        <f ca="1">IFERROR(__xludf.DUMMYFUNCTION("""COMPUTED_VALUE"""),99.85)</f>
        <v>99.85</v>
      </c>
      <c r="G136" s="143">
        <f ca="1">IFERROR(__xludf.DUMMYFUNCTION("""COMPUTED_VALUE"""),6730314)</f>
        <v>6730314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IFERROR(__xludf.DUMMYFUNCTION("""COMPUTED_VALUE"""),99.93)</f>
        <v>99.93</v>
      </c>
      <c r="D137" s="141">
        <f ca="1">IFERROR(__xludf.DUMMYFUNCTION("""COMPUTED_VALUE"""),100.07)</f>
        <v>100.07</v>
      </c>
      <c r="E137" s="141">
        <f ca="1">IFERROR(__xludf.DUMMYFUNCTION("""COMPUTED_VALUE"""),99.88)</f>
        <v>99.88</v>
      </c>
      <c r="F137" s="141">
        <f ca="1">IFERROR(__xludf.DUMMYFUNCTION("""COMPUTED_VALUE"""),100.04)</f>
        <v>100.04</v>
      </c>
      <c r="G137" s="143">
        <f ca="1">IFERROR(__xludf.DUMMYFUNCTION("""COMPUTED_VALUE"""),9364905)</f>
        <v>9364905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IFERROR(__xludf.DUMMYFUNCTION("""COMPUTED_VALUE"""),99.93)</f>
        <v>99.93</v>
      </c>
      <c r="D138" s="141">
        <f ca="1">IFERROR(__xludf.DUMMYFUNCTION("""COMPUTED_VALUE"""),100.03)</f>
        <v>100.03</v>
      </c>
      <c r="E138" s="141">
        <f ca="1">IFERROR(__xludf.DUMMYFUNCTION("""COMPUTED_VALUE"""),99.81)</f>
        <v>99.81</v>
      </c>
      <c r="F138" s="141">
        <f ca="1">IFERROR(__xludf.DUMMYFUNCTION("""COMPUTED_VALUE"""),100.02)</f>
        <v>100.02</v>
      </c>
      <c r="G138" s="143">
        <f ca="1">IFERROR(__xludf.DUMMYFUNCTION("""COMPUTED_VALUE"""),8573862)</f>
        <v>8573862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IFERROR(__xludf.DUMMYFUNCTION("""COMPUTED_VALUE"""),100.17)</f>
        <v>100.17</v>
      </c>
      <c r="D139" s="141">
        <f ca="1">IFERROR(__xludf.DUMMYFUNCTION("""COMPUTED_VALUE"""),100.2)</f>
        <v>100.2</v>
      </c>
      <c r="E139" s="141">
        <f ca="1">IFERROR(__xludf.DUMMYFUNCTION("""COMPUTED_VALUE"""),100.03)</f>
        <v>100.03</v>
      </c>
      <c r="F139" s="141">
        <f ca="1">IFERROR(__xludf.DUMMYFUNCTION("""COMPUTED_VALUE"""),100.12)</f>
        <v>100.12</v>
      </c>
      <c r="G139" s="143">
        <f ca="1">IFERROR(__xludf.DUMMYFUNCTION("""COMPUTED_VALUE"""),7151866)</f>
        <v>7151866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IFERROR(__xludf.DUMMYFUNCTION("""COMPUTED_VALUE"""),99.94)</f>
        <v>99.94</v>
      </c>
      <c r="D140" s="141">
        <f ca="1">IFERROR(__xludf.DUMMYFUNCTION("""COMPUTED_VALUE"""),100.01)</f>
        <v>100.01</v>
      </c>
      <c r="E140" s="141">
        <f ca="1">IFERROR(__xludf.DUMMYFUNCTION("""COMPUTED_VALUE"""),99.91)</f>
        <v>99.91</v>
      </c>
      <c r="F140" s="141">
        <f ca="1">IFERROR(__xludf.DUMMYFUNCTION("""COMPUTED_VALUE"""),99.94)</f>
        <v>99.94</v>
      </c>
      <c r="G140" s="143">
        <f ca="1">IFERROR(__xludf.DUMMYFUNCTION("""COMPUTED_VALUE"""),6184140)</f>
        <v>6184140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IFERROR(__xludf.DUMMYFUNCTION("""COMPUTED_VALUE"""),100.08)</f>
        <v>100.08</v>
      </c>
      <c r="D141" s="141">
        <f ca="1">IFERROR(__xludf.DUMMYFUNCTION("""COMPUTED_VALUE"""),100.27)</f>
        <v>100.27</v>
      </c>
      <c r="E141" s="141">
        <f ca="1">IFERROR(__xludf.DUMMYFUNCTION("""COMPUTED_VALUE"""),99.97)</f>
        <v>99.97</v>
      </c>
      <c r="F141" s="141">
        <f ca="1">IFERROR(__xludf.DUMMYFUNCTION("""COMPUTED_VALUE"""),100.16)</f>
        <v>100.16</v>
      </c>
      <c r="G141" s="143">
        <f ca="1">IFERROR(__xludf.DUMMYFUNCTION("""COMPUTED_VALUE"""),9879943)</f>
        <v>9879943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IFERROR(__xludf.DUMMYFUNCTION("""COMPUTED_VALUE"""),100.06)</f>
        <v>100.06</v>
      </c>
      <c r="D142" s="141">
        <f ca="1">IFERROR(__xludf.DUMMYFUNCTION("""COMPUTED_VALUE"""),100.21)</f>
        <v>100.21</v>
      </c>
      <c r="E142" s="141">
        <f ca="1">IFERROR(__xludf.DUMMYFUNCTION("""COMPUTED_VALUE"""),100.03)</f>
        <v>100.03</v>
      </c>
      <c r="F142" s="141">
        <f ca="1">IFERROR(__xludf.DUMMYFUNCTION("""COMPUTED_VALUE"""),100.11)</f>
        <v>100.11</v>
      </c>
      <c r="G142" s="143">
        <f ca="1">IFERROR(__xludf.DUMMYFUNCTION("""COMPUTED_VALUE"""),9871275)</f>
        <v>9871275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IFERROR(__xludf.DUMMYFUNCTION("""COMPUTED_VALUE"""),100.24)</f>
        <v>100.24</v>
      </c>
      <c r="D143" s="141">
        <f ca="1">IFERROR(__xludf.DUMMYFUNCTION("""COMPUTED_VALUE"""),100.24)</f>
        <v>100.24</v>
      </c>
      <c r="E143" s="141">
        <f ca="1">IFERROR(__xludf.DUMMYFUNCTION("""COMPUTED_VALUE"""),100.09)</f>
        <v>100.09</v>
      </c>
      <c r="F143" s="141">
        <f ca="1">IFERROR(__xludf.DUMMYFUNCTION("""COMPUTED_VALUE"""),100.2)</f>
        <v>100.2</v>
      </c>
      <c r="G143" s="143">
        <f ca="1">IFERROR(__xludf.DUMMYFUNCTION("""COMPUTED_VALUE"""),7561565)</f>
        <v>7561565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IFERROR(__xludf.DUMMYFUNCTION("""COMPUTED_VALUE"""),100.23)</f>
        <v>100.23</v>
      </c>
      <c r="D144" s="141">
        <f ca="1">IFERROR(__xludf.DUMMYFUNCTION("""COMPUTED_VALUE"""),100.41)</f>
        <v>100.41</v>
      </c>
      <c r="E144" s="141">
        <f ca="1">IFERROR(__xludf.DUMMYFUNCTION("""COMPUTED_VALUE"""),100.23)</f>
        <v>100.23</v>
      </c>
      <c r="F144" s="141">
        <f ca="1">IFERROR(__xludf.DUMMYFUNCTION("""COMPUTED_VALUE"""),100.35)</f>
        <v>100.35</v>
      </c>
      <c r="G144" s="143">
        <f ca="1">IFERROR(__xludf.DUMMYFUNCTION("""COMPUTED_VALUE"""),8585382)</f>
        <v>8585382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IFERROR(__xludf.DUMMYFUNCTION("""COMPUTED_VALUE"""),100.42)</f>
        <v>100.42</v>
      </c>
      <c r="D145" s="141">
        <f ca="1">IFERROR(__xludf.DUMMYFUNCTION("""COMPUTED_VALUE"""),100.42)</f>
        <v>100.42</v>
      </c>
      <c r="E145" s="141">
        <f ca="1">IFERROR(__xludf.DUMMYFUNCTION("""COMPUTED_VALUE"""),100.22)</f>
        <v>100.22</v>
      </c>
      <c r="F145" s="141">
        <f ca="1">IFERROR(__xludf.DUMMYFUNCTION("""COMPUTED_VALUE"""),100.22)</f>
        <v>100.22</v>
      </c>
      <c r="G145" s="143">
        <f ca="1">IFERROR(__xludf.DUMMYFUNCTION("""COMPUTED_VALUE"""),9923598)</f>
        <v>9923598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IFERROR(__xludf.DUMMYFUNCTION("""COMPUTED_VALUE"""),100.22)</f>
        <v>100.22</v>
      </c>
      <c r="D146" s="141">
        <f ca="1">IFERROR(__xludf.DUMMYFUNCTION("""COMPUTED_VALUE"""),100.24)</f>
        <v>100.24</v>
      </c>
      <c r="E146" s="141">
        <f ca="1">IFERROR(__xludf.DUMMYFUNCTION("""COMPUTED_VALUE"""),100.04)</f>
        <v>100.04</v>
      </c>
      <c r="F146" s="141">
        <f ca="1">IFERROR(__xludf.DUMMYFUNCTION("""COMPUTED_VALUE"""),100.05)</f>
        <v>100.05</v>
      </c>
      <c r="G146" s="143">
        <f ca="1">IFERROR(__xludf.DUMMYFUNCTION("""COMPUTED_VALUE"""),10332456)</f>
        <v>10332456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IFERROR(__xludf.DUMMYFUNCTION("""COMPUTED_VALUE"""),99.77)</f>
        <v>99.77</v>
      </c>
      <c r="D147" s="141">
        <f ca="1">IFERROR(__xludf.DUMMYFUNCTION("""COMPUTED_VALUE"""),99.86)</f>
        <v>99.86</v>
      </c>
      <c r="E147" s="141">
        <f ca="1">IFERROR(__xludf.DUMMYFUNCTION("""COMPUTED_VALUE"""),99.66)</f>
        <v>99.66</v>
      </c>
      <c r="F147" s="141">
        <f ca="1">IFERROR(__xludf.DUMMYFUNCTION("""COMPUTED_VALUE"""),99.67)</f>
        <v>99.67</v>
      </c>
      <c r="G147" s="143">
        <f ca="1">IFERROR(__xludf.DUMMYFUNCTION("""COMPUTED_VALUE"""),14337314)</f>
        <v>14337314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IFERROR(__xludf.DUMMYFUNCTION("""COMPUTED_VALUE"""),99.77)</f>
        <v>99.77</v>
      </c>
      <c r="D148" s="141">
        <f ca="1">IFERROR(__xludf.DUMMYFUNCTION("""COMPUTED_VALUE"""),100.03)</f>
        <v>100.03</v>
      </c>
      <c r="E148" s="141">
        <f ca="1">IFERROR(__xludf.DUMMYFUNCTION("""COMPUTED_VALUE"""),99.72)</f>
        <v>99.72</v>
      </c>
      <c r="F148" s="141">
        <f ca="1">IFERROR(__xludf.DUMMYFUNCTION("""COMPUTED_VALUE"""),100)</f>
        <v>100</v>
      </c>
      <c r="G148" s="143">
        <f ca="1">IFERROR(__xludf.DUMMYFUNCTION("""COMPUTED_VALUE"""),16939838)</f>
        <v>16939838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IFERROR(__xludf.DUMMYFUNCTION("""COMPUTED_VALUE"""),99.91)</f>
        <v>99.91</v>
      </c>
      <c r="D149" s="141">
        <f ca="1">IFERROR(__xludf.DUMMYFUNCTION("""COMPUTED_VALUE"""),100.08)</f>
        <v>100.08</v>
      </c>
      <c r="E149" s="141">
        <f ca="1">IFERROR(__xludf.DUMMYFUNCTION("""COMPUTED_VALUE"""),99.87)</f>
        <v>99.87</v>
      </c>
      <c r="F149" s="141">
        <f ca="1">IFERROR(__xludf.DUMMYFUNCTION("""COMPUTED_VALUE"""),100.02)</f>
        <v>100.02</v>
      </c>
      <c r="G149" s="143">
        <f ca="1">IFERROR(__xludf.DUMMYFUNCTION("""COMPUTED_VALUE"""),10154555)</f>
        <v>10154555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IFERROR(__xludf.DUMMYFUNCTION("""COMPUTED_VALUE"""),100.05)</f>
        <v>100.05</v>
      </c>
      <c r="D150" s="141">
        <f ca="1">IFERROR(__xludf.DUMMYFUNCTION("""COMPUTED_VALUE"""),100.15)</f>
        <v>100.15</v>
      </c>
      <c r="E150" s="141">
        <f ca="1">IFERROR(__xludf.DUMMYFUNCTION("""COMPUTED_VALUE"""),99.96)</f>
        <v>99.96</v>
      </c>
      <c r="F150" s="141">
        <f ca="1">IFERROR(__xludf.DUMMYFUNCTION("""COMPUTED_VALUE"""),100.11)</f>
        <v>100.11</v>
      </c>
      <c r="G150" s="143">
        <f ca="1">IFERROR(__xludf.DUMMYFUNCTION("""COMPUTED_VALUE"""),8621395)</f>
        <v>8621395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IFERROR(__xludf.DUMMYFUNCTION("""COMPUTED_VALUE"""),100.26)</f>
        <v>100.26</v>
      </c>
      <c r="D151" s="141">
        <f ca="1">IFERROR(__xludf.DUMMYFUNCTION("""COMPUTED_VALUE"""),100.31)</f>
        <v>100.31</v>
      </c>
      <c r="E151" s="141">
        <f ca="1">IFERROR(__xludf.DUMMYFUNCTION("""COMPUTED_VALUE"""),100.21)</f>
        <v>100.21</v>
      </c>
      <c r="F151" s="141">
        <f ca="1">IFERROR(__xludf.DUMMYFUNCTION("""COMPUTED_VALUE"""),100.26)</f>
        <v>100.26</v>
      </c>
      <c r="G151" s="143">
        <f ca="1">IFERROR(__xludf.DUMMYFUNCTION("""COMPUTED_VALUE"""),6527090)</f>
        <v>6527090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IFERROR(__xludf.DUMMYFUNCTION("""COMPUTED_VALUE"""),100.25)</f>
        <v>100.25</v>
      </c>
      <c r="D152" s="141">
        <f ca="1">IFERROR(__xludf.DUMMYFUNCTION("""COMPUTED_VALUE"""),100.33)</f>
        <v>100.33</v>
      </c>
      <c r="E152" s="141">
        <f ca="1">IFERROR(__xludf.DUMMYFUNCTION("""COMPUTED_VALUE"""),100.17)</f>
        <v>100.17</v>
      </c>
      <c r="F152" s="141">
        <f ca="1">IFERROR(__xludf.DUMMYFUNCTION("""COMPUTED_VALUE"""),100.19)</f>
        <v>100.19</v>
      </c>
      <c r="G152" s="143">
        <f ca="1">IFERROR(__xludf.DUMMYFUNCTION("""COMPUTED_VALUE"""),7571771)</f>
        <v>7571771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IFERROR(__xludf.DUMMYFUNCTION("""COMPUTED_VALUE"""),100.15)</f>
        <v>100.15</v>
      </c>
      <c r="D153" s="141">
        <f ca="1">IFERROR(__xludf.DUMMYFUNCTION("""COMPUTED_VALUE"""),100.17)</f>
        <v>100.17</v>
      </c>
      <c r="E153" s="141">
        <f ca="1">IFERROR(__xludf.DUMMYFUNCTION("""COMPUTED_VALUE"""),100)</f>
        <v>100</v>
      </c>
      <c r="F153" s="141">
        <f ca="1">IFERROR(__xludf.DUMMYFUNCTION("""COMPUTED_VALUE"""),100.15)</f>
        <v>100.15</v>
      </c>
      <c r="G153" s="143">
        <f ca="1">IFERROR(__xludf.DUMMYFUNCTION("""COMPUTED_VALUE"""),14730062)</f>
        <v>14730062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IFERROR(__xludf.DUMMYFUNCTION("""COMPUTED_VALUE"""),100.1)</f>
        <v>100.1</v>
      </c>
      <c r="D154" s="141">
        <f ca="1">IFERROR(__xludf.DUMMYFUNCTION("""COMPUTED_VALUE"""),100.24)</f>
        <v>100.24</v>
      </c>
      <c r="E154" s="141">
        <f ca="1">IFERROR(__xludf.DUMMYFUNCTION("""COMPUTED_VALUE"""),100.01)</f>
        <v>100.01</v>
      </c>
      <c r="F154" s="141">
        <f ca="1">IFERROR(__xludf.DUMMYFUNCTION("""COMPUTED_VALUE"""),100.15)</f>
        <v>100.15</v>
      </c>
      <c r="G154" s="143">
        <f ca="1">IFERROR(__xludf.DUMMYFUNCTION("""COMPUTED_VALUE"""),10066549)</f>
        <v>10066549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IFERROR(__xludf.DUMMYFUNCTION("""COMPUTED_VALUE"""),100.16)</f>
        <v>100.16</v>
      </c>
      <c r="D155" s="141">
        <f ca="1">IFERROR(__xludf.DUMMYFUNCTION("""COMPUTED_VALUE"""),100.22)</f>
        <v>100.22</v>
      </c>
      <c r="E155" s="141">
        <f ca="1">IFERROR(__xludf.DUMMYFUNCTION("""COMPUTED_VALUE"""),100.11)</f>
        <v>100.11</v>
      </c>
      <c r="F155" s="141">
        <f ca="1">IFERROR(__xludf.DUMMYFUNCTION("""COMPUTED_VALUE"""),100.13)</f>
        <v>100.13</v>
      </c>
      <c r="G155" s="143">
        <f ca="1">IFERROR(__xludf.DUMMYFUNCTION("""COMPUTED_VALUE"""),12469668)</f>
        <v>12469668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IFERROR(__xludf.DUMMYFUNCTION("""COMPUTED_VALUE"""),99.84)</f>
        <v>99.84</v>
      </c>
      <c r="D156" s="141">
        <f ca="1">IFERROR(__xludf.DUMMYFUNCTION("""COMPUTED_VALUE"""),99.85)</f>
        <v>99.85</v>
      </c>
      <c r="E156" s="141">
        <f ca="1">IFERROR(__xludf.DUMMYFUNCTION("""COMPUTED_VALUE"""),99.66)</f>
        <v>99.66</v>
      </c>
      <c r="F156" s="141">
        <f ca="1">IFERROR(__xludf.DUMMYFUNCTION("""COMPUTED_VALUE"""),99.69)</f>
        <v>99.69</v>
      </c>
      <c r="G156" s="143">
        <f ca="1">IFERROR(__xludf.DUMMYFUNCTION("""COMPUTED_VALUE"""),13264310)</f>
        <v>13264310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IFERROR(__xludf.DUMMYFUNCTION("""COMPUTED_VALUE"""),99.62)</f>
        <v>99.62</v>
      </c>
      <c r="D157" s="141">
        <f ca="1">IFERROR(__xludf.DUMMYFUNCTION("""COMPUTED_VALUE"""),99.72)</f>
        <v>99.72</v>
      </c>
      <c r="E157" s="141">
        <f ca="1">IFERROR(__xludf.DUMMYFUNCTION("""COMPUTED_VALUE"""),99.59)</f>
        <v>99.59</v>
      </c>
      <c r="F157" s="141">
        <f ca="1">IFERROR(__xludf.DUMMYFUNCTION("""COMPUTED_VALUE"""),99.7)</f>
        <v>99.7</v>
      </c>
      <c r="G157" s="143">
        <f ca="1">IFERROR(__xludf.DUMMYFUNCTION("""COMPUTED_VALUE"""),9358818)</f>
        <v>9358818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IFERROR(__xludf.DUMMYFUNCTION("""COMPUTED_VALUE"""),99.62)</f>
        <v>99.62</v>
      </c>
      <c r="D158" s="141">
        <f ca="1">IFERROR(__xludf.DUMMYFUNCTION("""COMPUTED_VALUE"""),99.75)</f>
        <v>99.75</v>
      </c>
      <c r="E158" s="141">
        <f ca="1">IFERROR(__xludf.DUMMYFUNCTION("""COMPUTED_VALUE"""),99.6)</f>
        <v>99.6</v>
      </c>
      <c r="F158" s="141">
        <f ca="1">IFERROR(__xludf.DUMMYFUNCTION("""COMPUTED_VALUE"""),99.64)</f>
        <v>99.64</v>
      </c>
      <c r="G158" s="143">
        <f ca="1">IFERROR(__xludf.DUMMYFUNCTION("""COMPUTED_VALUE"""),12574247)</f>
        <v>12574247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IFERROR(__xludf.DUMMYFUNCTION("""COMPUTED_VALUE"""),99.87)</f>
        <v>99.87</v>
      </c>
      <c r="D159" s="141">
        <f ca="1">IFERROR(__xludf.DUMMYFUNCTION("""COMPUTED_VALUE"""),100.11)</f>
        <v>100.11</v>
      </c>
      <c r="E159" s="141">
        <f ca="1">IFERROR(__xludf.DUMMYFUNCTION("""COMPUTED_VALUE"""),99.81)</f>
        <v>99.81</v>
      </c>
      <c r="F159" s="141">
        <f ca="1">IFERROR(__xludf.DUMMYFUNCTION("""COMPUTED_VALUE"""),100.07)</f>
        <v>100.07</v>
      </c>
      <c r="G159" s="143">
        <f ca="1">IFERROR(__xludf.DUMMYFUNCTION("""COMPUTED_VALUE"""),11442183)</f>
        <v>11442183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IFERROR(__xludf.DUMMYFUNCTION("""COMPUTED_VALUE"""),100.09)</f>
        <v>100.09</v>
      </c>
      <c r="D160" s="141">
        <f ca="1">IFERROR(__xludf.DUMMYFUNCTION("""COMPUTED_VALUE"""),100.14)</f>
        <v>100.14</v>
      </c>
      <c r="E160" s="141">
        <f ca="1">IFERROR(__xludf.DUMMYFUNCTION("""COMPUTED_VALUE"""),99.98)</f>
        <v>99.98</v>
      </c>
      <c r="F160" s="141">
        <f ca="1">IFERROR(__xludf.DUMMYFUNCTION("""COMPUTED_VALUE"""),100.13)</f>
        <v>100.13</v>
      </c>
      <c r="G160" s="143">
        <f ca="1">IFERROR(__xludf.DUMMYFUNCTION("""COMPUTED_VALUE"""),9471919)</f>
        <v>9471919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IFERROR(__xludf.DUMMYFUNCTION("""COMPUTED_VALUE"""),100.04)</f>
        <v>100.04</v>
      </c>
      <c r="D161" s="141">
        <f ca="1">IFERROR(__xludf.DUMMYFUNCTION("""COMPUTED_VALUE"""),100.17)</f>
        <v>100.17</v>
      </c>
      <c r="E161" s="141">
        <f ca="1">IFERROR(__xludf.DUMMYFUNCTION("""COMPUTED_VALUE"""),100)</f>
        <v>100</v>
      </c>
      <c r="F161" s="141">
        <f ca="1">IFERROR(__xludf.DUMMYFUNCTION("""COMPUTED_VALUE"""),100.16)</f>
        <v>100.16</v>
      </c>
      <c r="G161" s="143">
        <f ca="1">IFERROR(__xludf.DUMMYFUNCTION("""COMPUTED_VALUE"""),9307581)</f>
        <v>9307581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IFERROR(__xludf.DUMMYFUNCTION("""COMPUTED_VALUE"""),100.4)</f>
        <v>100.4</v>
      </c>
      <c r="D162" s="141">
        <f ca="1">IFERROR(__xludf.DUMMYFUNCTION("""COMPUTED_VALUE"""),100.5)</f>
        <v>100.5</v>
      </c>
      <c r="E162" s="141">
        <f ca="1">IFERROR(__xludf.DUMMYFUNCTION("""COMPUTED_VALUE"""),100.37)</f>
        <v>100.37</v>
      </c>
      <c r="F162" s="141">
        <f ca="1">IFERROR(__xludf.DUMMYFUNCTION("""COMPUTED_VALUE"""),100.45)</f>
        <v>100.45</v>
      </c>
      <c r="G162" s="143">
        <f ca="1">IFERROR(__xludf.DUMMYFUNCTION("""COMPUTED_VALUE"""),8566531)</f>
        <v>8566531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IFERROR(__xludf.DUMMYFUNCTION("""COMPUTED_VALUE"""),100.22)</f>
        <v>100.22</v>
      </c>
      <c r="D163" s="141">
        <f ca="1">IFERROR(__xludf.DUMMYFUNCTION("""COMPUTED_VALUE"""),100.4)</f>
        <v>100.4</v>
      </c>
      <c r="E163" s="141">
        <f ca="1">IFERROR(__xludf.DUMMYFUNCTION("""COMPUTED_VALUE"""),100.19)</f>
        <v>100.19</v>
      </c>
      <c r="F163" s="141">
        <f ca="1">IFERROR(__xludf.DUMMYFUNCTION("""COMPUTED_VALUE"""),100.22)</f>
        <v>100.22</v>
      </c>
      <c r="G163" s="143">
        <f ca="1">IFERROR(__xludf.DUMMYFUNCTION("""COMPUTED_VALUE"""),8484945)</f>
        <v>8484945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IFERROR(__xludf.DUMMYFUNCTION("""COMPUTED_VALUE"""),100.4)</f>
        <v>100.4</v>
      </c>
      <c r="D164" s="141">
        <f ca="1">IFERROR(__xludf.DUMMYFUNCTION("""COMPUTED_VALUE"""),100.7)</f>
        <v>100.7</v>
      </c>
      <c r="E164" s="141">
        <f ca="1">IFERROR(__xludf.DUMMYFUNCTION("""COMPUTED_VALUE"""),100.39)</f>
        <v>100.39</v>
      </c>
      <c r="F164" s="141">
        <f ca="1">IFERROR(__xludf.DUMMYFUNCTION("""COMPUTED_VALUE"""),100.67)</f>
        <v>100.67</v>
      </c>
      <c r="G164" s="143">
        <f ca="1">IFERROR(__xludf.DUMMYFUNCTION("""COMPUTED_VALUE"""),11167542)</f>
        <v>11167542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IFERROR(__xludf.DUMMYFUNCTION("""COMPUTED_VALUE"""),100.93)</f>
        <v>100.93</v>
      </c>
      <c r="D165" s="141">
        <f ca="1">IFERROR(__xludf.DUMMYFUNCTION("""COMPUTED_VALUE"""),101.01)</f>
        <v>101.01</v>
      </c>
      <c r="E165" s="141">
        <f ca="1">IFERROR(__xludf.DUMMYFUNCTION("""COMPUTED_VALUE"""),100.89)</f>
        <v>100.89</v>
      </c>
      <c r="F165" s="141">
        <f ca="1">IFERROR(__xludf.DUMMYFUNCTION("""COMPUTED_VALUE"""),100.99)</f>
        <v>100.99</v>
      </c>
      <c r="G165" s="143">
        <f ca="1">IFERROR(__xludf.DUMMYFUNCTION("""COMPUTED_VALUE"""),5927123)</f>
        <v>5927123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IFERROR(__xludf.DUMMYFUNCTION("""COMPUTED_VALUE"""),101)</f>
        <v>101</v>
      </c>
      <c r="D166" s="141">
        <f ca="1">IFERROR(__xludf.DUMMYFUNCTION("""COMPUTED_VALUE"""),101.04)</f>
        <v>101.04</v>
      </c>
      <c r="E166" s="141">
        <f ca="1">IFERROR(__xludf.DUMMYFUNCTION("""COMPUTED_VALUE"""),100.94)</f>
        <v>100.94</v>
      </c>
      <c r="F166" s="141">
        <f ca="1">IFERROR(__xludf.DUMMYFUNCTION("""COMPUTED_VALUE"""),101)</f>
        <v>101</v>
      </c>
      <c r="G166" s="143">
        <f ca="1">IFERROR(__xludf.DUMMYFUNCTION("""COMPUTED_VALUE"""),6588816)</f>
        <v>6588816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IFERROR(__xludf.DUMMYFUNCTION("""COMPUTED_VALUE"""),100.87)</f>
        <v>100.87</v>
      </c>
      <c r="D167" s="141">
        <f ca="1">IFERROR(__xludf.DUMMYFUNCTION("""COMPUTED_VALUE"""),100.96)</f>
        <v>100.96</v>
      </c>
      <c r="E167" s="141">
        <f ca="1">IFERROR(__xludf.DUMMYFUNCTION("""COMPUTED_VALUE"""),100.84)</f>
        <v>100.84</v>
      </c>
      <c r="F167" s="141">
        <f ca="1">IFERROR(__xludf.DUMMYFUNCTION("""COMPUTED_VALUE"""),100.86)</f>
        <v>100.86</v>
      </c>
      <c r="G167" s="143">
        <f ca="1">IFERROR(__xludf.DUMMYFUNCTION("""COMPUTED_VALUE"""),5460232)</f>
        <v>5460232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IFERROR(__xludf.DUMMYFUNCTION("""COMPUTED_VALUE"""),100.79)</f>
        <v>100.79</v>
      </c>
      <c r="D168" s="141">
        <f ca="1">IFERROR(__xludf.DUMMYFUNCTION("""COMPUTED_VALUE"""),100.94)</f>
        <v>100.94</v>
      </c>
      <c r="E168" s="141">
        <f ca="1">IFERROR(__xludf.DUMMYFUNCTION("""COMPUTED_VALUE"""),100.77)</f>
        <v>100.77</v>
      </c>
      <c r="F168" s="141">
        <f ca="1">IFERROR(__xludf.DUMMYFUNCTION("""COMPUTED_VALUE"""),100.88)</f>
        <v>100.88</v>
      </c>
      <c r="G168" s="143">
        <f ca="1">IFERROR(__xludf.DUMMYFUNCTION("""COMPUTED_VALUE"""),6600713)</f>
        <v>6600713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IFERROR(__xludf.DUMMYFUNCTION("""COMPUTED_VALUE"""),100.9)</f>
        <v>100.9</v>
      </c>
      <c r="D169" s="141">
        <f ca="1">IFERROR(__xludf.DUMMYFUNCTION("""COMPUTED_VALUE"""),100.93)</f>
        <v>100.93</v>
      </c>
      <c r="E169" s="141">
        <f ca="1">IFERROR(__xludf.DUMMYFUNCTION("""COMPUTED_VALUE"""),100.74)</f>
        <v>100.74</v>
      </c>
      <c r="F169" s="141">
        <f ca="1">IFERROR(__xludf.DUMMYFUNCTION("""COMPUTED_VALUE"""),100.9)</f>
        <v>100.9</v>
      </c>
      <c r="G169" s="143">
        <f ca="1">IFERROR(__xludf.DUMMYFUNCTION("""COMPUTED_VALUE"""),8651032)</f>
        <v>8651032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IFERROR(__xludf.DUMMYFUNCTION("""COMPUTED_VALUE"""),100.96)</f>
        <v>100.96</v>
      </c>
      <c r="D170" s="141">
        <f ca="1">IFERROR(__xludf.DUMMYFUNCTION("""COMPUTED_VALUE"""),101.18)</f>
        <v>101.18</v>
      </c>
      <c r="E170" s="141">
        <f ca="1">IFERROR(__xludf.DUMMYFUNCTION("""COMPUTED_VALUE"""),100.95)</f>
        <v>100.95</v>
      </c>
      <c r="F170" s="141">
        <f ca="1">IFERROR(__xludf.DUMMYFUNCTION("""COMPUTED_VALUE"""),101.1)</f>
        <v>101.1</v>
      </c>
      <c r="G170" s="143">
        <f ca="1">IFERROR(__xludf.DUMMYFUNCTION("""COMPUTED_VALUE"""),9650747)</f>
        <v>9650747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IFERROR(__xludf.DUMMYFUNCTION("""COMPUTED_VALUE"""),101.09)</f>
        <v>101.09</v>
      </c>
      <c r="D171" s="141">
        <f ca="1">IFERROR(__xludf.DUMMYFUNCTION("""COMPUTED_VALUE"""),101.15)</f>
        <v>101.15</v>
      </c>
      <c r="E171" s="141">
        <f ca="1">IFERROR(__xludf.DUMMYFUNCTION("""COMPUTED_VALUE"""),101.01)</f>
        <v>101.01</v>
      </c>
      <c r="F171" s="141">
        <f ca="1">IFERROR(__xludf.DUMMYFUNCTION("""COMPUTED_VALUE"""),101.09)</f>
        <v>101.09</v>
      </c>
      <c r="G171" s="143">
        <f ca="1">IFERROR(__xludf.DUMMYFUNCTION("""COMPUTED_VALUE"""),7588071)</f>
        <v>7588071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IFERROR(__xludf.DUMMYFUNCTION("""COMPUTED_VALUE"""),101.01)</f>
        <v>101.01</v>
      </c>
      <c r="D172" s="141">
        <f ca="1">IFERROR(__xludf.DUMMYFUNCTION("""COMPUTED_VALUE"""),101.13)</f>
        <v>101.13</v>
      </c>
      <c r="E172" s="141">
        <f ca="1">IFERROR(__xludf.DUMMYFUNCTION("""COMPUTED_VALUE"""),101.01)</f>
        <v>101.01</v>
      </c>
      <c r="F172" s="141">
        <f ca="1">IFERROR(__xludf.DUMMYFUNCTION("""COMPUTED_VALUE"""),101.04)</f>
        <v>101.04</v>
      </c>
      <c r="G172" s="143">
        <f ca="1">IFERROR(__xludf.DUMMYFUNCTION("""COMPUTED_VALUE"""),6867386)</f>
        <v>6867386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IFERROR(__xludf.DUMMYFUNCTION("""COMPUTED_VALUE"""),101.09)</f>
        <v>101.09</v>
      </c>
      <c r="D173" s="141">
        <f ca="1">IFERROR(__xludf.DUMMYFUNCTION("""COMPUTED_VALUE"""),101.21)</f>
        <v>101.21</v>
      </c>
      <c r="E173" s="141">
        <f ca="1">IFERROR(__xludf.DUMMYFUNCTION("""COMPUTED_VALUE"""),101.08)</f>
        <v>101.08</v>
      </c>
      <c r="F173" s="141">
        <f ca="1">IFERROR(__xludf.DUMMYFUNCTION("""COMPUTED_VALUE"""),101.2)</f>
        <v>101.2</v>
      </c>
      <c r="G173" s="143">
        <f ca="1">IFERROR(__xludf.DUMMYFUNCTION("""COMPUTED_VALUE"""),8917156)</f>
        <v>8917156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IFERROR(__xludf.DUMMYFUNCTION("""COMPUTED_VALUE"""),101.37)</f>
        <v>101.37</v>
      </c>
      <c r="D174" s="141">
        <f ca="1">IFERROR(__xludf.DUMMYFUNCTION("""COMPUTED_VALUE"""),101.46)</f>
        <v>101.46</v>
      </c>
      <c r="E174" s="141">
        <f ca="1">IFERROR(__xludf.DUMMYFUNCTION("""COMPUTED_VALUE"""),101.34)</f>
        <v>101.34</v>
      </c>
      <c r="F174" s="141">
        <f ca="1">IFERROR(__xludf.DUMMYFUNCTION("""COMPUTED_VALUE"""),101.4)</f>
        <v>101.4</v>
      </c>
      <c r="G174" s="143">
        <f ca="1">IFERROR(__xludf.DUMMYFUNCTION("""COMPUTED_VALUE"""),9016313)</f>
        <v>9016313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IFERROR(__xludf.DUMMYFUNCTION("""COMPUTED_VALUE"""),100.78)</f>
        <v>100.78</v>
      </c>
      <c r="D175" s="141">
        <f ca="1">IFERROR(__xludf.DUMMYFUNCTION("""COMPUTED_VALUE"""),100.8)</f>
        <v>100.8</v>
      </c>
      <c r="E175" s="141">
        <f ca="1">IFERROR(__xludf.DUMMYFUNCTION("""COMPUTED_VALUE"""),100.56)</f>
        <v>100.56</v>
      </c>
      <c r="F175" s="141">
        <f ca="1">IFERROR(__xludf.DUMMYFUNCTION("""COMPUTED_VALUE"""),100.68)</f>
        <v>100.68</v>
      </c>
      <c r="G175" s="143">
        <f ca="1">IFERROR(__xludf.DUMMYFUNCTION("""COMPUTED_VALUE"""),10203570)</f>
        <v>10203570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IFERROR(__xludf.DUMMYFUNCTION("""COMPUTED_VALUE"""),100.26)</f>
        <v>100.26</v>
      </c>
      <c r="D176" s="141">
        <f ca="1">IFERROR(__xludf.DUMMYFUNCTION("""COMPUTED_VALUE"""),100.71)</f>
        <v>100.71</v>
      </c>
      <c r="E176" s="141">
        <f ca="1">IFERROR(__xludf.DUMMYFUNCTION("""COMPUTED_VALUE"""),100.24)</f>
        <v>100.24</v>
      </c>
      <c r="F176" s="141">
        <f ca="1">IFERROR(__xludf.DUMMYFUNCTION("""COMPUTED_VALUE"""),100.57)</f>
        <v>100.57</v>
      </c>
      <c r="G176" s="143">
        <f ca="1">IFERROR(__xludf.DUMMYFUNCTION("""COMPUTED_VALUE"""),10436348)</f>
        <v>10436348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IFERROR(__xludf.DUMMYFUNCTION("""COMPUTED_VALUE"""),100.58)</f>
        <v>100.58</v>
      </c>
      <c r="D177" s="141">
        <f ca="1">IFERROR(__xludf.DUMMYFUNCTION("""COMPUTED_VALUE"""),100.62)</f>
        <v>100.62</v>
      </c>
      <c r="E177" s="141">
        <f ca="1">IFERROR(__xludf.DUMMYFUNCTION("""COMPUTED_VALUE"""),100.48)</f>
        <v>100.48</v>
      </c>
      <c r="F177" s="141">
        <f ca="1">IFERROR(__xludf.DUMMYFUNCTION("""COMPUTED_VALUE"""),100.53)</f>
        <v>100.53</v>
      </c>
      <c r="G177" s="143">
        <f ca="1">IFERROR(__xludf.DUMMYFUNCTION("""COMPUTED_VALUE"""),13741301)</f>
        <v>13741301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IFERROR(__xludf.DUMMYFUNCTION("""COMPUTED_VALUE"""),100.22)</f>
        <v>100.22</v>
      </c>
      <c r="D178" s="141">
        <f ca="1">IFERROR(__xludf.DUMMYFUNCTION("""COMPUTED_VALUE"""),100.32)</f>
        <v>100.32</v>
      </c>
      <c r="E178" s="141">
        <f ca="1">IFERROR(__xludf.DUMMYFUNCTION("""COMPUTED_VALUE"""),100.15)</f>
        <v>100.15</v>
      </c>
      <c r="F178" s="141">
        <f ca="1">IFERROR(__xludf.DUMMYFUNCTION("""COMPUTED_VALUE"""),100.24)</f>
        <v>100.24</v>
      </c>
      <c r="G178" s="143">
        <f ca="1">IFERROR(__xludf.DUMMYFUNCTION("""COMPUTED_VALUE"""),8474106)</f>
        <v>8474106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IFERROR(__xludf.DUMMYFUNCTION("""COMPUTED_VALUE"""),99.97)</f>
        <v>99.97</v>
      </c>
      <c r="D179" s="141">
        <f ca="1">IFERROR(__xludf.DUMMYFUNCTION("""COMPUTED_VALUE"""),100.37)</f>
        <v>100.37</v>
      </c>
      <c r="E179" s="141">
        <f ca="1">IFERROR(__xludf.DUMMYFUNCTION("""COMPUTED_VALUE"""),99.91)</f>
        <v>99.91</v>
      </c>
      <c r="F179" s="141">
        <f ca="1">IFERROR(__xludf.DUMMYFUNCTION("""COMPUTED_VALUE"""),100.12)</f>
        <v>100.12</v>
      </c>
      <c r="G179" s="143">
        <f ca="1">IFERROR(__xludf.DUMMYFUNCTION("""COMPUTED_VALUE"""),9355702)</f>
        <v>9355702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IFERROR(__xludf.DUMMYFUNCTION("""COMPUTED_VALUE"""),100.08)</f>
        <v>100.08</v>
      </c>
      <c r="D180" s="141">
        <f ca="1">IFERROR(__xludf.DUMMYFUNCTION("""COMPUTED_VALUE"""),100.48)</f>
        <v>100.48</v>
      </c>
      <c r="E180" s="141">
        <f ca="1">IFERROR(__xludf.DUMMYFUNCTION("""COMPUTED_VALUE"""),99.96)</f>
        <v>99.96</v>
      </c>
      <c r="F180" s="141">
        <f ca="1">IFERROR(__xludf.DUMMYFUNCTION("""COMPUTED_VALUE"""),100.44)</f>
        <v>100.44</v>
      </c>
      <c r="G180" s="143">
        <f ca="1">IFERROR(__xludf.DUMMYFUNCTION("""COMPUTED_VALUE"""),8588972)</f>
        <v>8588972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IFERROR(__xludf.DUMMYFUNCTION("""COMPUTED_VALUE"""),100.36)</f>
        <v>100.36</v>
      </c>
      <c r="D181" s="141">
        <f ca="1">IFERROR(__xludf.DUMMYFUNCTION("""COMPUTED_VALUE"""),100.44)</f>
        <v>100.44</v>
      </c>
      <c r="E181" s="141">
        <f ca="1">IFERROR(__xludf.DUMMYFUNCTION("""COMPUTED_VALUE"""),100.11)</f>
        <v>100.11</v>
      </c>
      <c r="F181" s="141">
        <f ca="1">IFERROR(__xludf.DUMMYFUNCTION("""COMPUTED_VALUE"""),100.11)</f>
        <v>100.11</v>
      </c>
      <c r="G181" s="143">
        <f ca="1">IFERROR(__xludf.DUMMYFUNCTION("""COMPUTED_VALUE"""),10177277)</f>
        <v>10177277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IFERROR(__xludf.DUMMYFUNCTION("""COMPUTED_VALUE"""),99.92)</f>
        <v>99.92</v>
      </c>
      <c r="D182" s="141">
        <f ca="1">IFERROR(__xludf.DUMMYFUNCTION("""COMPUTED_VALUE"""),100)</f>
        <v>100</v>
      </c>
      <c r="E182" s="141">
        <f ca="1">IFERROR(__xludf.DUMMYFUNCTION("""COMPUTED_VALUE"""),99.61)</f>
        <v>99.61</v>
      </c>
      <c r="F182" s="141">
        <f ca="1">IFERROR(__xludf.DUMMYFUNCTION("""COMPUTED_VALUE"""),99.66)</f>
        <v>99.66</v>
      </c>
      <c r="G182" s="143">
        <f ca="1">IFERROR(__xludf.DUMMYFUNCTION("""COMPUTED_VALUE"""),5933234)</f>
        <v>5933234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IFERROR(__xludf.DUMMYFUNCTION("""COMPUTED_VALUE"""),99.5)</f>
        <v>99.5</v>
      </c>
      <c r="D183" s="141">
        <f ca="1">IFERROR(__xludf.DUMMYFUNCTION("""COMPUTED_VALUE"""),99.57)</f>
        <v>99.57</v>
      </c>
      <c r="E183" s="141">
        <f ca="1">IFERROR(__xludf.DUMMYFUNCTION("""COMPUTED_VALUE"""),99.18)</f>
        <v>99.18</v>
      </c>
      <c r="F183" s="141">
        <f ca="1">IFERROR(__xludf.DUMMYFUNCTION("""COMPUTED_VALUE"""),99.29)</f>
        <v>99.29</v>
      </c>
      <c r="G183" s="143">
        <f ca="1">IFERROR(__xludf.DUMMYFUNCTION("""COMPUTED_VALUE"""),10195965)</f>
        <v>10195965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IFERROR(__xludf.DUMMYFUNCTION("""COMPUTED_VALUE"""),99.45)</f>
        <v>99.45</v>
      </c>
      <c r="D184" s="141">
        <f ca="1">IFERROR(__xludf.DUMMYFUNCTION("""COMPUTED_VALUE"""),99.54)</f>
        <v>99.54</v>
      </c>
      <c r="E184" s="141">
        <f ca="1">IFERROR(__xludf.DUMMYFUNCTION("""COMPUTED_VALUE"""),99.14)</f>
        <v>99.14</v>
      </c>
      <c r="F184" s="141">
        <f ca="1">IFERROR(__xludf.DUMMYFUNCTION("""COMPUTED_VALUE"""),99.21)</f>
        <v>99.21</v>
      </c>
      <c r="G184" s="143">
        <f ca="1">IFERROR(__xludf.DUMMYFUNCTION("""COMPUTED_VALUE"""),8749922)</f>
        <v>8749922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IFERROR(__xludf.DUMMYFUNCTION("""COMPUTED_VALUE"""),99.59)</f>
        <v>99.59</v>
      </c>
      <c r="D185" s="141">
        <f ca="1">IFERROR(__xludf.DUMMYFUNCTION("""COMPUTED_VALUE"""),99.65)</f>
        <v>99.65</v>
      </c>
      <c r="E185" s="141">
        <f ca="1">IFERROR(__xludf.DUMMYFUNCTION("""COMPUTED_VALUE"""),99.44)</f>
        <v>99.44</v>
      </c>
      <c r="F185" s="141">
        <f ca="1">IFERROR(__xludf.DUMMYFUNCTION("""COMPUTED_VALUE"""),99.6)</f>
        <v>99.6</v>
      </c>
      <c r="G185" s="143">
        <f ca="1">IFERROR(__xludf.DUMMYFUNCTION("""COMPUTED_VALUE"""),6168749)</f>
        <v>6168749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IFERROR(__xludf.DUMMYFUNCTION("""COMPUTED_VALUE"""),99.74)</f>
        <v>99.74</v>
      </c>
      <c r="D186" s="141">
        <f ca="1">IFERROR(__xludf.DUMMYFUNCTION("""COMPUTED_VALUE"""),99.83)</f>
        <v>99.83</v>
      </c>
      <c r="E186" s="141">
        <f ca="1">IFERROR(__xludf.DUMMYFUNCTION("""COMPUTED_VALUE"""),99.72)</f>
        <v>99.72</v>
      </c>
      <c r="F186" s="141">
        <f ca="1">IFERROR(__xludf.DUMMYFUNCTION("""COMPUTED_VALUE"""),99.8)</f>
        <v>99.8</v>
      </c>
      <c r="G186" s="143">
        <f ca="1">IFERROR(__xludf.DUMMYFUNCTION("""COMPUTED_VALUE"""),7377413)</f>
        <v>7377413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IFERROR(__xludf.DUMMYFUNCTION("""COMPUTED_VALUE"""),99.66)</f>
        <v>99.66</v>
      </c>
      <c r="D187" s="141">
        <f ca="1">IFERROR(__xludf.DUMMYFUNCTION("""COMPUTED_VALUE"""),99.74)</f>
        <v>99.74</v>
      </c>
      <c r="E187" s="141">
        <f ca="1">IFERROR(__xludf.DUMMYFUNCTION("""COMPUTED_VALUE"""),99.38)</f>
        <v>99.38</v>
      </c>
      <c r="F187" s="141">
        <f ca="1">IFERROR(__xludf.DUMMYFUNCTION("""COMPUTED_VALUE"""),99.38)</f>
        <v>99.38</v>
      </c>
      <c r="G187" s="143">
        <f ca="1">IFERROR(__xludf.DUMMYFUNCTION("""COMPUTED_VALUE"""),8241323)</f>
        <v>8241323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IFERROR(__xludf.DUMMYFUNCTION("""COMPUTED_VALUE"""),99.15)</f>
        <v>99.15</v>
      </c>
      <c r="D188" s="141">
        <f ca="1">IFERROR(__xludf.DUMMYFUNCTION("""COMPUTED_VALUE"""),99.62)</f>
        <v>99.62</v>
      </c>
      <c r="E188" s="141">
        <f ca="1">IFERROR(__xludf.DUMMYFUNCTION("""COMPUTED_VALUE"""),99.14)</f>
        <v>99.14</v>
      </c>
      <c r="F188" s="141">
        <f ca="1">IFERROR(__xludf.DUMMYFUNCTION("""COMPUTED_VALUE"""),99.49)</f>
        <v>99.49</v>
      </c>
      <c r="G188" s="143">
        <f ca="1">IFERROR(__xludf.DUMMYFUNCTION("""COMPUTED_VALUE"""),13223736)</f>
        <v>13223736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IFERROR(__xludf.DUMMYFUNCTION("""COMPUTED_VALUE"""),99.12)</f>
        <v>99.12</v>
      </c>
      <c r="D189" s="141">
        <f ca="1">IFERROR(__xludf.DUMMYFUNCTION("""COMPUTED_VALUE"""),99.17)</f>
        <v>99.17</v>
      </c>
      <c r="E189" s="141">
        <f ca="1">IFERROR(__xludf.DUMMYFUNCTION("""COMPUTED_VALUE"""),98.66)</f>
        <v>98.66</v>
      </c>
      <c r="F189" s="141">
        <f ca="1">IFERROR(__xludf.DUMMYFUNCTION("""COMPUTED_VALUE"""),98.66)</f>
        <v>98.66</v>
      </c>
      <c r="G189" s="143">
        <f ca="1">IFERROR(__xludf.DUMMYFUNCTION("""COMPUTED_VALUE"""),14458777)</f>
        <v>14458777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IFERROR(__xludf.DUMMYFUNCTION("""COMPUTED_VALUE"""),98.86)</f>
        <v>98.86</v>
      </c>
      <c r="D190" s="141">
        <f ca="1">IFERROR(__xludf.DUMMYFUNCTION("""COMPUTED_VALUE"""),99.24)</f>
        <v>99.24</v>
      </c>
      <c r="E190" s="141">
        <f ca="1">IFERROR(__xludf.DUMMYFUNCTION("""COMPUTED_VALUE"""),98.77)</f>
        <v>98.77</v>
      </c>
      <c r="F190" s="141">
        <f ca="1">IFERROR(__xludf.DUMMYFUNCTION("""COMPUTED_VALUE"""),99.03)</f>
        <v>99.03</v>
      </c>
      <c r="G190" s="143">
        <f ca="1">IFERROR(__xludf.DUMMYFUNCTION("""COMPUTED_VALUE"""),27624890)</f>
        <v>27624890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IFERROR(__xludf.DUMMYFUNCTION("""COMPUTED_VALUE"""),98.63)</f>
        <v>98.63</v>
      </c>
      <c r="D191" s="141">
        <f ca="1">IFERROR(__xludf.DUMMYFUNCTION("""COMPUTED_VALUE"""),98.97)</f>
        <v>98.97</v>
      </c>
      <c r="E191" s="141">
        <f ca="1">IFERROR(__xludf.DUMMYFUNCTION("""COMPUTED_VALUE"""),98.57)</f>
        <v>98.57</v>
      </c>
      <c r="F191" s="141">
        <f ca="1">IFERROR(__xludf.DUMMYFUNCTION("""COMPUTED_VALUE"""),98.76)</f>
        <v>98.76</v>
      </c>
      <c r="G191" s="143">
        <f ca="1">IFERROR(__xludf.DUMMYFUNCTION("""COMPUTED_VALUE"""),16738670)</f>
        <v>16738670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IFERROR(__xludf.DUMMYFUNCTION("""COMPUTED_VALUE"""),99.15)</f>
        <v>99.15</v>
      </c>
      <c r="D192" s="141">
        <f ca="1">IFERROR(__xludf.DUMMYFUNCTION("""COMPUTED_VALUE"""),99.21)</f>
        <v>99.21</v>
      </c>
      <c r="E192" s="141">
        <f ca="1">IFERROR(__xludf.DUMMYFUNCTION("""COMPUTED_VALUE"""),99)</f>
        <v>99</v>
      </c>
      <c r="F192" s="141">
        <f ca="1">IFERROR(__xludf.DUMMYFUNCTION("""COMPUTED_VALUE"""),99.11)</f>
        <v>99.11</v>
      </c>
      <c r="G192" s="143">
        <f ca="1">IFERROR(__xludf.DUMMYFUNCTION("""COMPUTED_VALUE"""),16242713)</f>
        <v>16242713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IFERROR(__xludf.DUMMYFUNCTION("""COMPUTED_VALUE"""),98.84)</f>
        <v>98.84</v>
      </c>
      <c r="D193" s="141">
        <f ca="1">IFERROR(__xludf.DUMMYFUNCTION("""COMPUTED_VALUE"""),98.97)</f>
        <v>98.97</v>
      </c>
      <c r="E193" s="141">
        <f ca="1">IFERROR(__xludf.DUMMYFUNCTION("""COMPUTED_VALUE"""),98.55)</f>
        <v>98.55</v>
      </c>
      <c r="F193" s="141">
        <f ca="1">IFERROR(__xludf.DUMMYFUNCTION("""COMPUTED_VALUE"""),98.55)</f>
        <v>98.55</v>
      </c>
      <c r="G193" s="143">
        <f ca="1">IFERROR(__xludf.DUMMYFUNCTION("""COMPUTED_VALUE"""),12299448)</f>
        <v>12299448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IFERROR(__xludf.DUMMYFUNCTION("""COMPUTED_VALUE"""),98.34)</f>
        <v>98.34</v>
      </c>
      <c r="D194" s="141">
        <f ca="1">IFERROR(__xludf.DUMMYFUNCTION("""COMPUTED_VALUE"""),98.67)</f>
        <v>98.67</v>
      </c>
      <c r="E194" s="141">
        <f ca="1">IFERROR(__xludf.DUMMYFUNCTION("""COMPUTED_VALUE"""),98.29)</f>
        <v>98.29</v>
      </c>
      <c r="F194" s="141">
        <f ca="1">IFERROR(__xludf.DUMMYFUNCTION("""COMPUTED_VALUE"""),98.54)</f>
        <v>98.54</v>
      </c>
      <c r="G194" s="143">
        <f ca="1">IFERROR(__xludf.DUMMYFUNCTION("""COMPUTED_VALUE"""),15511343)</f>
        <v>15511343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IFERROR(__xludf.DUMMYFUNCTION("""COMPUTED_VALUE"""),99.03)</f>
        <v>99.03</v>
      </c>
      <c r="D195" s="141">
        <f ca="1">IFERROR(__xludf.DUMMYFUNCTION("""COMPUTED_VALUE"""),99.2)</f>
        <v>99.2</v>
      </c>
      <c r="E195" s="141">
        <f ca="1">IFERROR(__xludf.DUMMYFUNCTION("""COMPUTED_VALUE"""),98.95)</f>
        <v>98.95</v>
      </c>
      <c r="F195" s="141">
        <f ca="1">IFERROR(__xludf.DUMMYFUNCTION("""COMPUTED_VALUE"""),99.04)</f>
        <v>99.04</v>
      </c>
      <c r="G195" s="143">
        <f ca="1">IFERROR(__xludf.DUMMYFUNCTION("""COMPUTED_VALUE"""),12882722)</f>
        <v>12882722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IFERROR(__xludf.DUMMYFUNCTION("""COMPUTED_VALUE"""),99.28)</f>
        <v>99.28</v>
      </c>
      <c r="D196" s="141">
        <f ca="1">IFERROR(__xludf.DUMMYFUNCTION("""COMPUTED_VALUE"""),99.48)</f>
        <v>99.48</v>
      </c>
      <c r="E196" s="141">
        <f ca="1">IFERROR(__xludf.DUMMYFUNCTION("""COMPUTED_VALUE"""),99.18)</f>
        <v>99.18</v>
      </c>
      <c r="F196" s="141">
        <f ca="1">IFERROR(__xludf.DUMMYFUNCTION("""COMPUTED_VALUE"""),99.27)</f>
        <v>99.27</v>
      </c>
      <c r="G196" s="143">
        <f ca="1">IFERROR(__xludf.DUMMYFUNCTION("""COMPUTED_VALUE"""),23478539)</f>
        <v>23478539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IFERROR(__xludf.DUMMYFUNCTION("""COMPUTED_VALUE"""),98.97)</f>
        <v>98.97</v>
      </c>
      <c r="D197" s="141">
        <f ca="1">IFERROR(__xludf.DUMMYFUNCTION("""COMPUTED_VALUE"""),99.17)</f>
        <v>99.17</v>
      </c>
      <c r="E197" s="141">
        <f ca="1">IFERROR(__xludf.DUMMYFUNCTION("""COMPUTED_VALUE"""),98.92)</f>
        <v>98.92</v>
      </c>
      <c r="F197" s="141">
        <f ca="1">IFERROR(__xludf.DUMMYFUNCTION("""COMPUTED_VALUE"""),99)</f>
        <v>99</v>
      </c>
      <c r="G197" s="143">
        <f ca="1">IFERROR(__xludf.DUMMYFUNCTION("""COMPUTED_VALUE"""),20860917)</f>
        <v>20860917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IFERROR(__xludf.DUMMYFUNCTION("""COMPUTED_VALUE"""),98.89)</f>
        <v>98.89</v>
      </c>
      <c r="D198" s="141">
        <f ca="1">IFERROR(__xludf.DUMMYFUNCTION("""COMPUTED_VALUE"""),99.29)</f>
        <v>99.29</v>
      </c>
      <c r="E198" s="141">
        <f ca="1">IFERROR(__xludf.DUMMYFUNCTION("""COMPUTED_VALUE"""),98.88)</f>
        <v>98.88</v>
      </c>
      <c r="F198" s="141">
        <f ca="1">IFERROR(__xludf.DUMMYFUNCTION("""COMPUTED_VALUE"""),99.23)</f>
        <v>99.23</v>
      </c>
      <c r="G198" s="143">
        <f ca="1">IFERROR(__xludf.DUMMYFUNCTION("""COMPUTED_VALUE"""),12024569)</f>
        <v>12024569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IFERROR(__xludf.DUMMYFUNCTION("""COMPUTED_VALUE"""),99)</f>
        <v>99</v>
      </c>
      <c r="D199" s="141">
        <f ca="1">IFERROR(__xludf.DUMMYFUNCTION("""COMPUTED_VALUE"""),99.17)</f>
        <v>99.17</v>
      </c>
      <c r="E199" s="141">
        <f ca="1">IFERROR(__xludf.DUMMYFUNCTION("""COMPUTED_VALUE"""),99)</f>
        <v>99</v>
      </c>
      <c r="F199" s="141">
        <f ca="1">IFERROR(__xludf.DUMMYFUNCTION("""COMPUTED_VALUE"""),99.05)</f>
        <v>99.05</v>
      </c>
      <c r="G199" s="143">
        <f ca="1">IFERROR(__xludf.DUMMYFUNCTION("""COMPUTED_VALUE"""),14350283)</f>
        <v>14350283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IFERROR(__xludf.DUMMYFUNCTION("""COMPUTED_VALUE"""),99.07)</f>
        <v>99.07</v>
      </c>
      <c r="D200" s="141">
        <f ca="1">IFERROR(__xludf.DUMMYFUNCTION("""COMPUTED_VALUE"""),99.22)</f>
        <v>99.22</v>
      </c>
      <c r="E200" s="141">
        <f ca="1">IFERROR(__xludf.DUMMYFUNCTION("""COMPUTED_VALUE"""),98.74)</f>
        <v>98.74</v>
      </c>
      <c r="F200" s="141">
        <f ca="1">IFERROR(__xludf.DUMMYFUNCTION("""COMPUTED_VALUE"""),99.17)</f>
        <v>99.17</v>
      </c>
      <c r="G200" s="143">
        <f ca="1">IFERROR(__xludf.DUMMYFUNCTION("""COMPUTED_VALUE"""),14034116)</f>
        <v>14034116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IFERROR(__xludf.DUMMYFUNCTION("""COMPUTED_VALUE"""),99.67)</f>
        <v>99.67</v>
      </c>
      <c r="D201" s="141">
        <f ca="1">IFERROR(__xludf.DUMMYFUNCTION("""COMPUTED_VALUE"""),99.72)</f>
        <v>99.72</v>
      </c>
      <c r="E201" s="141">
        <f ca="1">IFERROR(__xludf.DUMMYFUNCTION("""COMPUTED_VALUE"""),99.34)</f>
        <v>99.34</v>
      </c>
      <c r="F201" s="141">
        <f ca="1">IFERROR(__xludf.DUMMYFUNCTION("""COMPUTED_VALUE"""),99.43)</f>
        <v>99.43</v>
      </c>
      <c r="G201" s="143">
        <f ca="1">IFERROR(__xludf.DUMMYFUNCTION("""COMPUTED_VALUE"""),8882043)</f>
        <v>8882043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IFERROR(__xludf.DUMMYFUNCTION("""COMPUTED_VALUE"""),99.34)</f>
        <v>99.34</v>
      </c>
      <c r="D202" s="141">
        <f ca="1">IFERROR(__xludf.DUMMYFUNCTION("""COMPUTED_VALUE"""),99.64)</f>
        <v>99.64</v>
      </c>
      <c r="E202" s="141">
        <f ca="1">IFERROR(__xludf.DUMMYFUNCTION("""COMPUTED_VALUE"""),99.22)</f>
        <v>99.22</v>
      </c>
      <c r="F202" s="141">
        <f ca="1">IFERROR(__xludf.DUMMYFUNCTION("""COMPUTED_VALUE"""),99.49)</f>
        <v>99.49</v>
      </c>
      <c r="G202" s="143">
        <f ca="1">IFERROR(__xludf.DUMMYFUNCTION("""COMPUTED_VALUE"""),8004988)</f>
        <v>8004988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IFERROR(__xludf.DUMMYFUNCTION("""COMPUTED_VALUE"""),99.46)</f>
        <v>99.46</v>
      </c>
      <c r="D203" s="141">
        <f ca="1">IFERROR(__xludf.DUMMYFUNCTION("""COMPUTED_VALUE"""),99.49)</f>
        <v>99.49</v>
      </c>
      <c r="E203" s="141">
        <f ca="1">IFERROR(__xludf.DUMMYFUNCTION("""COMPUTED_VALUE"""),99.3)</f>
        <v>99.3</v>
      </c>
      <c r="F203" s="141">
        <f ca="1">IFERROR(__xludf.DUMMYFUNCTION("""COMPUTED_VALUE"""),99.32)</f>
        <v>99.32</v>
      </c>
      <c r="G203" s="143">
        <f ca="1">IFERROR(__xludf.DUMMYFUNCTION("""COMPUTED_VALUE"""),4512201)</f>
        <v>4512201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IFERROR(__xludf.DUMMYFUNCTION("""COMPUTED_VALUE"""),99.33)</f>
        <v>99.33</v>
      </c>
      <c r="D204" s="141">
        <f ca="1">IFERROR(__xludf.DUMMYFUNCTION("""COMPUTED_VALUE"""),99.56)</f>
        <v>99.56</v>
      </c>
      <c r="E204" s="141">
        <f ca="1">IFERROR(__xludf.DUMMYFUNCTION("""COMPUTED_VALUE"""),99.27)</f>
        <v>99.27</v>
      </c>
      <c r="F204" s="141">
        <f ca="1">IFERROR(__xludf.DUMMYFUNCTION("""COMPUTED_VALUE"""),99.52)</f>
        <v>99.52</v>
      </c>
      <c r="G204" s="143">
        <f ca="1">IFERROR(__xludf.DUMMYFUNCTION("""COMPUTED_VALUE"""),5838924)</f>
        <v>5838924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IFERROR(__xludf.DUMMYFUNCTION("""COMPUTED_VALUE"""),99.53)</f>
        <v>99.53</v>
      </c>
      <c r="D205" s="141">
        <f ca="1">IFERROR(__xludf.DUMMYFUNCTION("""COMPUTED_VALUE"""),99.79)</f>
        <v>99.79</v>
      </c>
      <c r="E205" s="141">
        <f ca="1">IFERROR(__xludf.DUMMYFUNCTION("""COMPUTED_VALUE"""),99.5)</f>
        <v>99.5</v>
      </c>
      <c r="F205" s="141">
        <f ca="1">IFERROR(__xludf.DUMMYFUNCTION("""COMPUTED_VALUE"""),99.78)</f>
        <v>99.78</v>
      </c>
      <c r="G205" s="143">
        <f ca="1">IFERROR(__xludf.DUMMYFUNCTION("""COMPUTED_VALUE"""),5811240)</f>
        <v>5811240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IFERROR(__xludf.DUMMYFUNCTION("""COMPUTED_VALUE"""),99.68)</f>
        <v>99.68</v>
      </c>
      <c r="D206" s="141">
        <f ca="1">IFERROR(__xludf.DUMMYFUNCTION("""COMPUTED_VALUE"""),99.7)</f>
        <v>99.7</v>
      </c>
      <c r="E206" s="141">
        <f ca="1">IFERROR(__xludf.DUMMYFUNCTION("""COMPUTED_VALUE"""),99.55)</f>
        <v>99.55</v>
      </c>
      <c r="F206" s="141">
        <f ca="1">IFERROR(__xludf.DUMMYFUNCTION("""COMPUTED_VALUE"""),99.62)</f>
        <v>99.62</v>
      </c>
      <c r="G206" s="143">
        <f ca="1">IFERROR(__xludf.DUMMYFUNCTION("""COMPUTED_VALUE"""),6536975)</f>
        <v>6536975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IFERROR(__xludf.DUMMYFUNCTION("""COMPUTED_VALUE"""),99.73)</f>
        <v>99.73</v>
      </c>
      <c r="D207" s="141">
        <f ca="1">IFERROR(__xludf.DUMMYFUNCTION("""COMPUTED_VALUE"""),99.75)</f>
        <v>99.75</v>
      </c>
      <c r="E207" s="141">
        <f ca="1">IFERROR(__xludf.DUMMYFUNCTION("""COMPUTED_VALUE"""),99.41)</f>
        <v>99.41</v>
      </c>
      <c r="F207" s="141">
        <f ca="1">IFERROR(__xludf.DUMMYFUNCTION("""COMPUTED_VALUE"""),99.48)</f>
        <v>99.48</v>
      </c>
      <c r="G207" s="143">
        <f ca="1">IFERROR(__xludf.DUMMYFUNCTION("""COMPUTED_VALUE"""),10659934)</f>
        <v>10659934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IFERROR(__xludf.DUMMYFUNCTION("""COMPUTED_VALUE"""),99.89)</f>
        <v>99.89</v>
      </c>
      <c r="D208" s="141">
        <f ca="1">IFERROR(__xludf.DUMMYFUNCTION("""COMPUTED_VALUE"""),100)</f>
        <v>100</v>
      </c>
      <c r="E208" s="141">
        <f ca="1">IFERROR(__xludf.DUMMYFUNCTION("""COMPUTED_VALUE"""),99.81)</f>
        <v>99.81</v>
      </c>
      <c r="F208" s="141">
        <f ca="1">IFERROR(__xludf.DUMMYFUNCTION("""COMPUTED_VALUE"""),99.85)</f>
        <v>99.85</v>
      </c>
      <c r="G208" s="143">
        <f ca="1">IFERROR(__xludf.DUMMYFUNCTION("""COMPUTED_VALUE"""),5614180)</f>
        <v>5614180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IFERROR(__xludf.DUMMYFUNCTION("""COMPUTED_VALUE"""),99.88)</f>
        <v>99.88</v>
      </c>
      <c r="D209" s="141">
        <f ca="1">IFERROR(__xludf.DUMMYFUNCTION("""COMPUTED_VALUE"""),99.88)</f>
        <v>99.88</v>
      </c>
      <c r="E209" s="141">
        <f ca="1">IFERROR(__xludf.DUMMYFUNCTION("""COMPUTED_VALUE"""),99.7)</f>
        <v>99.7</v>
      </c>
      <c r="F209" s="141">
        <f ca="1">IFERROR(__xludf.DUMMYFUNCTION("""COMPUTED_VALUE"""),99.84)</f>
        <v>99.84</v>
      </c>
      <c r="G209" s="143">
        <f ca="1">IFERROR(__xludf.DUMMYFUNCTION("""COMPUTED_VALUE"""),5687893)</f>
        <v>5687893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IFERROR(__xludf.DUMMYFUNCTION("""COMPUTED_VALUE"""),99.77)</f>
        <v>99.77</v>
      </c>
      <c r="D210" s="141">
        <f ca="1">IFERROR(__xludf.DUMMYFUNCTION("""COMPUTED_VALUE"""),99.77)</f>
        <v>99.77</v>
      </c>
      <c r="E210" s="141">
        <f ca="1">IFERROR(__xludf.DUMMYFUNCTION("""COMPUTED_VALUE"""),99.47)</f>
        <v>99.47</v>
      </c>
      <c r="F210" s="141">
        <f ca="1">IFERROR(__xludf.DUMMYFUNCTION("""COMPUTED_VALUE"""),99.47)</f>
        <v>99.47</v>
      </c>
      <c r="G210" s="143">
        <f ca="1">IFERROR(__xludf.DUMMYFUNCTION("""COMPUTED_VALUE"""),7583619)</f>
        <v>7583619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IFERROR(__xludf.DUMMYFUNCTION("""COMPUTED_VALUE"""),99.77)</f>
        <v>99.77</v>
      </c>
      <c r="D211" s="141">
        <f ca="1">IFERROR(__xludf.DUMMYFUNCTION("""COMPUTED_VALUE"""),99.77)</f>
        <v>99.77</v>
      </c>
      <c r="E211" s="141">
        <f ca="1">IFERROR(__xludf.DUMMYFUNCTION("""COMPUTED_VALUE"""),99.58)</f>
        <v>99.58</v>
      </c>
      <c r="F211" s="141">
        <f ca="1">IFERROR(__xludf.DUMMYFUNCTION("""COMPUTED_VALUE"""),99.61)</f>
        <v>99.61</v>
      </c>
      <c r="G211" s="143">
        <f ca="1">IFERROR(__xludf.DUMMYFUNCTION("""COMPUTED_VALUE"""),7874056)</f>
        <v>7874056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IFERROR(__xludf.DUMMYFUNCTION("""COMPUTED_VALUE"""),99.6)</f>
        <v>99.6</v>
      </c>
      <c r="D212" s="141">
        <f ca="1">IFERROR(__xludf.DUMMYFUNCTION("""COMPUTED_VALUE"""),99.7)</f>
        <v>99.7</v>
      </c>
      <c r="E212" s="141">
        <f ca="1">IFERROR(__xludf.DUMMYFUNCTION("""COMPUTED_VALUE"""),99.29)</f>
        <v>99.29</v>
      </c>
      <c r="F212" s="141">
        <f ca="1">IFERROR(__xludf.DUMMYFUNCTION("""COMPUTED_VALUE"""),99.45)</f>
        <v>99.45</v>
      </c>
      <c r="G212" s="143">
        <f ca="1">IFERROR(__xludf.DUMMYFUNCTION("""COMPUTED_VALUE"""),5063495)</f>
        <v>5063495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IFERROR(__xludf.DUMMYFUNCTION("""COMPUTED_VALUE"""),99.4)</f>
        <v>99.4</v>
      </c>
      <c r="D213" s="141">
        <f ca="1">IFERROR(__xludf.DUMMYFUNCTION("""COMPUTED_VALUE"""),99.64)</f>
        <v>99.64</v>
      </c>
      <c r="E213" s="141">
        <f ca="1">IFERROR(__xludf.DUMMYFUNCTION("""COMPUTED_VALUE"""),99.32)</f>
        <v>99.32</v>
      </c>
      <c r="F213" s="141">
        <f ca="1">IFERROR(__xludf.DUMMYFUNCTION("""COMPUTED_VALUE"""),99.59)</f>
        <v>99.59</v>
      </c>
      <c r="G213" s="143">
        <f ca="1">IFERROR(__xludf.DUMMYFUNCTION("""COMPUTED_VALUE"""),4791849)</f>
        <v>4791849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IFERROR(__xludf.DUMMYFUNCTION("""COMPUTED_VALUE"""),99.52)</f>
        <v>99.52</v>
      </c>
      <c r="D214" s="141">
        <f ca="1">IFERROR(__xludf.DUMMYFUNCTION("""COMPUTED_VALUE"""),99.58)</f>
        <v>99.58</v>
      </c>
      <c r="E214" s="141">
        <f ca="1">IFERROR(__xludf.DUMMYFUNCTION("""COMPUTED_VALUE"""),99.36)</f>
        <v>99.36</v>
      </c>
      <c r="F214" s="141">
        <f ca="1">IFERROR(__xludf.DUMMYFUNCTION("""COMPUTED_VALUE"""),99.44)</f>
        <v>99.44</v>
      </c>
      <c r="G214" s="143">
        <f ca="1">IFERROR(__xludf.DUMMYFUNCTION("""COMPUTED_VALUE"""),7852013)</f>
        <v>7852013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IFERROR(__xludf.DUMMYFUNCTION("""COMPUTED_VALUE"""),99.34)</f>
        <v>99.34</v>
      </c>
      <c r="D215" s="141">
        <f ca="1">IFERROR(__xludf.DUMMYFUNCTION("""COMPUTED_VALUE"""),99.41)</f>
        <v>99.41</v>
      </c>
      <c r="E215" s="141">
        <f ca="1">IFERROR(__xludf.DUMMYFUNCTION("""COMPUTED_VALUE"""),99.27)</f>
        <v>99.27</v>
      </c>
      <c r="F215" s="141">
        <f ca="1">IFERROR(__xludf.DUMMYFUNCTION("""COMPUTED_VALUE"""),99.4)</f>
        <v>99.4</v>
      </c>
      <c r="G215" s="143">
        <f ca="1">IFERROR(__xludf.DUMMYFUNCTION("""COMPUTED_VALUE"""),8672858)</f>
        <v>8672858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IFERROR(__xludf.DUMMYFUNCTION("""COMPUTED_VALUE"""),99.23)</f>
        <v>99.23</v>
      </c>
      <c r="D216" s="141">
        <f ca="1">IFERROR(__xludf.DUMMYFUNCTION("""COMPUTED_VALUE"""),99.23)</f>
        <v>99.23</v>
      </c>
      <c r="E216" s="141">
        <f ca="1">IFERROR(__xludf.DUMMYFUNCTION("""COMPUTED_VALUE"""),98.88)</f>
        <v>98.88</v>
      </c>
      <c r="F216" s="141">
        <f ca="1">IFERROR(__xludf.DUMMYFUNCTION("""COMPUTED_VALUE"""),98.96)</f>
        <v>98.96</v>
      </c>
      <c r="G216" s="143">
        <f ca="1">IFERROR(__xludf.DUMMYFUNCTION("""COMPUTED_VALUE"""),6764328)</f>
        <v>6764328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IFERROR(__xludf.DUMMYFUNCTION("""COMPUTED_VALUE"""),99.15)</f>
        <v>99.15</v>
      </c>
      <c r="D217" s="141">
        <f ca="1">IFERROR(__xludf.DUMMYFUNCTION("""COMPUTED_VALUE"""),99.22)</f>
        <v>99.22</v>
      </c>
      <c r="E217" s="141">
        <f ca="1">IFERROR(__xludf.DUMMYFUNCTION("""COMPUTED_VALUE"""),99.03)</f>
        <v>99.03</v>
      </c>
      <c r="F217" s="141">
        <f ca="1">IFERROR(__xludf.DUMMYFUNCTION("""COMPUTED_VALUE"""),99.1)</f>
        <v>99.1</v>
      </c>
      <c r="G217" s="143">
        <f ca="1">IFERROR(__xludf.DUMMYFUNCTION("""COMPUTED_VALUE"""),13320144)</f>
        <v>13320144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IFERROR(__xludf.DUMMYFUNCTION("""COMPUTED_VALUE"""),98.84)</f>
        <v>98.84</v>
      </c>
      <c r="D218" s="141">
        <f ca="1">IFERROR(__xludf.DUMMYFUNCTION("""COMPUTED_VALUE"""),99.13)</f>
        <v>99.13</v>
      </c>
      <c r="E218" s="141">
        <f ca="1">IFERROR(__xludf.DUMMYFUNCTION("""COMPUTED_VALUE"""),98.78)</f>
        <v>98.78</v>
      </c>
      <c r="F218" s="141">
        <f ca="1">IFERROR(__xludf.DUMMYFUNCTION("""COMPUTED_VALUE"""),98.9)</f>
        <v>98.9</v>
      </c>
      <c r="G218" s="143">
        <f ca="1">IFERROR(__xludf.DUMMYFUNCTION("""COMPUTED_VALUE"""),11661616)</f>
        <v>11661616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IFERROR(__xludf.DUMMYFUNCTION("""COMPUTED_VALUE"""),98.77)</f>
        <v>98.77</v>
      </c>
      <c r="D219" s="141">
        <f ca="1">IFERROR(__xludf.DUMMYFUNCTION("""COMPUTED_VALUE"""),98.8)</f>
        <v>98.8</v>
      </c>
      <c r="E219" s="141">
        <f ca="1">IFERROR(__xludf.DUMMYFUNCTION("""COMPUTED_VALUE"""),98.41)</f>
        <v>98.41</v>
      </c>
      <c r="F219" s="141">
        <f ca="1">IFERROR(__xludf.DUMMYFUNCTION("""COMPUTED_VALUE"""),98.59)</f>
        <v>98.59</v>
      </c>
      <c r="G219" s="143">
        <f ca="1">IFERROR(__xludf.DUMMYFUNCTION("""COMPUTED_VALUE"""),7580407)</f>
        <v>7580407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IFERROR(__xludf.DUMMYFUNCTION("""COMPUTED_VALUE"""),98.7)</f>
        <v>98.7</v>
      </c>
      <c r="D220" s="141">
        <f ca="1">IFERROR(__xludf.DUMMYFUNCTION("""COMPUTED_VALUE"""),98.85)</f>
        <v>98.85</v>
      </c>
      <c r="E220" s="141">
        <f ca="1">IFERROR(__xludf.DUMMYFUNCTION("""COMPUTED_VALUE"""),98.66)</f>
        <v>98.66</v>
      </c>
      <c r="F220" s="141">
        <f ca="1">IFERROR(__xludf.DUMMYFUNCTION("""COMPUTED_VALUE"""),98.77)</f>
        <v>98.77</v>
      </c>
      <c r="G220" s="143">
        <f ca="1">IFERROR(__xludf.DUMMYFUNCTION("""COMPUTED_VALUE"""),10045693)</f>
        <v>10045693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IFERROR(__xludf.DUMMYFUNCTION("""COMPUTED_VALUE"""),99.12)</f>
        <v>99.12</v>
      </c>
      <c r="D221" s="141">
        <f ca="1">IFERROR(__xludf.DUMMYFUNCTION("""COMPUTED_VALUE"""),99.22)</f>
        <v>99.22</v>
      </c>
      <c r="E221" s="141">
        <f ca="1">IFERROR(__xludf.DUMMYFUNCTION("""COMPUTED_VALUE"""),99.06)</f>
        <v>99.06</v>
      </c>
      <c r="F221" s="141">
        <f ca="1">IFERROR(__xludf.DUMMYFUNCTION("""COMPUTED_VALUE"""),99.19)</f>
        <v>99.19</v>
      </c>
      <c r="G221" s="143">
        <f ca="1">IFERROR(__xludf.DUMMYFUNCTION("""COMPUTED_VALUE"""),6968842)</f>
        <v>6968842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IFERROR(__xludf.DUMMYFUNCTION("""COMPUTED_VALUE"""),99.34)</f>
        <v>99.34</v>
      </c>
      <c r="D222" s="141">
        <f ca="1">IFERROR(__xludf.DUMMYFUNCTION("""COMPUTED_VALUE"""),99.39)</f>
        <v>99.39</v>
      </c>
      <c r="E222" s="141">
        <f ca="1">IFERROR(__xludf.DUMMYFUNCTION("""COMPUTED_VALUE"""),98.9)</f>
        <v>98.9</v>
      </c>
      <c r="F222" s="141">
        <f ca="1">IFERROR(__xludf.DUMMYFUNCTION("""COMPUTED_VALUE"""),98.95)</f>
        <v>98.95</v>
      </c>
      <c r="G222" s="143">
        <f ca="1">IFERROR(__xludf.DUMMYFUNCTION("""COMPUTED_VALUE"""),10903136)</f>
        <v>10903136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IFERROR(__xludf.DUMMYFUNCTION("""COMPUTED_VALUE"""),99.21)</f>
        <v>99.21</v>
      </c>
      <c r="D223" s="141">
        <f ca="1">IFERROR(__xludf.DUMMYFUNCTION("""COMPUTED_VALUE"""),99.26)</f>
        <v>99.26</v>
      </c>
      <c r="E223" s="141">
        <f ca="1">IFERROR(__xludf.DUMMYFUNCTION("""COMPUTED_VALUE"""),99.13)</f>
        <v>99.13</v>
      </c>
      <c r="F223" s="141">
        <f ca="1">IFERROR(__xludf.DUMMYFUNCTION("""COMPUTED_VALUE"""),99.18)</f>
        <v>99.18</v>
      </c>
      <c r="G223" s="143">
        <f ca="1">IFERROR(__xludf.DUMMYFUNCTION("""COMPUTED_VALUE"""),8205018)</f>
        <v>8205018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IFERROR(__xludf.DUMMYFUNCTION("""COMPUTED_VALUE"""),99.05)</f>
        <v>99.05</v>
      </c>
      <c r="D224" s="141">
        <f ca="1">IFERROR(__xludf.DUMMYFUNCTION("""COMPUTED_VALUE"""),99.11)</f>
        <v>99.11</v>
      </c>
      <c r="E224" s="141">
        <f ca="1">IFERROR(__xludf.DUMMYFUNCTION("""COMPUTED_VALUE"""),98.92)</f>
        <v>98.92</v>
      </c>
      <c r="F224" s="141">
        <f ca="1">IFERROR(__xludf.DUMMYFUNCTION("""COMPUTED_VALUE"""),98.92)</f>
        <v>98.92</v>
      </c>
      <c r="G224" s="143">
        <f ca="1">IFERROR(__xludf.DUMMYFUNCTION("""COMPUTED_VALUE"""),6848275)</f>
        <v>6848275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IFERROR(__xludf.DUMMYFUNCTION("""COMPUTED_VALUE"""),98.71)</f>
        <v>98.71</v>
      </c>
      <c r="D225" s="141">
        <f ca="1">IFERROR(__xludf.DUMMYFUNCTION("""COMPUTED_VALUE"""),98.73)</f>
        <v>98.73</v>
      </c>
      <c r="E225" s="141">
        <f ca="1">IFERROR(__xludf.DUMMYFUNCTION("""COMPUTED_VALUE"""),98.61)</f>
        <v>98.61</v>
      </c>
      <c r="F225" s="141">
        <f ca="1">IFERROR(__xludf.DUMMYFUNCTION("""COMPUTED_VALUE"""),98.63)</f>
        <v>98.63</v>
      </c>
      <c r="G225" s="143">
        <f ca="1">IFERROR(__xludf.DUMMYFUNCTION("""COMPUTED_VALUE"""),6336367)</f>
        <v>6336367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IFERROR(__xludf.DUMMYFUNCTION("""COMPUTED_VALUE"""),98.62)</f>
        <v>98.62</v>
      </c>
      <c r="D226" s="141">
        <f ca="1">IFERROR(__xludf.DUMMYFUNCTION("""COMPUTED_VALUE"""),98.69)</f>
        <v>98.69</v>
      </c>
      <c r="E226" s="141">
        <f ca="1">IFERROR(__xludf.DUMMYFUNCTION("""COMPUTED_VALUE"""),98.48)</f>
        <v>98.48</v>
      </c>
      <c r="F226" s="141">
        <f ca="1">IFERROR(__xludf.DUMMYFUNCTION("""COMPUTED_VALUE"""),98.67)</f>
        <v>98.67</v>
      </c>
      <c r="G226" s="143">
        <f ca="1">IFERROR(__xludf.DUMMYFUNCTION("""COMPUTED_VALUE"""),5396308)</f>
        <v>5396308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IFERROR(__xludf.DUMMYFUNCTION("""COMPUTED_VALUE"""),98.86)</f>
        <v>98.86</v>
      </c>
      <c r="D227" s="141">
        <f ca="1">IFERROR(__xludf.DUMMYFUNCTION("""COMPUTED_VALUE"""),98.89)</f>
        <v>98.89</v>
      </c>
      <c r="E227" s="141">
        <f ca="1">IFERROR(__xludf.DUMMYFUNCTION("""COMPUTED_VALUE"""),98.63)</f>
        <v>98.63</v>
      </c>
      <c r="F227" s="141">
        <f ca="1">IFERROR(__xludf.DUMMYFUNCTION("""COMPUTED_VALUE"""),98.64)</f>
        <v>98.64</v>
      </c>
      <c r="G227" s="143">
        <f ca="1">IFERROR(__xludf.DUMMYFUNCTION("""COMPUTED_VALUE"""),5124044)</f>
        <v>5124044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IFERROR(__xludf.DUMMYFUNCTION("""COMPUTED_VALUE"""),98.14)</f>
        <v>98.14</v>
      </c>
      <c r="D228" s="141">
        <f ca="1">IFERROR(__xludf.DUMMYFUNCTION("""COMPUTED_VALUE"""),98.2)</f>
        <v>98.2</v>
      </c>
      <c r="E228" s="141">
        <f ca="1">IFERROR(__xludf.DUMMYFUNCTION("""COMPUTED_VALUE"""),98.01)</f>
        <v>98.01</v>
      </c>
      <c r="F228" s="141">
        <f ca="1">IFERROR(__xludf.DUMMYFUNCTION("""COMPUTED_VALUE"""),98.02)</f>
        <v>98.02</v>
      </c>
      <c r="G228" s="143">
        <f ca="1">IFERROR(__xludf.DUMMYFUNCTION("""COMPUTED_VALUE"""),8026908)</f>
        <v>8026908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IFERROR(__xludf.DUMMYFUNCTION("""COMPUTED_VALUE"""),98.11)</f>
        <v>98.11</v>
      </c>
      <c r="D229" s="141">
        <f ca="1">IFERROR(__xludf.DUMMYFUNCTION("""COMPUTED_VALUE"""),98.21)</f>
        <v>98.21</v>
      </c>
      <c r="E229" s="141">
        <f ca="1">IFERROR(__xludf.DUMMYFUNCTION("""COMPUTED_VALUE"""),97.86)</f>
        <v>97.86</v>
      </c>
      <c r="F229" s="141">
        <f ca="1">IFERROR(__xludf.DUMMYFUNCTION("""COMPUTED_VALUE"""),98.01)</f>
        <v>98.01</v>
      </c>
      <c r="G229" s="143">
        <f ca="1">IFERROR(__xludf.DUMMYFUNCTION("""COMPUTED_VALUE"""),7774550)</f>
        <v>7774550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IFERROR(__xludf.DUMMYFUNCTION("""COMPUTED_VALUE"""),97.65)</f>
        <v>97.65</v>
      </c>
      <c r="D230" s="141">
        <f ca="1">IFERROR(__xludf.DUMMYFUNCTION("""COMPUTED_VALUE"""),97.8)</f>
        <v>97.8</v>
      </c>
      <c r="E230" s="141">
        <f ca="1">IFERROR(__xludf.DUMMYFUNCTION("""COMPUTED_VALUE"""),97.52)</f>
        <v>97.52</v>
      </c>
      <c r="F230" s="141">
        <f ca="1">IFERROR(__xludf.DUMMYFUNCTION("""COMPUTED_VALUE"""),97.63)</f>
        <v>97.63</v>
      </c>
      <c r="G230" s="143">
        <f ca="1">IFERROR(__xludf.DUMMYFUNCTION("""COMPUTED_VALUE"""),8945503)</f>
        <v>8945503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IFERROR(__xludf.DUMMYFUNCTION("""COMPUTED_VALUE"""),97.69)</f>
        <v>97.69</v>
      </c>
      <c r="D231" s="141">
        <f ca="1">IFERROR(__xludf.DUMMYFUNCTION("""COMPUTED_VALUE"""),98.28)</f>
        <v>98.28</v>
      </c>
      <c r="E231" s="141">
        <f ca="1">IFERROR(__xludf.DUMMYFUNCTION("""COMPUTED_VALUE"""),97.67)</f>
        <v>97.67</v>
      </c>
      <c r="F231" s="141">
        <f ca="1">IFERROR(__xludf.DUMMYFUNCTION("""COMPUTED_VALUE"""),98.22)</f>
        <v>98.22</v>
      </c>
      <c r="G231" s="143">
        <f ca="1">IFERROR(__xludf.DUMMYFUNCTION("""COMPUTED_VALUE"""),15851068)</f>
        <v>15851068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IFERROR(__xludf.DUMMYFUNCTION("""COMPUTED_VALUE"""),97.97)</f>
        <v>97.97</v>
      </c>
      <c r="D232" s="141">
        <f ca="1">IFERROR(__xludf.DUMMYFUNCTION("""COMPUTED_VALUE"""),98.34)</f>
        <v>98.34</v>
      </c>
      <c r="E232" s="141">
        <f ca="1">IFERROR(__xludf.DUMMYFUNCTION("""COMPUTED_VALUE"""),97.84)</f>
        <v>97.84</v>
      </c>
      <c r="F232" s="141">
        <f ca="1">IFERROR(__xludf.DUMMYFUNCTION("""COMPUTED_VALUE"""),98.34)</f>
        <v>98.34</v>
      </c>
      <c r="G232" s="143">
        <f ca="1">IFERROR(__xludf.DUMMYFUNCTION("""COMPUTED_VALUE"""),7072651)</f>
        <v>7072651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IFERROR(__xludf.DUMMYFUNCTION("""COMPUTED_VALUE"""),98.49)</f>
        <v>98.49</v>
      </c>
      <c r="D233" s="141">
        <f ca="1">IFERROR(__xludf.DUMMYFUNCTION("""COMPUTED_VALUE"""),98.51)</f>
        <v>98.51</v>
      </c>
      <c r="E233" s="141">
        <f ca="1">IFERROR(__xludf.DUMMYFUNCTION("""COMPUTED_VALUE"""),98.19)</f>
        <v>98.19</v>
      </c>
      <c r="F233" s="141">
        <f ca="1">IFERROR(__xludf.DUMMYFUNCTION("""COMPUTED_VALUE"""),98.44)</f>
        <v>98.44</v>
      </c>
      <c r="G233" s="143">
        <f ca="1">IFERROR(__xludf.DUMMYFUNCTION("""COMPUTED_VALUE"""),6950638)</f>
        <v>6950638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IFERROR(__xludf.DUMMYFUNCTION("""COMPUTED_VALUE"""),98.78)</f>
        <v>98.78</v>
      </c>
      <c r="D234" s="141">
        <f ca="1">IFERROR(__xludf.DUMMYFUNCTION("""COMPUTED_VALUE"""),98.85)</f>
        <v>98.85</v>
      </c>
      <c r="E234" s="141">
        <f ca="1">IFERROR(__xludf.DUMMYFUNCTION("""COMPUTED_VALUE"""),98.61)</f>
        <v>98.61</v>
      </c>
      <c r="F234" s="141">
        <f ca="1">IFERROR(__xludf.DUMMYFUNCTION("""COMPUTED_VALUE"""),98.72)</f>
        <v>98.72</v>
      </c>
      <c r="G234" s="143">
        <f ca="1">IFERROR(__xludf.DUMMYFUNCTION("""COMPUTED_VALUE"""),5334788)</f>
        <v>5334788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IFERROR(__xludf.DUMMYFUNCTION("""COMPUTED_VALUE"""),98.81)</f>
        <v>98.81</v>
      </c>
      <c r="D235" s="141">
        <f ca="1">IFERROR(__xludf.DUMMYFUNCTION("""COMPUTED_VALUE"""),98.9)</f>
        <v>98.9</v>
      </c>
      <c r="E235" s="141">
        <f ca="1">IFERROR(__xludf.DUMMYFUNCTION("""COMPUTED_VALUE"""),98.76)</f>
        <v>98.76</v>
      </c>
      <c r="F235" s="141">
        <f ca="1">IFERROR(__xludf.DUMMYFUNCTION("""COMPUTED_VALUE"""),98.8)</f>
        <v>98.8</v>
      </c>
      <c r="G235" s="143">
        <f ca="1">IFERROR(__xludf.DUMMYFUNCTION("""COMPUTED_VALUE"""),6899980)</f>
        <v>6899980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IFERROR(__xludf.DUMMYFUNCTION("""COMPUTED_VALUE"""),98.82)</f>
        <v>98.82</v>
      </c>
      <c r="D236" s="141">
        <f ca="1">IFERROR(__xludf.DUMMYFUNCTION("""COMPUTED_VALUE"""),99.1)</f>
        <v>99.1</v>
      </c>
      <c r="E236" s="141">
        <f ca="1">IFERROR(__xludf.DUMMYFUNCTION("""COMPUTED_VALUE"""),98.77)</f>
        <v>98.77</v>
      </c>
      <c r="F236" s="141">
        <f ca="1">IFERROR(__xludf.DUMMYFUNCTION("""COMPUTED_VALUE"""),99)</f>
        <v>99</v>
      </c>
      <c r="G236" s="143">
        <f ca="1">IFERROR(__xludf.DUMMYFUNCTION("""COMPUTED_VALUE"""),10302760)</f>
        <v>10302760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IFERROR(__xludf.DUMMYFUNCTION("""COMPUTED_VALUE"""),99.09)</f>
        <v>99.09</v>
      </c>
      <c r="D237" s="141">
        <f ca="1">IFERROR(__xludf.DUMMYFUNCTION("""COMPUTED_VALUE"""),99.19)</f>
        <v>99.19</v>
      </c>
      <c r="E237" s="141">
        <f ca="1">IFERROR(__xludf.DUMMYFUNCTION("""COMPUTED_VALUE"""),99.02)</f>
        <v>99.02</v>
      </c>
      <c r="F237" s="141">
        <f ca="1">IFERROR(__xludf.DUMMYFUNCTION("""COMPUTED_VALUE"""),99.06)</f>
        <v>99.06</v>
      </c>
      <c r="G237" s="143">
        <f ca="1">IFERROR(__xludf.DUMMYFUNCTION("""COMPUTED_VALUE"""),8936782)</f>
        <v>8936782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IFERROR(__xludf.DUMMYFUNCTION("""COMPUTED_VALUE"""),98.44)</f>
        <v>98.44</v>
      </c>
      <c r="D238" s="141">
        <f ca="1">IFERROR(__xludf.DUMMYFUNCTION("""COMPUTED_VALUE"""),98.7)</f>
        <v>98.7</v>
      </c>
      <c r="E238" s="141">
        <f ca="1">IFERROR(__xludf.DUMMYFUNCTION("""COMPUTED_VALUE"""),98.36)</f>
        <v>98.36</v>
      </c>
      <c r="F238" s="141">
        <f ca="1">IFERROR(__xludf.DUMMYFUNCTION("""COMPUTED_VALUE"""),98.68)</f>
        <v>98.68</v>
      </c>
      <c r="G238" s="143">
        <f ca="1">IFERROR(__xludf.DUMMYFUNCTION("""COMPUTED_VALUE"""),8816658)</f>
        <v>8816658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IFERROR(__xludf.DUMMYFUNCTION("""COMPUTED_VALUE"""),98.8)</f>
        <v>98.8</v>
      </c>
      <c r="D239" s="141">
        <f ca="1">IFERROR(__xludf.DUMMYFUNCTION("""COMPUTED_VALUE"""),98.84)</f>
        <v>98.84</v>
      </c>
      <c r="E239" s="141">
        <f ca="1">IFERROR(__xludf.DUMMYFUNCTION("""COMPUTED_VALUE"""),98.66)</f>
        <v>98.66</v>
      </c>
      <c r="F239" s="141">
        <f ca="1">IFERROR(__xludf.DUMMYFUNCTION("""COMPUTED_VALUE"""),98.71)</f>
        <v>98.71</v>
      </c>
      <c r="G239" s="143">
        <f ca="1">IFERROR(__xludf.DUMMYFUNCTION("""COMPUTED_VALUE"""),6863326)</f>
        <v>6863326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IFERROR(__xludf.DUMMYFUNCTION("""COMPUTED_VALUE"""),98.51)</f>
        <v>98.51</v>
      </c>
      <c r="D240" s="141">
        <f ca="1">IFERROR(__xludf.DUMMYFUNCTION("""COMPUTED_VALUE"""),98.59)</f>
        <v>98.59</v>
      </c>
      <c r="E240" s="141">
        <f ca="1">IFERROR(__xludf.DUMMYFUNCTION("""COMPUTED_VALUE"""),98.41)</f>
        <v>98.41</v>
      </c>
      <c r="F240" s="141">
        <f ca="1">IFERROR(__xludf.DUMMYFUNCTION("""COMPUTED_VALUE"""),98.5)</f>
        <v>98.5</v>
      </c>
      <c r="G240" s="143">
        <f ca="1">IFERROR(__xludf.DUMMYFUNCTION("""COMPUTED_VALUE"""),7331020)</f>
        <v>7331020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IFERROR(__xludf.DUMMYFUNCTION("""COMPUTED_VALUE"""),98.71)</f>
        <v>98.71</v>
      </c>
      <c r="D241" s="141">
        <f ca="1">IFERROR(__xludf.DUMMYFUNCTION("""COMPUTED_VALUE"""),99)</f>
        <v>99</v>
      </c>
      <c r="E241" s="141">
        <f ca="1">IFERROR(__xludf.DUMMYFUNCTION("""COMPUTED_VALUE"""),98.61)</f>
        <v>98.61</v>
      </c>
      <c r="F241" s="141">
        <f ca="1">IFERROR(__xludf.DUMMYFUNCTION("""COMPUTED_VALUE"""),98.66)</f>
        <v>98.66</v>
      </c>
      <c r="G241" s="143">
        <f ca="1">IFERROR(__xludf.DUMMYFUNCTION("""COMPUTED_VALUE"""),7001329)</f>
        <v>7001329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IFERROR(__xludf.DUMMYFUNCTION("""COMPUTED_VALUE"""),98.33)</f>
        <v>98.33</v>
      </c>
      <c r="D242" s="141">
        <f ca="1">IFERROR(__xludf.DUMMYFUNCTION("""COMPUTED_VALUE"""),98.37)</f>
        <v>98.37</v>
      </c>
      <c r="E242" s="141">
        <f ca="1">IFERROR(__xludf.DUMMYFUNCTION("""COMPUTED_VALUE"""),98.17)</f>
        <v>98.17</v>
      </c>
      <c r="F242" s="141">
        <f ca="1">IFERROR(__xludf.DUMMYFUNCTION("""COMPUTED_VALUE"""),98.17)</f>
        <v>98.17</v>
      </c>
      <c r="G242" s="143">
        <f ca="1">IFERROR(__xludf.DUMMYFUNCTION("""COMPUTED_VALUE"""),13805499)</f>
        <v>13805499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IFERROR(__xludf.DUMMYFUNCTION("""COMPUTED_VALUE"""),98.4)</f>
        <v>98.4</v>
      </c>
      <c r="D243" s="141">
        <f ca="1">IFERROR(__xludf.DUMMYFUNCTION("""COMPUTED_VALUE"""),98.43)</f>
        <v>98.43</v>
      </c>
      <c r="E243" s="141">
        <f ca="1">IFERROR(__xludf.DUMMYFUNCTION("""COMPUTED_VALUE"""),98.15)</f>
        <v>98.15</v>
      </c>
      <c r="F243" s="141">
        <f ca="1">IFERROR(__xludf.DUMMYFUNCTION("""COMPUTED_VALUE"""),98.17)</f>
        <v>98.17</v>
      </c>
      <c r="G243" s="143">
        <f ca="1">IFERROR(__xludf.DUMMYFUNCTION("""COMPUTED_VALUE"""),8965396)</f>
        <v>8965396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IFERROR(__xludf.DUMMYFUNCTION("""COMPUTED_VALUE"""),98.33)</f>
        <v>98.33</v>
      </c>
      <c r="D244" s="141">
        <f ca="1">IFERROR(__xludf.DUMMYFUNCTION("""COMPUTED_VALUE"""),98.42)</f>
        <v>98.42</v>
      </c>
      <c r="E244" s="141">
        <f ca="1">IFERROR(__xludf.DUMMYFUNCTION("""COMPUTED_VALUE"""),98.22)</f>
        <v>98.22</v>
      </c>
      <c r="F244" s="141">
        <f ca="1">IFERROR(__xludf.DUMMYFUNCTION("""COMPUTED_VALUE"""),98.37)</f>
        <v>98.37</v>
      </c>
      <c r="G244" s="143">
        <f ca="1">IFERROR(__xludf.DUMMYFUNCTION("""COMPUTED_VALUE"""),14475607)</f>
        <v>14475607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IFERROR(__xludf.DUMMYFUNCTION("""COMPUTED_VALUE"""),98.42)</f>
        <v>98.42</v>
      </c>
      <c r="D245" s="141">
        <f ca="1">IFERROR(__xludf.DUMMYFUNCTION("""COMPUTED_VALUE"""),98.48)</f>
        <v>98.48</v>
      </c>
      <c r="E245" s="141">
        <f ca="1">IFERROR(__xludf.DUMMYFUNCTION("""COMPUTED_VALUE"""),98.22)</f>
        <v>98.22</v>
      </c>
      <c r="F245" s="141">
        <f ca="1">IFERROR(__xludf.DUMMYFUNCTION("""COMPUTED_VALUE"""),98.31)</f>
        <v>98.31</v>
      </c>
      <c r="G245" s="143">
        <f ca="1">IFERROR(__xludf.DUMMYFUNCTION("""COMPUTED_VALUE"""),4781005)</f>
        <v>4781005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IFERROR(__xludf.DUMMYFUNCTION("""COMPUTED_VALUE"""),98.39)</f>
        <v>98.39</v>
      </c>
      <c r="D246" s="141">
        <f ca="1">IFERROR(__xludf.DUMMYFUNCTION("""COMPUTED_VALUE"""),98.92)</f>
        <v>98.92</v>
      </c>
      <c r="E246" s="141">
        <f ca="1">IFERROR(__xludf.DUMMYFUNCTION("""COMPUTED_VALUE"""),98.34)</f>
        <v>98.34</v>
      </c>
      <c r="F246" s="141">
        <f ca="1">IFERROR(__xludf.DUMMYFUNCTION("""COMPUTED_VALUE"""),98.88)</f>
        <v>98.88</v>
      </c>
      <c r="G246" s="143">
        <f ca="1">IFERROR(__xludf.DUMMYFUNCTION("""COMPUTED_VALUE"""),7137771)</f>
        <v>7137771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IFERROR(__xludf.DUMMYFUNCTION("""COMPUTED_VALUE"""),98.73)</f>
        <v>98.73</v>
      </c>
      <c r="D247" s="141">
        <f ca="1">IFERROR(__xludf.DUMMYFUNCTION("""COMPUTED_VALUE"""),98.82)</f>
        <v>98.82</v>
      </c>
      <c r="E247" s="141">
        <f ca="1">IFERROR(__xludf.DUMMYFUNCTION("""COMPUTED_VALUE"""),98.59)</f>
        <v>98.59</v>
      </c>
      <c r="F247" s="141">
        <f ca="1">IFERROR(__xludf.DUMMYFUNCTION("""COMPUTED_VALUE"""),98.76)</f>
        <v>98.76</v>
      </c>
      <c r="G247" s="143">
        <f ca="1">IFERROR(__xludf.DUMMYFUNCTION("""COMPUTED_VALUE"""),6317034)</f>
        <v>6317034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IFERROR(__xludf.DUMMYFUNCTION("""COMPUTED_VALUE"""),98.96)</f>
        <v>98.96</v>
      </c>
      <c r="D248" s="141">
        <f ca="1">IFERROR(__xludf.DUMMYFUNCTION("""COMPUTED_VALUE"""),99.03)</f>
        <v>99.03</v>
      </c>
      <c r="E248" s="141">
        <f ca="1">IFERROR(__xludf.DUMMYFUNCTION("""COMPUTED_VALUE"""),98.82)</f>
        <v>98.82</v>
      </c>
      <c r="F248" s="141">
        <f ca="1">IFERROR(__xludf.DUMMYFUNCTION("""COMPUTED_VALUE"""),98.85)</f>
        <v>98.85</v>
      </c>
      <c r="G248" s="143">
        <f ca="1">IFERROR(__xludf.DUMMYFUNCTION("""COMPUTED_VALUE"""),7115765)</f>
        <v>7115765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IFERROR(__xludf.DUMMYFUNCTION("""COMPUTED_VALUE"""),98.9)</f>
        <v>98.9</v>
      </c>
      <c r="D249" s="141">
        <f ca="1">IFERROR(__xludf.DUMMYFUNCTION("""COMPUTED_VALUE"""),99.09)</f>
        <v>99.09</v>
      </c>
      <c r="E249" s="141">
        <f ca="1">IFERROR(__xludf.DUMMYFUNCTION("""COMPUTED_VALUE"""),98.88)</f>
        <v>98.88</v>
      </c>
      <c r="F249" s="141">
        <f ca="1">IFERROR(__xludf.DUMMYFUNCTION("""COMPUTED_VALUE"""),98.97)</f>
        <v>98.97</v>
      </c>
      <c r="G249" s="143">
        <f ca="1">IFERROR(__xludf.DUMMYFUNCTION("""COMPUTED_VALUE"""),6353242)</f>
        <v>6353242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IFERROR(__xludf.DUMMYFUNCTION("""COMPUTED_VALUE"""),99)</f>
        <v>99</v>
      </c>
      <c r="D250" s="141">
        <f ca="1">IFERROR(__xludf.DUMMYFUNCTION("""COMPUTED_VALUE"""),99.07)</f>
        <v>99.07</v>
      </c>
      <c r="E250" s="141">
        <f ca="1">IFERROR(__xludf.DUMMYFUNCTION("""COMPUTED_VALUE"""),98.57)</f>
        <v>98.57</v>
      </c>
      <c r="F250" s="141">
        <f ca="1">IFERROR(__xludf.DUMMYFUNCTION("""COMPUTED_VALUE"""),98.61)</f>
        <v>98.61</v>
      </c>
      <c r="G250" s="143">
        <f ca="1">IFERROR(__xludf.DUMMYFUNCTION("""COMPUTED_VALUE"""),9348576)</f>
        <v>9348576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IFERROR(__xludf.DUMMYFUNCTION("""COMPUTED_VALUE"""),99)</f>
        <v>99</v>
      </c>
      <c r="D251" s="141">
        <f ca="1">IFERROR(__xludf.DUMMYFUNCTION("""COMPUTED_VALUE"""),99.11)</f>
        <v>99.11</v>
      </c>
      <c r="E251" s="141">
        <f ca="1">IFERROR(__xludf.DUMMYFUNCTION("""COMPUTED_VALUE"""),98.87)</f>
        <v>98.87</v>
      </c>
      <c r="F251" s="141">
        <f ca="1">IFERROR(__xludf.DUMMYFUNCTION("""COMPUTED_VALUE"""),98.9)</f>
        <v>98.9</v>
      </c>
      <c r="G251" s="143">
        <f ca="1">IFERROR(__xludf.DUMMYFUNCTION("""COMPUTED_VALUE"""),4635657)</f>
        <v>4635657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IFERROR(__xludf.DUMMYFUNCTION("""COMPUTED_VALUE"""),98.74)</f>
        <v>98.74</v>
      </c>
      <c r="D252" s="141">
        <f ca="1">IFERROR(__xludf.DUMMYFUNCTION("""COMPUTED_VALUE"""),98.77)</f>
        <v>98.77</v>
      </c>
      <c r="E252" s="141">
        <f ca="1">IFERROR(__xludf.DUMMYFUNCTION("""COMPUTED_VALUE"""),98.58)</f>
        <v>98.58</v>
      </c>
      <c r="F252" s="141">
        <f ca="1">IFERROR(__xludf.DUMMYFUNCTION("""COMPUTED_VALUE"""),98.63)</f>
        <v>98.63</v>
      </c>
      <c r="G252" s="143">
        <f ca="1">IFERROR(__xludf.DUMMYFUNCTION("""COMPUTED_VALUE"""),6323333)</f>
        <v>6323333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IFERROR(__xludf.DUMMYFUNCTION("""COMPUTED_VALUE"""),98.73)</f>
        <v>98.73</v>
      </c>
      <c r="D253" s="141">
        <f ca="1">IFERROR(__xludf.DUMMYFUNCTION("""COMPUTED_VALUE"""),98.85)</f>
        <v>98.85</v>
      </c>
      <c r="E253" s="141">
        <f ca="1">IFERROR(__xludf.DUMMYFUNCTION("""COMPUTED_VALUE"""),98.7)</f>
        <v>98.7</v>
      </c>
      <c r="F253" s="141">
        <f ca="1">IFERROR(__xludf.DUMMYFUNCTION("""COMPUTED_VALUE"""),98.71)</f>
        <v>98.71</v>
      </c>
      <c r="G253" s="143">
        <f ca="1">IFERROR(__xludf.DUMMYFUNCTION("""COMPUTED_VALUE"""),12089071)</f>
        <v>12089071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IFERROR(__xludf.DUMMYFUNCTION("""COMPUTED_VALUE"""),99.1)</f>
        <v>99.1</v>
      </c>
      <c r="D254" s="141">
        <f ca="1">IFERROR(__xludf.DUMMYFUNCTION("""COMPUTED_VALUE"""),99.24)</f>
        <v>99.24</v>
      </c>
      <c r="E254" s="141">
        <f ca="1">IFERROR(__xludf.DUMMYFUNCTION("""COMPUTED_VALUE"""),99.07)</f>
        <v>99.07</v>
      </c>
      <c r="F254" s="141">
        <f ca="1">IFERROR(__xludf.DUMMYFUNCTION("""COMPUTED_VALUE"""),99.19)</f>
        <v>99.19</v>
      </c>
      <c r="G254" s="143">
        <f ca="1">IFERROR(__xludf.DUMMYFUNCTION("""COMPUTED_VALUE"""),6517082)</f>
        <v>6517082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IFERROR(__xludf.DUMMYFUNCTION("""COMPUTED_VALUE"""),99.32)</f>
        <v>99.32</v>
      </c>
      <c r="D255" s="141">
        <f ca="1">IFERROR(__xludf.DUMMYFUNCTION("""COMPUTED_VALUE"""),99.43)</f>
        <v>99.43</v>
      </c>
      <c r="E255" s="141">
        <f ca="1">IFERROR(__xludf.DUMMYFUNCTION("""COMPUTED_VALUE"""),99.24)</f>
        <v>99.24</v>
      </c>
      <c r="F255" s="141">
        <f ca="1">IFERROR(__xludf.DUMMYFUNCTION("""COMPUTED_VALUE"""),99.25)</f>
        <v>99.25</v>
      </c>
      <c r="G255" s="143">
        <f ca="1">IFERROR(__xludf.DUMMYFUNCTION("""COMPUTED_VALUE"""),8178995)</f>
        <v>8178995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IFERROR(__xludf.DUMMYFUNCTION("""COMPUTED_VALUE"""),99.24)</f>
        <v>99.24</v>
      </c>
      <c r="D256" s="141">
        <f ca="1">IFERROR(__xludf.DUMMYFUNCTION("""COMPUTED_VALUE"""),99.42)</f>
        <v>99.42</v>
      </c>
      <c r="E256" s="141">
        <f ca="1">IFERROR(__xludf.DUMMYFUNCTION("""COMPUTED_VALUE"""),99.23)</f>
        <v>99.23</v>
      </c>
      <c r="F256" s="141">
        <f ca="1">IFERROR(__xludf.DUMMYFUNCTION("""COMPUTED_VALUE"""),99.34)</f>
        <v>99.34</v>
      </c>
      <c r="G256" s="143">
        <f ca="1">IFERROR(__xludf.DUMMYFUNCTION("""COMPUTED_VALUE"""),9920100)</f>
        <v>9920100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IFERROR(__xludf.DUMMYFUNCTION("""COMPUTED_VALUE"""),99.34)</f>
        <v>99.34</v>
      </c>
      <c r="D257" s="141">
        <f ca="1">IFERROR(__xludf.DUMMYFUNCTION("""COMPUTED_VALUE"""),99.41)</f>
        <v>99.41</v>
      </c>
      <c r="E257" s="141">
        <f ca="1">IFERROR(__xludf.DUMMYFUNCTION("""COMPUTED_VALUE"""),99.3)</f>
        <v>99.3</v>
      </c>
      <c r="F257" s="141">
        <f ca="1">IFERROR(__xludf.DUMMYFUNCTION("""COMPUTED_VALUE"""),99.37)</f>
        <v>99.37</v>
      </c>
      <c r="G257" s="143">
        <f ca="1">IFERROR(__xludf.DUMMYFUNCTION("""COMPUTED_VALUE"""),8163695)</f>
        <v>8163695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IFERROR(__xludf.DUMMYFUNCTION("""COMPUTED_VALUE"""),99.3)</f>
        <v>99.3</v>
      </c>
      <c r="D258" s="141">
        <f ca="1">IFERROR(__xludf.DUMMYFUNCTION("""COMPUTED_VALUE"""),99.3)</f>
        <v>99.3</v>
      </c>
      <c r="E258" s="141">
        <f ca="1">IFERROR(__xludf.DUMMYFUNCTION("""COMPUTED_VALUE"""),98.95)</f>
        <v>98.95</v>
      </c>
      <c r="F258" s="141">
        <f ca="1">IFERROR(__xludf.DUMMYFUNCTION("""COMPUTED_VALUE"""),98.98)</f>
        <v>98.98</v>
      </c>
      <c r="G258" s="143">
        <f ca="1">IFERROR(__xludf.DUMMYFUNCTION("""COMPUTED_VALUE"""),19005170)</f>
        <v>19005170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IFERROR(__xludf.DUMMYFUNCTION("""COMPUTED_VALUE"""),98.48)</f>
        <v>98.48</v>
      </c>
      <c r="D259" s="141">
        <f ca="1">IFERROR(__xludf.DUMMYFUNCTION("""COMPUTED_VALUE"""),98.61)</f>
        <v>98.61</v>
      </c>
      <c r="E259" s="141">
        <f ca="1">IFERROR(__xludf.DUMMYFUNCTION("""COMPUTED_VALUE"""),98.42)</f>
        <v>98.42</v>
      </c>
      <c r="F259" s="141">
        <f ca="1">IFERROR(__xludf.DUMMYFUNCTION("""COMPUTED_VALUE"""),98.5)</f>
        <v>98.5</v>
      </c>
      <c r="G259" s="143">
        <f ca="1">IFERROR(__xludf.DUMMYFUNCTION("""COMPUTED_VALUE"""),10914676)</f>
        <v>10914676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IFERROR(__xludf.DUMMYFUNCTION("""COMPUTED_VALUE"""),98.54)</f>
        <v>98.54</v>
      </c>
      <c r="D260" s="141">
        <f ca="1">IFERROR(__xludf.DUMMYFUNCTION("""COMPUTED_VALUE"""),98.66)</f>
        <v>98.66</v>
      </c>
      <c r="E260" s="141">
        <f ca="1">IFERROR(__xludf.DUMMYFUNCTION("""COMPUTED_VALUE"""),98.49)</f>
        <v>98.49</v>
      </c>
      <c r="F260" s="141">
        <f ca="1">IFERROR(__xludf.DUMMYFUNCTION("""COMPUTED_VALUE"""),98.61)</f>
        <v>98.61</v>
      </c>
      <c r="G260" s="143">
        <f ca="1">IFERROR(__xludf.DUMMYFUNCTION("""COMPUTED_VALUE"""),8407130)</f>
        <v>8407130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IFERROR(__xludf.DUMMYFUNCTION("""COMPUTED_VALUE"""),98.6)</f>
        <v>98.6</v>
      </c>
      <c r="D261" s="141">
        <f ca="1">IFERROR(__xludf.DUMMYFUNCTION("""COMPUTED_VALUE"""),98.67)</f>
        <v>98.67</v>
      </c>
      <c r="E261" s="141">
        <f ca="1">IFERROR(__xludf.DUMMYFUNCTION("""COMPUTED_VALUE"""),98.48)</f>
        <v>98.48</v>
      </c>
      <c r="F261" s="141">
        <f ca="1">IFERROR(__xludf.DUMMYFUNCTION("""COMPUTED_VALUE"""),98.66)</f>
        <v>98.66</v>
      </c>
      <c r="G261" s="143">
        <f ca="1">IFERROR(__xludf.DUMMYFUNCTION("""COMPUTED_VALUE"""),6837115)</f>
        <v>6837115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IFERROR(__xludf.DUMMYFUNCTION("""COMPUTED_VALUE"""),98.46)</f>
        <v>98.46</v>
      </c>
      <c r="D262" s="141">
        <f ca="1">IFERROR(__xludf.DUMMYFUNCTION("""COMPUTED_VALUE"""),98.49)</f>
        <v>98.49</v>
      </c>
      <c r="E262" s="141">
        <f ca="1">IFERROR(__xludf.DUMMYFUNCTION("""COMPUTED_VALUE"""),98.16)</f>
        <v>98.16</v>
      </c>
      <c r="F262" s="141">
        <f ca="1">IFERROR(__xludf.DUMMYFUNCTION("""COMPUTED_VALUE"""),98.21)</f>
        <v>98.21</v>
      </c>
      <c r="G262" s="143">
        <f ca="1">IFERROR(__xludf.DUMMYFUNCTION("""COMPUTED_VALUE"""),9137277)</f>
        <v>9137277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IFERROR(__xludf.DUMMYFUNCTION("""COMPUTED_VALUE"""),98.08)</f>
        <v>98.08</v>
      </c>
      <c r="D263" s="141">
        <f ca="1">IFERROR(__xludf.DUMMYFUNCTION("""COMPUTED_VALUE"""),98.11)</f>
        <v>98.11</v>
      </c>
      <c r="E263" s="141">
        <f ca="1">IFERROR(__xludf.DUMMYFUNCTION("""COMPUTED_VALUE"""),97.9)</f>
        <v>97.9</v>
      </c>
      <c r="F263" s="141">
        <f ca="1">IFERROR(__xludf.DUMMYFUNCTION("""COMPUTED_VALUE"""),98.04)</f>
        <v>98.04</v>
      </c>
      <c r="G263" s="143">
        <f ca="1">IFERROR(__xludf.DUMMYFUNCTION("""COMPUTED_VALUE"""),7482994)</f>
        <v>7482994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IFERROR(__xludf.DUMMYFUNCTION("""COMPUTED_VALUE"""),98.12)</f>
        <v>98.12</v>
      </c>
      <c r="D264" s="141">
        <f ca="1">IFERROR(__xludf.DUMMYFUNCTION("""COMPUTED_VALUE"""),98.31)</f>
        <v>98.31</v>
      </c>
      <c r="E264" s="141">
        <f ca="1">IFERROR(__xludf.DUMMYFUNCTION("""COMPUTED_VALUE"""),98.04)</f>
        <v>98.04</v>
      </c>
      <c r="F264" s="141">
        <f ca="1">IFERROR(__xludf.DUMMYFUNCTION("""COMPUTED_VALUE"""),98.18)</f>
        <v>98.18</v>
      </c>
      <c r="G264" s="143">
        <f ca="1">IFERROR(__xludf.DUMMYFUNCTION("""COMPUTED_VALUE"""),9011059)</f>
        <v>9011059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IFERROR(__xludf.DUMMYFUNCTION("""COMPUTED_VALUE"""),98.41)</f>
        <v>98.41</v>
      </c>
      <c r="D265" s="141">
        <f ca="1">IFERROR(__xludf.DUMMYFUNCTION("""COMPUTED_VALUE"""),98.48)</f>
        <v>98.48</v>
      </c>
      <c r="E265" s="141">
        <f ca="1">IFERROR(__xludf.DUMMYFUNCTION("""COMPUTED_VALUE"""),98.02)</f>
        <v>98.02</v>
      </c>
      <c r="F265" s="141">
        <f ca="1">IFERROR(__xludf.DUMMYFUNCTION("""COMPUTED_VALUE"""),98.08)</f>
        <v>98.08</v>
      </c>
      <c r="G265" s="143">
        <f ca="1">IFERROR(__xludf.DUMMYFUNCTION("""COMPUTED_VALUE"""),7745450)</f>
        <v>7745450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IFERROR(__xludf.DUMMYFUNCTION("""COMPUTED_VALUE"""),97.93)</f>
        <v>97.93</v>
      </c>
      <c r="D266" s="141">
        <f ca="1">IFERROR(__xludf.DUMMYFUNCTION("""COMPUTED_VALUE"""),98.02)</f>
        <v>98.02</v>
      </c>
      <c r="E266" s="141">
        <f ca="1">IFERROR(__xludf.DUMMYFUNCTION("""COMPUTED_VALUE"""),97.71)</f>
        <v>97.71</v>
      </c>
      <c r="F266" s="141">
        <f ca="1">IFERROR(__xludf.DUMMYFUNCTION("""COMPUTED_VALUE"""),97.71)</f>
        <v>97.71</v>
      </c>
      <c r="G266" s="143">
        <f ca="1">IFERROR(__xludf.DUMMYFUNCTION("""COMPUTED_VALUE"""),8320066)</f>
        <v>8320066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IFERROR(__xludf.DUMMYFUNCTION("""COMPUTED_VALUE"""),97.98)</f>
        <v>97.98</v>
      </c>
      <c r="D267" s="141">
        <f ca="1">IFERROR(__xludf.DUMMYFUNCTION("""COMPUTED_VALUE"""),98.13)</f>
        <v>98.13</v>
      </c>
      <c r="E267" s="141">
        <f ca="1">IFERROR(__xludf.DUMMYFUNCTION("""COMPUTED_VALUE"""),97.9)</f>
        <v>97.9</v>
      </c>
      <c r="F267" s="141">
        <f ca="1">IFERROR(__xludf.DUMMYFUNCTION("""COMPUTED_VALUE"""),98)</f>
        <v>98</v>
      </c>
      <c r="G267" s="143">
        <f ca="1">IFERROR(__xludf.DUMMYFUNCTION("""COMPUTED_VALUE"""),6715092)</f>
        <v>6715092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IFERROR(__xludf.DUMMYFUNCTION("""COMPUTED_VALUE"""),98.06)</f>
        <v>98.06</v>
      </c>
      <c r="D268" s="141">
        <f ca="1">IFERROR(__xludf.DUMMYFUNCTION("""COMPUTED_VALUE"""),98.26)</f>
        <v>98.26</v>
      </c>
      <c r="E268" s="141">
        <f ca="1">IFERROR(__xludf.DUMMYFUNCTION("""COMPUTED_VALUE"""),98.06)</f>
        <v>98.06</v>
      </c>
      <c r="F268" s="141">
        <f ca="1">IFERROR(__xludf.DUMMYFUNCTION("""COMPUTED_VALUE"""),98.14)</f>
        <v>98.14</v>
      </c>
      <c r="G268" s="143">
        <f ca="1">IFERROR(__xludf.DUMMYFUNCTION("""COMPUTED_VALUE"""),11873004)</f>
        <v>11873004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IFERROR(__xludf.DUMMYFUNCTION("""COMPUTED_VALUE"""),98.03)</f>
        <v>98.03</v>
      </c>
      <c r="D269" s="141">
        <f ca="1">IFERROR(__xludf.DUMMYFUNCTION("""COMPUTED_VALUE"""),98.17)</f>
        <v>98.17</v>
      </c>
      <c r="E269" s="141">
        <f ca="1">IFERROR(__xludf.DUMMYFUNCTION("""COMPUTED_VALUE"""),97.99)</f>
        <v>97.99</v>
      </c>
      <c r="F269" s="141">
        <f ca="1">IFERROR(__xludf.DUMMYFUNCTION("""COMPUTED_VALUE"""),98.13)</f>
        <v>98.13</v>
      </c>
      <c r="G269" s="143">
        <f ca="1">IFERROR(__xludf.DUMMYFUNCTION("""COMPUTED_VALUE"""),6691804)</f>
        <v>6691804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IFERROR(__xludf.DUMMYFUNCTION("""COMPUTED_VALUE"""),98.32)</f>
        <v>98.32</v>
      </c>
      <c r="D270" s="141">
        <f ca="1">IFERROR(__xludf.DUMMYFUNCTION("""COMPUTED_VALUE"""),98.4)</f>
        <v>98.4</v>
      </c>
      <c r="E270" s="141">
        <f ca="1">IFERROR(__xludf.DUMMYFUNCTION("""COMPUTED_VALUE"""),98.18)</f>
        <v>98.18</v>
      </c>
      <c r="F270" s="141">
        <f ca="1">IFERROR(__xludf.DUMMYFUNCTION("""COMPUTED_VALUE"""),98.2)</f>
        <v>98.2</v>
      </c>
      <c r="G270" s="143">
        <f ca="1">IFERROR(__xludf.DUMMYFUNCTION("""COMPUTED_VALUE"""),6552298)</f>
        <v>6552298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IFERROR(__xludf.DUMMYFUNCTION("""COMPUTED_VALUE"""),98.17)</f>
        <v>98.17</v>
      </c>
      <c r="D271" s="141">
        <f ca="1">IFERROR(__xludf.DUMMYFUNCTION("""COMPUTED_VALUE"""),98.18)</f>
        <v>98.18</v>
      </c>
      <c r="E271" s="141">
        <f ca="1">IFERROR(__xludf.DUMMYFUNCTION("""COMPUTED_VALUE"""),97.9)</f>
        <v>97.9</v>
      </c>
      <c r="F271" s="141">
        <f ca="1">IFERROR(__xludf.DUMMYFUNCTION("""COMPUTED_VALUE"""),97.95)</f>
        <v>97.95</v>
      </c>
      <c r="G271" s="143">
        <f ca="1">IFERROR(__xludf.DUMMYFUNCTION("""COMPUTED_VALUE"""),4949443)</f>
        <v>4949443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IFERROR(__xludf.DUMMYFUNCTION("""COMPUTED_VALUE"""),97.85)</f>
        <v>97.85</v>
      </c>
      <c r="D272" s="141">
        <f ca="1">IFERROR(__xludf.DUMMYFUNCTION("""COMPUTED_VALUE"""),97.9)</f>
        <v>97.9</v>
      </c>
      <c r="E272" s="141">
        <f ca="1">IFERROR(__xludf.DUMMYFUNCTION("""COMPUTED_VALUE"""),97.72)</f>
        <v>97.72</v>
      </c>
      <c r="F272" s="141">
        <f ca="1">IFERROR(__xludf.DUMMYFUNCTION("""COMPUTED_VALUE"""),97.74)</f>
        <v>97.74</v>
      </c>
      <c r="G272" s="143">
        <f ca="1">IFERROR(__xludf.DUMMYFUNCTION("""COMPUTED_VALUE"""),9518208)</f>
        <v>9518208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IFERROR(__xludf.DUMMYFUNCTION("""COMPUTED_VALUE"""),97.71)</f>
        <v>97.71</v>
      </c>
      <c r="D273" s="141">
        <f ca="1">IFERROR(__xludf.DUMMYFUNCTION("""COMPUTED_VALUE"""),97.74)</f>
        <v>97.74</v>
      </c>
      <c r="E273" s="141">
        <f ca="1">IFERROR(__xludf.DUMMYFUNCTION("""COMPUTED_VALUE"""),97.58)</f>
        <v>97.58</v>
      </c>
      <c r="F273" s="141">
        <f ca="1">IFERROR(__xludf.DUMMYFUNCTION("""COMPUTED_VALUE"""),97.58)</f>
        <v>97.58</v>
      </c>
      <c r="G273" s="143">
        <f ca="1">IFERROR(__xludf.DUMMYFUNCTION("""COMPUTED_VALUE"""),6313324)</f>
        <v>6313324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IFERROR(__xludf.DUMMYFUNCTION("""COMPUTED_VALUE"""),97.32)</f>
        <v>97.32</v>
      </c>
      <c r="D274" s="141">
        <f ca="1">IFERROR(__xludf.DUMMYFUNCTION("""COMPUTED_VALUE"""),97.4)</f>
        <v>97.4</v>
      </c>
      <c r="E274" s="141">
        <f ca="1">IFERROR(__xludf.DUMMYFUNCTION("""COMPUTED_VALUE"""),97.27)</f>
        <v>97.27</v>
      </c>
      <c r="F274" s="141">
        <f ca="1">IFERROR(__xludf.DUMMYFUNCTION("""COMPUTED_VALUE"""),97.34)</f>
        <v>97.34</v>
      </c>
      <c r="G274" s="143">
        <f ca="1">IFERROR(__xludf.DUMMYFUNCTION("""COMPUTED_VALUE"""),6394375)</f>
        <v>6394375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IFERROR(__xludf.DUMMYFUNCTION("""COMPUTED_VALUE"""),97.45)</f>
        <v>97.45</v>
      </c>
      <c r="D275" s="141">
        <f ca="1">IFERROR(__xludf.DUMMYFUNCTION("""COMPUTED_VALUE"""),97.64)</f>
        <v>97.64</v>
      </c>
      <c r="E275" s="141">
        <f ca="1">IFERROR(__xludf.DUMMYFUNCTION("""COMPUTED_VALUE"""),97.41)</f>
        <v>97.41</v>
      </c>
      <c r="F275" s="141">
        <f ca="1">IFERROR(__xludf.DUMMYFUNCTION("""COMPUTED_VALUE"""),97.46)</f>
        <v>97.46</v>
      </c>
      <c r="G275" s="143">
        <f ca="1">IFERROR(__xludf.DUMMYFUNCTION("""COMPUTED_VALUE"""),5908311)</f>
        <v>5908311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IFERROR(__xludf.DUMMYFUNCTION("""COMPUTED_VALUE"""),97.64)</f>
        <v>97.64</v>
      </c>
      <c r="D276" s="141">
        <f ca="1">IFERROR(__xludf.DUMMYFUNCTION("""COMPUTED_VALUE"""),97.73)</f>
        <v>97.73</v>
      </c>
      <c r="E276" s="141">
        <f ca="1">IFERROR(__xludf.DUMMYFUNCTION("""COMPUTED_VALUE"""),97.59)</f>
        <v>97.59</v>
      </c>
      <c r="F276" s="141">
        <f ca="1">IFERROR(__xludf.DUMMYFUNCTION("""COMPUTED_VALUE"""),97.69)</f>
        <v>97.69</v>
      </c>
      <c r="G276" s="143">
        <f ca="1">IFERROR(__xludf.DUMMYFUNCTION("""COMPUTED_VALUE"""),7043943)</f>
        <v>7043943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IFERROR(__xludf.DUMMYFUNCTION("""COMPUTED_VALUE"""),97.79)</f>
        <v>97.79</v>
      </c>
      <c r="D277" s="141">
        <f ca="1">IFERROR(__xludf.DUMMYFUNCTION("""COMPUTED_VALUE"""),98.01)</f>
        <v>98.01</v>
      </c>
      <c r="E277" s="141">
        <f ca="1">IFERROR(__xludf.DUMMYFUNCTION("""COMPUTED_VALUE"""),97.77)</f>
        <v>97.77</v>
      </c>
      <c r="F277" s="141">
        <f ca="1">IFERROR(__xludf.DUMMYFUNCTION("""COMPUTED_VALUE"""),97.92)</f>
        <v>97.92</v>
      </c>
      <c r="G277" s="143">
        <f ca="1">IFERROR(__xludf.DUMMYFUNCTION("""COMPUTED_VALUE"""),12020860)</f>
        <v>12020860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IFERROR(__xludf.DUMMYFUNCTION("""COMPUTED_VALUE"""),97.83)</f>
        <v>97.83</v>
      </c>
      <c r="D278" s="141">
        <f ca="1">IFERROR(__xludf.DUMMYFUNCTION("""COMPUTED_VALUE"""),97.9)</f>
        <v>97.9</v>
      </c>
      <c r="E278" s="141">
        <f ca="1">IFERROR(__xludf.DUMMYFUNCTION("""COMPUTED_VALUE"""),97.55)</f>
        <v>97.55</v>
      </c>
      <c r="F278" s="141">
        <f ca="1">IFERROR(__xludf.DUMMYFUNCTION("""COMPUTED_VALUE"""),97.55)</f>
        <v>97.55</v>
      </c>
      <c r="G278" s="143">
        <f ca="1">IFERROR(__xludf.DUMMYFUNCTION("""COMPUTED_VALUE"""),6256986)</f>
        <v>6256986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F28:F1000">
    <cfRule type="expression" dxfId="39" priority="1">
      <formula>AND(F28=MAX(F$28:F$1000),F28&gt;0)</formula>
    </cfRule>
    <cfRule type="expression" dxfId="38" priority="2">
      <formula>AND(F28=MIN(F$28:F$1000),F28&gt;0)</formula>
    </cfRule>
  </conditionalFormatting>
  <conditionalFormatting sqref="F29:F1000">
    <cfRule type="expression" dxfId="37" priority="3">
      <formula>F29&gt;F27</formula>
    </cfRule>
    <cfRule type="expression" dxfId="36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300-000000000000}">
      <formula1>"1 Month,3 Months,6 Months,12 Months,36 Months"</formula1>
    </dataValidation>
  </dataValidations>
  <hyperlinks>
    <hyperlink ref="G2" r:id="rId1" xr:uid="{00000000-0004-0000-1300-000000000000}"/>
  </hyperlinks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46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iBoxx $ Inv Grade Corporate Bond ETF")</f>
        <v>iShares iBoxx $ Inv Grade Corporate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IFERROR(__xludf.DUMMYFUNCTION("GOOGLEFINANCE(B18,""price"")"),106.22)</f>
        <v>106.22</v>
      </c>
      <c r="C10" s="322"/>
      <c r="D10" s="100">
        <f ca="1">IFERROR(__xludf.DUMMYFUNCTION("IFERROR(GOOGLEFINANCE(B18,""change""),""-"")"),-0.61)</f>
        <v>-0.61</v>
      </c>
      <c r="E10" s="103">
        <f ca="1">IFERROR(__xludf.DUMMYFUNCTION("IFERROR(GOOGLEFINANCE(B18,""changepct"")/100,""-"")"),-0.00569999999999999)</f>
        <v>-5.6999999999999898E-3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IFERROR(__xludf.DUMMYFUNCTION("IFERROR(GOOGLEFINANCE(B18,""marketcap""),""-"")"),28987427711)</f>
        <v>28987427711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LQD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IFERROR(__xludf.DUMMYFUNCTION("""COMPUTED_VALUE"""),109.09)</f>
        <v>109.09</v>
      </c>
      <c r="D28" s="141">
        <f ca="1">IFERROR(__xludf.DUMMYFUNCTION("""COMPUTED_VALUE"""),109.45)</f>
        <v>109.45</v>
      </c>
      <c r="E28" s="141">
        <f ca="1">IFERROR(__xludf.DUMMYFUNCTION("""COMPUTED_VALUE"""),108.98)</f>
        <v>108.98</v>
      </c>
      <c r="F28" s="141">
        <f ca="1">IFERROR(__xludf.DUMMYFUNCTION("""COMPUTED_VALUE"""),109.08)</f>
        <v>109.08</v>
      </c>
      <c r="G28" s="143">
        <f ca="1">IFERROR(__xludf.DUMMYFUNCTION("""COMPUTED_VALUE"""),23313275)</f>
        <v>23313275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IFERROR(__xludf.DUMMYFUNCTION("""COMPUTED_VALUE"""),109.41)</f>
        <v>109.41</v>
      </c>
      <c r="D29" s="141">
        <f ca="1">IFERROR(__xludf.DUMMYFUNCTION("""COMPUTED_VALUE"""),109.5)</f>
        <v>109.5</v>
      </c>
      <c r="E29" s="141">
        <f ca="1">IFERROR(__xludf.DUMMYFUNCTION("""COMPUTED_VALUE"""),109.09)</f>
        <v>109.09</v>
      </c>
      <c r="F29" s="141">
        <f ca="1">IFERROR(__xludf.DUMMYFUNCTION("""COMPUTED_VALUE"""),109.11)</f>
        <v>109.11</v>
      </c>
      <c r="G29" s="143">
        <f ca="1">IFERROR(__xludf.DUMMYFUNCTION("""COMPUTED_VALUE"""),31745016)</f>
        <v>31745016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IFERROR(__xludf.DUMMYFUNCTION("""COMPUTED_VALUE"""),109.32)</f>
        <v>109.32</v>
      </c>
      <c r="D30" s="141">
        <f ca="1">IFERROR(__xludf.DUMMYFUNCTION("""COMPUTED_VALUE"""),109.7)</f>
        <v>109.7</v>
      </c>
      <c r="E30" s="141">
        <f ca="1">IFERROR(__xludf.DUMMYFUNCTION("""COMPUTED_VALUE"""),109.12)</f>
        <v>109.12</v>
      </c>
      <c r="F30" s="141">
        <f ca="1">IFERROR(__xludf.DUMMYFUNCTION("""COMPUTED_VALUE"""),109.63)</f>
        <v>109.63</v>
      </c>
      <c r="G30" s="143">
        <f ca="1">IFERROR(__xludf.DUMMYFUNCTION("""COMPUTED_VALUE"""),46073844)</f>
        <v>46073844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IFERROR(__xludf.DUMMYFUNCTION("""COMPUTED_VALUE"""),109.78)</f>
        <v>109.78</v>
      </c>
      <c r="D31" s="141">
        <f ca="1">IFERROR(__xludf.DUMMYFUNCTION("""COMPUTED_VALUE"""),109.89)</f>
        <v>109.89</v>
      </c>
      <c r="E31" s="141">
        <f ca="1">IFERROR(__xludf.DUMMYFUNCTION("""COMPUTED_VALUE"""),109.58)</f>
        <v>109.58</v>
      </c>
      <c r="F31" s="141">
        <f ca="1">IFERROR(__xludf.DUMMYFUNCTION("""COMPUTED_VALUE"""),109.82)</f>
        <v>109.82</v>
      </c>
      <c r="G31" s="143">
        <f ca="1">IFERROR(__xludf.DUMMYFUNCTION("""COMPUTED_VALUE"""),31779657)</f>
        <v>31779657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IFERROR(__xludf.DUMMYFUNCTION("""COMPUTED_VALUE"""),109.63)</f>
        <v>109.63</v>
      </c>
      <c r="D32" s="141">
        <f ca="1">IFERROR(__xludf.DUMMYFUNCTION("""COMPUTED_VALUE"""),109.93)</f>
        <v>109.93</v>
      </c>
      <c r="E32" s="141">
        <f ca="1">IFERROR(__xludf.DUMMYFUNCTION("""COMPUTED_VALUE"""),109.61)</f>
        <v>109.61</v>
      </c>
      <c r="F32" s="141">
        <f ca="1">IFERROR(__xludf.DUMMYFUNCTION("""COMPUTED_VALUE"""),109.9)</f>
        <v>109.9</v>
      </c>
      <c r="G32" s="143">
        <f ca="1">IFERROR(__xludf.DUMMYFUNCTION("""COMPUTED_VALUE"""),25922894)</f>
        <v>25922894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IFERROR(__xludf.DUMMYFUNCTION("""COMPUTED_VALUE"""),109.65)</f>
        <v>109.65</v>
      </c>
      <c r="D33" s="141">
        <f ca="1">IFERROR(__xludf.DUMMYFUNCTION("""COMPUTED_VALUE"""),109.92)</f>
        <v>109.92</v>
      </c>
      <c r="E33" s="141">
        <f ca="1">IFERROR(__xludf.DUMMYFUNCTION("""COMPUTED_VALUE"""),109.23)</f>
        <v>109.23</v>
      </c>
      <c r="F33" s="141">
        <f ca="1">IFERROR(__xludf.DUMMYFUNCTION("""COMPUTED_VALUE"""),109.87)</f>
        <v>109.87</v>
      </c>
      <c r="G33" s="143">
        <f ca="1">IFERROR(__xludf.DUMMYFUNCTION("""COMPUTED_VALUE"""),31825414)</f>
        <v>31825414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IFERROR(__xludf.DUMMYFUNCTION("""COMPUTED_VALUE"""),109.91)</f>
        <v>109.91</v>
      </c>
      <c r="D34" s="141">
        <f ca="1">IFERROR(__xludf.DUMMYFUNCTION("""COMPUTED_VALUE"""),110.08)</f>
        <v>110.08</v>
      </c>
      <c r="E34" s="141">
        <f ca="1">IFERROR(__xludf.DUMMYFUNCTION("""COMPUTED_VALUE"""),109.69)</f>
        <v>109.69</v>
      </c>
      <c r="F34" s="141">
        <f ca="1">IFERROR(__xludf.DUMMYFUNCTION("""COMPUTED_VALUE"""),109.76)</f>
        <v>109.76</v>
      </c>
      <c r="G34" s="143">
        <f ca="1">IFERROR(__xludf.DUMMYFUNCTION("""COMPUTED_VALUE"""),29018104)</f>
        <v>29018104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IFERROR(__xludf.DUMMYFUNCTION("""COMPUTED_VALUE"""),109.64)</f>
        <v>109.64</v>
      </c>
      <c r="D35" s="141">
        <f ca="1">IFERROR(__xludf.DUMMYFUNCTION("""COMPUTED_VALUE"""),109.64)</f>
        <v>109.64</v>
      </c>
      <c r="E35" s="141">
        <f ca="1">IFERROR(__xludf.DUMMYFUNCTION("""COMPUTED_VALUE"""),109.39)</f>
        <v>109.39</v>
      </c>
      <c r="F35" s="141">
        <f ca="1">IFERROR(__xludf.DUMMYFUNCTION("""COMPUTED_VALUE"""),109.41)</f>
        <v>109.41</v>
      </c>
      <c r="G35" s="143">
        <f ca="1">IFERROR(__xludf.DUMMYFUNCTION("""COMPUTED_VALUE"""),16946307)</f>
        <v>16946307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IFERROR(__xludf.DUMMYFUNCTION("""COMPUTED_VALUE"""),109.57)</f>
        <v>109.57</v>
      </c>
      <c r="D36" s="141">
        <f ca="1">IFERROR(__xludf.DUMMYFUNCTION("""COMPUTED_VALUE"""),109.72)</f>
        <v>109.72</v>
      </c>
      <c r="E36" s="141">
        <f ca="1">IFERROR(__xludf.DUMMYFUNCTION("""COMPUTED_VALUE"""),109.45)</f>
        <v>109.45</v>
      </c>
      <c r="F36" s="141">
        <f ca="1">IFERROR(__xludf.DUMMYFUNCTION("""COMPUTED_VALUE"""),109.58)</f>
        <v>109.58</v>
      </c>
      <c r="G36" s="143">
        <f ca="1">IFERROR(__xludf.DUMMYFUNCTION("""COMPUTED_VALUE"""),24444317)</f>
        <v>24444317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IFERROR(__xludf.DUMMYFUNCTION("""COMPUTED_VALUE"""),109.39)</f>
        <v>109.39</v>
      </c>
      <c r="D37" s="141">
        <f ca="1">IFERROR(__xludf.DUMMYFUNCTION("""COMPUTED_VALUE"""),109.7)</f>
        <v>109.7</v>
      </c>
      <c r="E37" s="141">
        <f ca="1">IFERROR(__xludf.DUMMYFUNCTION("""COMPUTED_VALUE"""),109.27)</f>
        <v>109.27</v>
      </c>
      <c r="F37" s="141">
        <f ca="1">IFERROR(__xludf.DUMMYFUNCTION("""COMPUTED_VALUE"""),109.68)</f>
        <v>109.68</v>
      </c>
      <c r="G37" s="143">
        <f ca="1">IFERROR(__xludf.DUMMYFUNCTION("""COMPUTED_VALUE"""),26513707)</f>
        <v>26513707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IFERROR(__xludf.DUMMYFUNCTION("""COMPUTED_VALUE"""),110.06)</f>
        <v>110.06</v>
      </c>
      <c r="D38" s="141">
        <f ca="1">IFERROR(__xludf.DUMMYFUNCTION("""COMPUTED_VALUE"""),110.32)</f>
        <v>110.32</v>
      </c>
      <c r="E38" s="141">
        <f ca="1">IFERROR(__xludf.DUMMYFUNCTION("""COMPUTED_VALUE"""),110.05)</f>
        <v>110.05</v>
      </c>
      <c r="F38" s="141">
        <f ca="1">IFERROR(__xludf.DUMMYFUNCTION("""COMPUTED_VALUE"""),110.26)</f>
        <v>110.26</v>
      </c>
      <c r="G38" s="143">
        <f ca="1">IFERROR(__xludf.DUMMYFUNCTION("""COMPUTED_VALUE"""),27701429)</f>
        <v>27701429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IFERROR(__xludf.DUMMYFUNCTION("""COMPUTED_VALUE"""),110)</f>
        <v>110</v>
      </c>
      <c r="D39" s="141">
        <f ca="1">IFERROR(__xludf.DUMMYFUNCTION("""COMPUTED_VALUE"""),110.06)</f>
        <v>110.06</v>
      </c>
      <c r="E39" s="141">
        <f ca="1">IFERROR(__xludf.DUMMYFUNCTION("""COMPUTED_VALUE"""),109.75)</f>
        <v>109.75</v>
      </c>
      <c r="F39" s="141">
        <f ca="1">IFERROR(__xludf.DUMMYFUNCTION("""COMPUTED_VALUE"""),109.88)</f>
        <v>109.88</v>
      </c>
      <c r="G39" s="143">
        <f ca="1">IFERROR(__xludf.DUMMYFUNCTION("""COMPUTED_VALUE"""),18817748)</f>
        <v>18817748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IFERROR(__xludf.DUMMYFUNCTION("""COMPUTED_VALUE"""),109.84)</f>
        <v>109.84</v>
      </c>
      <c r="D40" s="141">
        <f ca="1">IFERROR(__xludf.DUMMYFUNCTION("""COMPUTED_VALUE"""),109.93)</f>
        <v>109.93</v>
      </c>
      <c r="E40" s="141">
        <f ca="1">IFERROR(__xludf.DUMMYFUNCTION("""COMPUTED_VALUE"""),109.63)</f>
        <v>109.63</v>
      </c>
      <c r="F40" s="141">
        <f ca="1">IFERROR(__xludf.DUMMYFUNCTION("""COMPUTED_VALUE"""),109.74)</f>
        <v>109.74</v>
      </c>
      <c r="G40" s="143">
        <f ca="1">IFERROR(__xludf.DUMMYFUNCTION("""COMPUTED_VALUE"""),20932192)</f>
        <v>20932192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IFERROR(__xludf.DUMMYFUNCTION("""COMPUTED_VALUE"""),109.83)</f>
        <v>109.83</v>
      </c>
      <c r="D41" s="141">
        <f ca="1">IFERROR(__xludf.DUMMYFUNCTION("""COMPUTED_VALUE"""),109.84)</f>
        <v>109.84</v>
      </c>
      <c r="E41" s="141">
        <f ca="1">IFERROR(__xludf.DUMMYFUNCTION("""COMPUTED_VALUE"""),109.44)</f>
        <v>109.44</v>
      </c>
      <c r="F41" s="141">
        <f ca="1">IFERROR(__xludf.DUMMYFUNCTION("""COMPUTED_VALUE"""),109.54)</f>
        <v>109.54</v>
      </c>
      <c r="G41" s="143">
        <f ca="1">IFERROR(__xludf.DUMMYFUNCTION("""COMPUTED_VALUE"""),19579899)</f>
        <v>19579899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IFERROR(__xludf.DUMMYFUNCTION("""COMPUTED_VALUE"""),109.68)</f>
        <v>109.68</v>
      </c>
      <c r="D42" s="141">
        <f ca="1">IFERROR(__xludf.DUMMYFUNCTION("""COMPUTED_VALUE"""),109.78)</f>
        <v>109.78</v>
      </c>
      <c r="E42" s="141">
        <f ca="1">IFERROR(__xludf.DUMMYFUNCTION("""COMPUTED_VALUE"""),109.61)</f>
        <v>109.61</v>
      </c>
      <c r="F42" s="141">
        <f ca="1">IFERROR(__xludf.DUMMYFUNCTION("""COMPUTED_VALUE"""),109.71)</f>
        <v>109.71</v>
      </c>
      <c r="G42" s="143">
        <f ca="1">IFERROR(__xludf.DUMMYFUNCTION("""COMPUTED_VALUE"""),26744245)</f>
        <v>26744245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IFERROR(__xludf.DUMMYFUNCTION("""COMPUTED_VALUE"""),109.67)</f>
        <v>109.67</v>
      </c>
      <c r="D43" s="141">
        <f ca="1">IFERROR(__xludf.DUMMYFUNCTION("""COMPUTED_VALUE"""),109.87)</f>
        <v>109.87</v>
      </c>
      <c r="E43" s="141">
        <f ca="1">IFERROR(__xludf.DUMMYFUNCTION("""COMPUTED_VALUE"""),109.59)</f>
        <v>109.59</v>
      </c>
      <c r="F43" s="141">
        <f ca="1">IFERROR(__xludf.DUMMYFUNCTION("""COMPUTED_VALUE"""),109.76)</f>
        <v>109.76</v>
      </c>
      <c r="G43" s="143">
        <f ca="1">IFERROR(__xludf.DUMMYFUNCTION("""COMPUTED_VALUE"""),25054762)</f>
        <v>25054762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IFERROR(__xludf.DUMMYFUNCTION("""COMPUTED_VALUE"""),109.56)</f>
        <v>109.56</v>
      </c>
      <c r="D44" s="141">
        <f ca="1">IFERROR(__xludf.DUMMYFUNCTION("""COMPUTED_VALUE"""),109.57)</f>
        <v>109.57</v>
      </c>
      <c r="E44" s="141">
        <f ca="1">IFERROR(__xludf.DUMMYFUNCTION("""COMPUTED_VALUE"""),109.19)</f>
        <v>109.19</v>
      </c>
      <c r="F44" s="141">
        <f ca="1">IFERROR(__xludf.DUMMYFUNCTION("""COMPUTED_VALUE"""),109.34)</f>
        <v>109.34</v>
      </c>
      <c r="G44" s="143">
        <f ca="1">IFERROR(__xludf.DUMMYFUNCTION("""COMPUTED_VALUE"""),25158000)</f>
        <v>25158000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IFERROR(__xludf.DUMMYFUNCTION("""COMPUTED_VALUE"""),109.65)</f>
        <v>109.65</v>
      </c>
      <c r="D45" s="141">
        <f ca="1">IFERROR(__xludf.DUMMYFUNCTION("""COMPUTED_VALUE"""),110.31)</f>
        <v>110.31</v>
      </c>
      <c r="E45" s="141">
        <f ca="1">IFERROR(__xludf.DUMMYFUNCTION("""COMPUTED_VALUE"""),109.56)</f>
        <v>109.56</v>
      </c>
      <c r="F45" s="141">
        <f ca="1">IFERROR(__xludf.DUMMYFUNCTION("""COMPUTED_VALUE"""),110.2)</f>
        <v>110.2</v>
      </c>
      <c r="G45" s="143">
        <f ca="1">IFERROR(__xludf.DUMMYFUNCTION("""COMPUTED_VALUE"""),34562879)</f>
        <v>34562879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IFERROR(__xludf.DUMMYFUNCTION("""COMPUTED_VALUE"""),109.97)</f>
        <v>109.97</v>
      </c>
      <c r="D46" s="141">
        <f ca="1">IFERROR(__xludf.DUMMYFUNCTION("""COMPUTED_VALUE"""),110.14)</f>
        <v>110.14</v>
      </c>
      <c r="E46" s="141">
        <f ca="1">IFERROR(__xludf.DUMMYFUNCTION("""COMPUTED_VALUE"""),109.88)</f>
        <v>109.88</v>
      </c>
      <c r="F46" s="141">
        <f ca="1">IFERROR(__xludf.DUMMYFUNCTION("""COMPUTED_VALUE"""),109.91)</f>
        <v>109.91</v>
      </c>
      <c r="G46" s="143">
        <f ca="1">IFERROR(__xludf.DUMMYFUNCTION("""COMPUTED_VALUE"""),18983095)</f>
        <v>18983095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IFERROR(__xludf.DUMMYFUNCTION("""COMPUTED_VALUE"""),109.89)</f>
        <v>109.89</v>
      </c>
      <c r="D47" s="141">
        <f ca="1">IFERROR(__xludf.DUMMYFUNCTION("""COMPUTED_VALUE"""),110.01)</f>
        <v>110.01</v>
      </c>
      <c r="E47" s="141">
        <f ca="1">IFERROR(__xludf.DUMMYFUNCTION("""COMPUTED_VALUE"""),109.66)</f>
        <v>109.66</v>
      </c>
      <c r="F47" s="141">
        <f ca="1">IFERROR(__xludf.DUMMYFUNCTION("""COMPUTED_VALUE"""),109.99)</f>
        <v>109.99</v>
      </c>
      <c r="G47" s="143">
        <f ca="1">IFERROR(__xludf.DUMMYFUNCTION("""COMPUTED_VALUE"""),23246366)</f>
        <v>23246366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IFERROR(__xludf.DUMMYFUNCTION("""COMPUTED_VALUE"""),109.68)</f>
        <v>109.68</v>
      </c>
      <c r="D48" s="141">
        <f ca="1">IFERROR(__xludf.DUMMYFUNCTION("""COMPUTED_VALUE"""),110.06)</f>
        <v>110.06</v>
      </c>
      <c r="E48" s="141">
        <f ca="1">IFERROR(__xludf.DUMMYFUNCTION("""COMPUTED_VALUE"""),109.59)</f>
        <v>109.59</v>
      </c>
      <c r="F48" s="141">
        <f ca="1">IFERROR(__xludf.DUMMYFUNCTION("""COMPUTED_VALUE"""),110.03)</f>
        <v>110.03</v>
      </c>
      <c r="G48" s="143">
        <f ca="1">IFERROR(__xludf.DUMMYFUNCTION("""COMPUTED_VALUE"""),25171734)</f>
        <v>25171734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IFERROR(__xludf.DUMMYFUNCTION("""COMPUTED_VALUE"""),110.08)</f>
        <v>110.08</v>
      </c>
      <c r="D49" s="141">
        <f ca="1">IFERROR(__xludf.DUMMYFUNCTION("""COMPUTED_VALUE"""),110.31)</f>
        <v>110.31</v>
      </c>
      <c r="E49" s="141">
        <f ca="1">IFERROR(__xludf.DUMMYFUNCTION("""COMPUTED_VALUE"""),110)</f>
        <v>110</v>
      </c>
      <c r="F49" s="141">
        <f ca="1">IFERROR(__xludf.DUMMYFUNCTION("""COMPUTED_VALUE"""),110.2)</f>
        <v>110.2</v>
      </c>
      <c r="G49" s="143">
        <f ca="1">IFERROR(__xludf.DUMMYFUNCTION("""COMPUTED_VALUE"""),26892771)</f>
        <v>26892771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IFERROR(__xludf.DUMMYFUNCTION("""COMPUTED_VALUE"""),109.99)</f>
        <v>109.99</v>
      </c>
      <c r="D50" s="141">
        <f ca="1">IFERROR(__xludf.DUMMYFUNCTION("""COMPUTED_VALUE"""),110.01)</f>
        <v>110.01</v>
      </c>
      <c r="E50" s="141">
        <f ca="1">IFERROR(__xludf.DUMMYFUNCTION("""COMPUTED_VALUE"""),109.75)</f>
        <v>109.75</v>
      </c>
      <c r="F50" s="141">
        <f ca="1">IFERROR(__xludf.DUMMYFUNCTION("""COMPUTED_VALUE"""),109.8)</f>
        <v>109.8</v>
      </c>
      <c r="G50" s="143">
        <f ca="1">IFERROR(__xludf.DUMMYFUNCTION("""COMPUTED_VALUE"""),32201129)</f>
        <v>32201129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IFERROR(__xludf.DUMMYFUNCTION("""COMPUTED_VALUE"""),108.88)</f>
        <v>108.88</v>
      </c>
      <c r="D51" s="141">
        <f ca="1">IFERROR(__xludf.DUMMYFUNCTION("""COMPUTED_VALUE"""),109.09)</f>
        <v>109.09</v>
      </c>
      <c r="E51" s="141">
        <f ca="1">IFERROR(__xludf.DUMMYFUNCTION("""COMPUTED_VALUE"""),108.81)</f>
        <v>108.81</v>
      </c>
      <c r="F51" s="141">
        <f ca="1">IFERROR(__xludf.DUMMYFUNCTION("""COMPUTED_VALUE"""),109.05)</f>
        <v>109.05</v>
      </c>
      <c r="G51" s="143">
        <f ca="1">IFERROR(__xludf.DUMMYFUNCTION("""COMPUTED_VALUE"""),31044769)</f>
        <v>31044769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IFERROR(__xludf.DUMMYFUNCTION("""COMPUTED_VALUE"""),109.26)</f>
        <v>109.26</v>
      </c>
      <c r="D52" s="141">
        <f ca="1">IFERROR(__xludf.DUMMYFUNCTION("""COMPUTED_VALUE"""),109.83)</f>
        <v>109.83</v>
      </c>
      <c r="E52" s="141">
        <f ca="1">IFERROR(__xludf.DUMMYFUNCTION("""COMPUTED_VALUE"""),109.24)</f>
        <v>109.24</v>
      </c>
      <c r="F52" s="141">
        <f ca="1">IFERROR(__xludf.DUMMYFUNCTION("""COMPUTED_VALUE"""),109.7)</f>
        <v>109.7</v>
      </c>
      <c r="G52" s="143">
        <f ca="1">IFERROR(__xludf.DUMMYFUNCTION("""COMPUTED_VALUE"""),34520896)</f>
        <v>34520896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IFERROR(__xludf.DUMMYFUNCTION("""COMPUTED_VALUE"""),110.08)</f>
        <v>110.08</v>
      </c>
      <c r="D53" s="141">
        <f ca="1">IFERROR(__xludf.DUMMYFUNCTION("""COMPUTED_VALUE"""),110.46)</f>
        <v>110.46</v>
      </c>
      <c r="E53" s="141">
        <f ca="1">IFERROR(__xludf.DUMMYFUNCTION("""COMPUTED_VALUE"""),109.97)</f>
        <v>109.97</v>
      </c>
      <c r="F53" s="141">
        <f ca="1">IFERROR(__xludf.DUMMYFUNCTION("""COMPUTED_VALUE"""),110.45)</f>
        <v>110.45</v>
      </c>
      <c r="G53" s="143">
        <f ca="1">IFERROR(__xludf.DUMMYFUNCTION("""COMPUTED_VALUE"""),43026668)</f>
        <v>43026668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IFERROR(__xludf.DUMMYFUNCTION("""COMPUTED_VALUE"""),111.21)</f>
        <v>111.21</v>
      </c>
      <c r="D54" s="141">
        <f ca="1">IFERROR(__xludf.DUMMYFUNCTION("""COMPUTED_VALUE"""),111.31)</f>
        <v>111.31</v>
      </c>
      <c r="E54" s="141">
        <f ca="1">IFERROR(__xludf.DUMMYFUNCTION("""COMPUTED_VALUE"""),111.06)</f>
        <v>111.06</v>
      </c>
      <c r="F54" s="141">
        <f ca="1">IFERROR(__xludf.DUMMYFUNCTION("""COMPUTED_VALUE"""),111.17)</f>
        <v>111.17</v>
      </c>
      <c r="G54" s="143">
        <f ca="1">IFERROR(__xludf.DUMMYFUNCTION("""COMPUTED_VALUE"""),36249070)</f>
        <v>36249070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IFERROR(__xludf.DUMMYFUNCTION("""COMPUTED_VALUE"""),111.51)</f>
        <v>111.51</v>
      </c>
      <c r="D55" s="141">
        <f ca="1">IFERROR(__xludf.DUMMYFUNCTION("""COMPUTED_VALUE"""),111.63)</f>
        <v>111.63</v>
      </c>
      <c r="E55" s="141">
        <f ca="1">IFERROR(__xludf.DUMMYFUNCTION("""COMPUTED_VALUE"""),111.42)</f>
        <v>111.42</v>
      </c>
      <c r="F55" s="141">
        <f ca="1">IFERROR(__xludf.DUMMYFUNCTION("""COMPUTED_VALUE"""),111.56)</f>
        <v>111.56</v>
      </c>
      <c r="G55" s="143">
        <f ca="1">IFERROR(__xludf.DUMMYFUNCTION("""COMPUTED_VALUE"""),28998157)</f>
        <v>28998157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IFERROR(__xludf.DUMMYFUNCTION("""COMPUTED_VALUE"""),111.44)</f>
        <v>111.44</v>
      </c>
      <c r="D56" s="141">
        <f ca="1">IFERROR(__xludf.DUMMYFUNCTION("""COMPUTED_VALUE"""),111.55)</f>
        <v>111.55</v>
      </c>
      <c r="E56" s="141">
        <f ca="1">IFERROR(__xludf.DUMMYFUNCTION("""COMPUTED_VALUE"""),111.12)</f>
        <v>111.12</v>
      </c>
      <c r="F56" s="141">
        <f ca="1">IFERROR(__xludf.DUMMYFUNCTION("""COMPUTED_VALUE"""),111.36)</f>
        <v>111.36</v>
      </c>
      <c r="G56" s="143">
        <f ca="1">IFERROR(__xludf.DUMMYFUNCTION("""COMPUTED_VALUE"""),24412518)</f>
        <v>24412518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IFERROR(__xludf.DUMMYFUNCTION("""COMPUTED_VALUE"""),111.58)</f>
        <v>111.58</v>
      </c>
      <c r="D57" s="141">
        <f ca="1">IFERROR(__xludf.DUMMYFUNCTION("""COMPUTED_VALUE"""),111.99)</f>
        <v>111.99</v>
      </c>
      <c r="E57" s="141">
        <f ca="1">IFERROR(__xludf.DUMMYFUNCTION("""COMPUTED_VALUE"""),111.55)</f>
        <v>111.55</v>
      </c>
      <c r="F57" s="141">
        <f ca="1">IFERROR(__xludf.DUMMYFUNCTION("""COMPUTED_VALUE"""),111.69)</f>
        <v>111.69</v>
      </c>
      <c r="G57" s="143">
        <f ca="1">IFERROR(__xludf.DUMMYFUNCTION("""COMPUTED_VALUE"""),30188053)</f>
        <v>30188053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IFERROR(__xludf.DUMMYFUNCTION("""COMPUTED_VALUE"""),111.89)</f>
        <v>111.89</v>
      </c>
      <c r="D58" s="141">
        <f ca="1">IFERROR(__xludf.DUMMYFUNCTION("""COMPUTED_VALUE"""),112.33)</f>
        <v>112.33</v>
      </c>
      <c r="E58" s="141">
        <f ca="1">IFERROR(__xludf.DUMMYFUNCTION("""COMPUTED_VALUE"""),111.87)</f>
        <v>111.87</v>
      </c>
      <c r="F58" s="141">
        <f ca="1">IFERROR(__xludf.DUMMYFUNCTION("""COMPUTED_VALUE"""),112.21)</f>
        <v>112.21</v>
      </c>
      <c r="G58" s="143">
        <f ca="1">IFERROR(__xludf.DUMMYFUNCTION("""COMPUTED_VALUE"""),28405698)</f>
        <v>28405698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IFERROR(__xludf.DUMMYFUNCTION("""COMPUTED_VALUE"""),111.97)</f>
        <v>111.97</v>
      </c>
      <c r="D59" s="141">
        <f ca="1">IFERROR(__xludf.DUMMYFUNCTION("""COMPUTED_VALUE"""),112.04)</f>
        <v>112.04</v>
      </c>
      <c r="E59" s="141">
        <f ca="1">IFERROR(__xludf.DUMMYFUNCTION("""COMPUTED_VALUE"""),111.71)</f>
        <v>111.71</v>
      </c>
      <c r="F59" s="141">
        <f ca="1">IFERROR(__xludf.DUMMYFUNCTION("""COMPUTED_VALUE"""),112.01)</f>
        <v>112.01</v>
      </c>
      <c r="G59" s="143">
        <f ca="1">IFERROR(__xludf.DUMMYFUNCTION("""COMPUTED_VALUE"""),26728497)</f>
        <v>26728497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IFERROR(__xludf.DUMMYFUNCTION("""COMPUTED_VALUE"""),112.23)</f>
        <v>112.23</v>
      </c>
      <c r="D60" s="141">
        <f ca="1">IFERROR(__xludf.DUMMYFUNCTION("""COMPUTED_VALUE"""),112.42)</f>
        <v>112.42</v>
      </c>
      <c r="E60" s="141">
        <f ca="1">IFERROR(__xludf.DUMMYFUNCTION("""COMPUTED_VALUE"""),112.23)</f>
        <v>112.23</v>
      </c>
      <c r="F60" s="141">
        <f ca="1">IFERROR(__xludf.DUMMYFUNCTION("""COMPUTED_VALUE"""),112.36)</f>
        <v>112.36</v>
      </c>
      <c r="G60" s="143">
        <f ca="1">IFERROR(__xludf.DUMMYFUNCTION("""COMPUTED_VALUE"""),21863832)</f>
        <v>21863832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IFERROR(__xludf.DUMMYFUNCTION("""COMPUTED_VALUE"""),112.29)</f>
        <v>112.29</v>
      </c>
      <c r="D61" s="141">
        <f ca="1">IFERROR(__xludf.DUMMYFUNCTION("""COMPUTED_VALUE"""),112.4)</f>
        <v>112.4</v>
      </c>
      <c r="E61" s="141">
        <f ca="1">IFERROR(__xludf.DUMMYFUNCTION("""COMPUTED_VALUE"""),112.16)</f>
        <v>112.16</v>
      </c>
      <c r="F61" s="141">
        <f ca="1">IFERROR(__xludf.DUMMYFUNCTION("""COMPUTED_VALUE"""),112.26)</f>
        <v>112.26</v>
      </c>
      <c r="G61" s="143">
        <f ca="1">IFERROR(__xludf.DUMMYFUNCTION("""COMPUTED_VALUE"""),28232639)</f>
        <v>28232639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IFERROR(__xludf.DUMMYFUNCTION("""COMPUTED_VALUE"""),112.46)</f>
        <v>112.46</v>
      </c>
      <c r="D62" s="141">
        <f ca="1">IFERROR(__xludf.DUMMYFUNCTION("""COMPUTED_VALUE"""),112.64)</f>
        <v>112.64</v>
      </c>
      <c r="E62" s="141">
        <f ca="1">IFERROR(__xludf.DUMMYFUNCTION("""COMPUTED_VALUE"""),111.82)</f>
        <v>111.82</v>
      </c>
      <c r="F62" s="141">
        <f ca="1">IFERROR(__xludf.DUMMYFUNCTION("""COMPUTED_VALUE"""),112.06)</f>
        <v>112.06</v>
      </c>
      <c r="G62" s="143">
        <f ca="1">IFERROR(__xludf.DUMMYFUNCTION("""COMPUTED_VALUE"""),34970042)</f>
        <v>34970042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IFERROR(__xludf.DUMMYFUNCTION("""COMPUTED_VALUE"""),111.72)</f>
        <v>111.72</v>
      </c>
      <c r="D63" s="141">
        <f ca="1">IFERROR(__xludf.DUMMYFUNCTION("""COMPUTED_VALUE"""),111.88)</f>
        <v>111.88</v>
      </c>
      <c r="E63" s="141">
        <f ca="1">IFERROR(__xludf.DUMMYFUNCTION("""COMPUTED_VALUE"""),111.52)</f>
        <v>111.52</v>
      </c>
      <c r="F63" s="141">
        <f ca="1">IFERROR(__xludf.DUMMYFUNCTION("""COMPUTED_VALUE"""),111.83)</f>
        <v>111.83</v>
      </c>
      <c r="G63" s="143">
        <f ca="1">IFERROR(__xludf.DUMMYFUNCTION("""COMPUTED_VALUE"""),37159310)</f>
        <v>37159310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IFERROR(__xludf.DUMMYFUNCTION("""COMPUTED_VALUE"""),111.74)</f>
        <v>111.74</v>
      </c>
      <c r="D64" s="141">
        <f ca="1">IFERROR(__xludf.DUMMYFUNCTION("""COMPUTED_VALUE"""),111.84)</f>
        <v>111.84</v>
      </c>
      <c r="E64" s="141">
        <f ca="1">IFERROR(__xludf.DUMMYFUNCTION("""COMPUTED_VALUE"""),111.56)</f>
        <v>111.56</v>
      </c>
      <c r="F64" s="141">
        <f ca="1">IFERROR(__xludf.DUMMYFUNCTION("""COMPUTED_VALUE"""),111.74)</f>
        <v>111.74</v>
      </c>
      <c r="G64" s="143">
        <f ca="1">IFERROR(__xludf.DUMMYFUNCTION("""COMPUTED_VALUE"""),26845364)</f>
        <v>26845364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IFERROR(__xludf.DUMMYFUNCTION("""COMPUTED_VALUE"""),111.64)</f>
        <v>111.64</v>
      </c>
      <c r="D65" s="141">
        <f ca="1">IFERROR(__xludf.DUMMYFUNCTION("""COMPUTED_VALUE"""),111.7)</f>
        <v>111.7</v>
      </c>
      <c r="E65" s="141">
        <f ca="1">IFERROR(__xludf.DUMMYFUNCTION("""COMPUTED_VALUE"""),111.43)</f>
        <v>111.43</v>
      </c>
      <c r="F65" s="141">
        <f ca="1">IFERROR(__xludf.DUMMYFUNCTION("""COMPUTED_VALUE"""),111.49)</f>
        <v>111.49</v>
      </c>
      <c r="G65" s="143">
        <f ca="1">IFERROR(__xludf.DUMMYFUNCTION("""COMPUTED_VALUE"""),25908608)</f>
        <v>25908608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IFERROR(__xludf.DUMMYFUNCTION("""COMPUTED_VALUE"""),111.65)</f>
        <v>111.65</v>
      </c>
      <c r="D66" s="141">
        <f ca="1">IFERROR(__xludf.DUMMYFUNCTION("""COMPUTED_VALUE"""),111.75)</f>
        <v>111.75</v>
      </c>
      <c r="E66" s="141">
        <f ca="1">IFERROR(__xludf.DUMMYFUNCTION("""COMPUTED_VALUE"""),111.49)</f>
        <v>111.49</v>
      </c>
      <c r="F66" s="141">
        <f ca="1">IFERROR(__xludf.DUMMYFUNCTION("""COMPUTED_VALUE"""),111.71)</f>
        <v>111.71</v>
      </c>
      <c r="G66" s="143">
        <f ca="1">IFERROR(__xludf.DUMMYFUNCTION("""COMPUTED_VALUE"""),31575414)</f>
        <v>31575414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IFERROR(__xludf.DUMMYFUNCTION("""COMPUTED_VALUE"""),111.49)</f>
        <v>111.49</v>
      </c>
      <c r="D67" s="141">
        <f ca="1">IFERROR(__xludf.DUMMYFUNCTION("""COMPUTED_VALUE"""),111.52)</f>
        <v>111.52</v>
      </c>
      <c r="E67" s="141">
        <f ca="1">IFERROR(__xludf.DUMMYFUNCTION("""COMPUTED_VALUE"""),111.17)</f>
        <v>111.17</v>
      </c>
      <c r="F67" s="141">
        <f ca="1">IFERROR(__xludf.DUMMYFUNCTION("""COMPUTED_VALUE"""),111.26)</f>
        <v>111.26</v>
      </c>
      <c r="G67" s="143">
        <f ca="1">IFERROR(__xludf.DUMMYFUNCTION("""COMPUTED_VALUE"""),34756683)</f>
        <v>34756683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IFERROR(__xludf.DUMMYFUNCTION("""COMPUTED_VALUE"""),111)</f>
        <v>111</v>
      </c>
      <c r="D68" s="141">
        <f ca="1">IFERROR(__xludf.DUMMYFUNCTION("""COMPUTED_VALUE"""),111.08)</f>
        <v>111.08</v>
      </c>
      <c r="E68" s="141">
        <f ca="1">IFERROR(__xludf.DUMMYFUNCTION("""COMPUTED_VALUE"""),110.68)</f>
        <v>110.68</v>
      </c>
      <c r="F68" s="141">
        <f ca="1">IFERROR(__xludf.DUMMYFUNCTION("""COMPUTED_VALUE"""),111.06)</f>
        <v>111.06</v>
      </c>
      <c r="G68" s="143">
        <f ca="1">IFERROR(__xludf.DUMMYFUNCTION("""COMPUTED_VALUE"""),36991180)</f>
        <v>36991180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IFERROR(__xludf.DUMMYFUNCTION("""COMPUTED_VALUE"""),111.15)</f>
        <v>111.15</v>
      </c>
      <c r="D69" s="141">
        <f ca="1">IFERROR(__xludf.DUMMYFUNCTION("""COMPUTED_VALUE"""),111.39)</f>
        <v>111.39</v>
      </c>
      <c r="E69" s="141">
        <f ca="1">IFERROR(__xludf.DUMMYFUNCTION("""COMPUTED_VALUE"""),110.99)</f>
        <v>110.99</v>
      </c>
      <c r="F69" s="141">
        <f ca="1">IFERROR(__xludf.DUMMYFUNCTION("""COMPUTED_VALUE"""),111.21)</f>
        <v>111.21</v>
      </c>
      <c r="G69" s="143">
        <f ca="1">IFERROR(__xludf.DUMMYFUNCTION("""COMPUTED_VALUE"""),31962180)</f>
        <v>31962180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IFERROR(__xludf.DUMMYFUNCTION("""COMPUTED_VALUE"""),111.46)</f>
        <v>111.46</v>
      </c>
      <c r="D70" s="141">
        <f ca="1">IFERROR(__xludf.DUMMYFUNCTION("""COMPUTED_VALUE"""),111.7)</f>
        <v>111.7</v>
      </c>
      <c r="E70" s="141">
        <f ca="1">IFERROR(__xludf.DUMMYFUNCTION("""COMPUTED_VALUE"""),111.42)</f>
        <v>111.42</v>
      </c>
      <c r="F70" s="141">
        <f ca="1">IFERROR(__xludf.DUMMYFUNCTION("""COMPUTED_VALUE"""),111.58)</f>
        <v>111.58</v>
      </c>
      <c r="G70" s="143">
        <f ca="1">IFERROR(__xludf.DUMMYFUNCTION("""COMPUTED_VALUE"""),31961905)</f>
        <v>31961905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IFERROR(__xludf.DUMMYFUNCTION("""COMPUTED_VALUE"""),111.65)</f>
        <v>111.65</v>
      </c>
      <c r="D71" s="141">
        <f ca="1">IFERROR(__xludf.DUMMYFUNCTION("""COMPUTED_VALUE"""),111.86)</f>
        <v>111.86</v>
      </c>
      <c r="E71" s="141">
        <f ca="1">IFERROR(__xludf.DUMMYFUNCTION("""COMPUTED_VALUE"""),111.38)</f>
        <v>111.38</v>
      </c>
      <c r="F71" s="141">
        <f ca="1">IFERROR(__xludf.DUMMYFUNCTION("""COMPUTED_VALUE"""),111.47)</f>
        <v>111.47</v>
      </c>
      <c r="G71" s="143">
        <f ca="1">IFERROR(__xludf.DUMMYFUNCTION("""COMPUTED_VALUE"""),34939756)</f>
        <v>34939756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IFERROR(__xludf.DUMMYFUNCTION("""COMPUTED_VALUE"""),111.44)</f>
        <v>111.44</v>
      </c>
      <c r="D72" s="141">
        <f ca="1">IFERROR(__xludf.DUMMYFUNCTION("""COMPUTED_VALUE"""),111.51)</f>
        <v>111.51</v>
      </c>
      <c r="E72" s="141">
        <f ca="1">IFERROR(__xludf.DUMMYFUNCTION("""COMPUTED_VALUE"""),111.23)</f>
        <v>111.23</v>
      </c>
      <c r="F72" s="141">
        <f ca="1">IFERROR(__xludf.DUMMYFUNCTION("""COMPUTED_VALUE"""),111.51)</f>
        <v>111.51</v>
      </c>
      <c r="G72" s="143">
        <f ca="1">IFERROR(__xludf.DUMMYFUNCTION("""COMPUTED_VALUE"""),30262694)</f>
        <v>30262694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IFERROR(__xludf.DUMMYFUNCTION("""COMPUTED_VALUE"""),111.49)</f>
        <v>111.49</v>
      </c>
      <c r="D73" s="141">
        <f ca="1">IFERROR(__xludf.DUMMYFUNCTION("""COMPUTED_VALUE"""),111.73)</f>
        <v>111.73</v>
      </c>
      <c r="E73" s="141">
        <f ca="1">IFERROR(__xludf.DUMMYFUNCTION("""COMPUTED_VALUE"""),111.41)</f>
        <v>111.41</v>
      </c>
      <c r="F73" s="141">
        <f ca="1">IFERROR(__xludf.DUMMYFUNCTION("""COMPUTED_VALUE"""),111.69)</f>
        <v>111.69</v>
      </c>
      <c r="G73" s="143">
        <f ca="1">IFERROR(__xludf.DUMMYFUNCTION("""COMPUTED_VALUE"""),18259449)</f>
        <v>18259449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IFERROR(__xludf.DUMMYFUNCTION("""COMPUTED_VALUE"""),111.69)</f>
        <v>111.69</v>
      </c>
      <c r="D74" s="141">
        <f ca="1">IFERROR(__xludf.DUMMYFUNCTION("""COMPUTED_VALUE"""),111.77)</f>
        <v>111.77</v>
      </c>
      <c r="E74" s="141">
        <f ca="1">IFERROR(__xludf.DUMMYFUNCTION("""COMPUTED_VALUE"""),111.48)</f>
        <v>111.48</v>
      </c>
      <c r="F74" s="141">
        <f ca="1">IFERROR(__xludf.DUMMYFUNCTION("""COMPUTED_VALUE"""),111.55)</f>
        <v>111.55</v>
      </c>
      <c r="G74" s="143">
        <f ca="1">IFERROR(__xludf.DUMMYFUNCTION("""COMPUTED_VALUE"""),19971319)</f>
        <v>19971319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IFERROR(__xludf.DUMMYFUNCTION("""COMPUTED_VALUE"""),111.24)</f>
        <v>111.24</v>
      </c>
      <c r="D75" s="141">
        <f ca="1">IFERROR(__xludf.DUMMYFUNCTION("""COMPUTED_VALUE"""),111.47)</f>
        <v>111.47</v>
      </c>
      <c r="E75" s="141">
        <f ca="1">IFERROR(__xludf.DUMMYFUNCTION("""COMPUTED_VALUE"""),111.16)</f>
        <v>111.16</v>
      </c>
      <c r="F75" s="141">
        <f ca="1">IFERROR(__xludf.DUMMYFUNCTION("""COMPUTED_VALUE"""),111.19)</f>
        <v>111.19</v>
      </c>
      <c r="G75" s="143">
        <f ca="1">IFERROR(__xludf.DUMMYFUNCTION("""COMPUTED_VALUE"""),19553971)</f>
        <v>19553971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IFERROR(__xludf.DUMMYFUNCTION("""COMPUTED_VALUE"""),111.34)</f>
        <v>111.34</v>
      </c>
      <c r="D76" s="141">
        <f ca="1">IFERROR(__xludf.DUMMYFUNCTION("""COMPUTED_VALUE"""),111.49)</f>
        <v>111.49</v>
      </c>
      <c r="E76" s="141">
        <f ca="1">IFERROR(__xludf.DUMMYFUNCTION("""COMPUTED_VALUE"""),111.17)</f>
        <v>111.17</v>
      </c>
      <c r="F76" s="141">
        <f ca="1">IFERROR(__xludf.DUMMYFUNCTION("""COMPUTED_VALUE"""),111.4)</f>
        <v>111.4</v>
      </c>
      <c r="G76" s="143">
        <f ca="1">IFERROR(__xludf.DUMMYFUNCTION("""COMPUTED_VALUE"""),29459480)</f>
        <v>29459480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IFERROR(__xludf.DUMMYFUNCTION("""COMPUTED_VALUE"""),111.61)</f>
        <v>111.61</v>
      </c>
      <c r="D77" s="141">
        <f ca="1">IFERROR(__xludf.DUMMYFUNCTION("""COMPUTED_VALUE"""),111.62)</f>
        <v>111.62</v>
      </c>
      <c r="E77" s="141">
        <f ca="1">IFERROR(__xludf.DUMMYFUNCTION("""COMPUTED_VALUE"""),111.25)</f>
        <v>111.25</v>
      </c>
      <c r="F77" s="141">
        <f ca="1">IFERROR(__xludf.DUMMYFUNCTION("""COMPUTED_VALUE"""),111.26)</f>
        <v>111.26</v>
      </c>
      <c r="G77" s="143">
        <f ca="1">IFERROR(__xludf.DUMMYFUNCTION("""COMPUTED_VALUE"""),22462143)</f>
        <v>22462143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IFERROR(__xludf.DUMMYFUNCTION("""COMPUTED_VALUE"""),111.17)</f>
        <v>111.17</v>
      </c>
      <c r="D78" s="141">
        <f ca="1">IFERROR(__xludf.DUMMYFUNCTION("""COMPUTED_VALUE"""),111.21)</f>
        <v>111.21</v>
      </c>
      <c r="E78" s="141">
        <f ca="1">IFERROR(__xludf.DUMMYFUNCTION("""COMPUTED_VALUE"""),110.95)</f>
        <v>110.95</v>
      </c>
      <c r="F78" s="141">
        <f ca="1">IFERROR(__xludf.DUMMYFUNCTION("""COMPUTED_VALUE"""),111.04)</f>
        <v>111.04</v>
      </c>
      <c r="G78" s="143">
        <f ca="1">IFERROR(__xludf.DUMMYFUNCTION("""COMPUTED_VALUE"""),29660685)</f>
        <v>29660685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IFERROR(__xludf.DUMMYFUNCTION("""COMPUTED_VALUE"""),111.48)</f>
        <v>111.48</v>
      </c>
      <c r="D79" s="141">
        <f ca="1">IFERROR(__xludf.DUMMYFUNCTION("""COMPUTED_VALUE"""),111.55)</f>
        <v>111.55</v>
      </c>
      <c r="E79" s="141">
        <f ca="1">IFERROR(__xludf.DUMMYFUNCTION("""COMPUTED_VALUE"""),111.28)</f>
        <v>111.28</v>
      </c>
      <c r="F79" s="141">
        <f ca="1">IFERROR(__xludf.DUMMYFUNCTION("""COMPUTED_VALUE"""),111.35)</f>
        <v>111.35</v>
      </c>
      <c r="G79" s="143">
        <f ca="1">IFERROR(__xludf.DUMMYFUNCTION("""COMPUTED_VALUE"""),39146387)</f>
        <v>39146387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IFERROR(__xludf.DUMMYFUNCTION("""COMPUTED_VALUE"""),111.4)</f>
        <v>111.4</v>
      </c>
      <c r="D80" s="141">
        <f ca="1">IFERROR(__xludf.DUMMYFUNCTION("""COMPUTED_VALUE"""),111.8)</f>
        <v>111.8</v>
      </c>
      <c r="E80" s="141">
        <f ca="1">IFERROR(__xludf.DUMMYFUNCTION("""COMPUTED_VALUE"""),111.33)</f>
        <v>111.33</v>
      </c>
      <c r="F80" s="141">
        <f ca="1">IFERROR(__xludf.DUMMYFUNCTION("""COMPUTED_VALUE"""),111.73)</f>
        <v>111.73</v>
      </c>
      <c r="G80" s="143">
        <f ca="1">IFERROR(__xludf.DUMMYFUNCTION("""COMPUTED_VALUE"""),11236009)</f>
        <v>11236009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IFERROR(__xludf.DUMMYFUNCTION("""COMPUTED_VALUE"""),111.52)</f>
        <v>111.52</v>
      </c>
      <c r="D81" s="141">
        <f ca="1">IFERROR(__xludf.DUMMYFUNCTION("""COMPUTED_VALUE"""),112.13)</f>
        <v>112.13</v>
      </c>
      <c r="E81" s="141">
        <f ca="1">IFERROR(__xludf.DUMMYFUNCTION("""COMPUTED_VALUE"""),111.48)</f>
        <v>111.48</v>
      </c>
      <c r="F81" s="141">
        <f ca="1">IFERROR(__xludf.DUMMYFUNCTION("""COMPUTED_VALUE"""),112.1)</f>
        <v>112.1</v>
      </c>
      <c r="G81" s="143">
        <f ca="1">IFERROR(__xludf.DUMMYFUNCTION("""COMPUTED_VALUE"""),43975276)</f>
        <v>43975276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IFERROR(__xludf.DUMMYFUNCTION("""COMPUTED_VALUE"""),112.26)</f>
        <v>112.26</v>
      </c>
      <c r="D82" s="141">
        <f ca="1">IFERROR(__xludf.DUMMYFUNCTION("""COMPUTED_VALUE"""),112.5)</f>
        <v>112.5</v>
      </c>
      <c r="E82" s="141">
        <f ca="1">IFERROR(__xludf.DUMMYFUNCTION("""COMPUTED_VALUE"""),111.91)</f>
        <v>111.91</v>
      </c>
      <c r="F82" s="141">
        <f ca="1">IFERROR(__xludf.DUMMYFUNCTION("""COMPUTED_VALUE"""),112.1)</f>
        <v>112.1</v>
      </c>
      <c r="G82" s="143">
        <f ca="1">IFERROR(__xludf.DUMMYFUNCTION("""COMPUTED_VALUE"""),45017330)</f>
        <v>45017330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IFERROR(__xludf.DUMMYFUNCTION("""COMPUTED_VALUE"""),112.05)</f>
        <v>112.05</v>
      </c>
      <c r="D83" s="141">
        <f ca="1">IFERROR(__xludf.DUMMYFUNCTION("""COMPUTED_VALUE"""),112.44)</f>
        <v>112.44</v>
      </c>
      <c r="E83" s="141">
        <f ca="1">IFERROR(__xludf.DUMMYFUNCTION("""COMPUTED_VALUE"""),111.98)</f>
        <v>111.98</v>
      </c>
      <c r="F83" s="141">
        <f ca="1">IFERROR(__xludf.DUMMYFUNCTION("""COMPUTED_VALUE"""),112.42)</f>
        <v>112.42</v>
      </c>
      <c r="G83" s="143">
        <f ca="1">IFERROR(__xludf.DUMMYFUNCTION("""COMPUTED_VALUE"""),39858439)</f>
        <v>39858439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IFERROR(__xludf.DUMMYFUNCTION("""COMPUTED_VALUE"""),112.29)</f>
        <v>112.29</v>
      </c>
      <c r="D84" s="141">
        <f ca="1">IFERROR(__xludf.DUMMYFUNCTION("""COMPUTED_VALUE"""),112.32)</f>
        <v>112.32</v>
      </c>
      <c r="E84" s="141">
        <f ca="1">IFERROR(__xludf.DUMMYFUNCTION("""COMPUTED_VALUE"""),112.11)</f>
        <v>112.11</v>
      </c>
      <c r="F84" s="141">
        <f ca="1">IFERROR(__xludf.DUMMYFUNCTION("""COMPUTED_VALUE"""),112.2)</f>
        <v>112.2</v>
      </c>
      <c r="G84" s="143">
        <f ca="1">IFERROR(__xludf.DUMMYFUNCTION("""COMPUTED_VALUE"""),35433551)</f>
        <v>35433551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IFERROR(__xludf.DUMMYFUNCTION("""COMPUTED_VALUE"""),112.46)</f>
        <v>112.46</v>
      </c>
      <c r="D85" s="141">
        <f ca="1">IFERROR(__xludf.DUMMYFUNCTION("""COMPUTED_VALUE"""),112.56)</f>
        <v>112.56</v>
      </c>
      <c r="E85" s="141">
        <f ca="1">IFERROR(__xludf.DUMMYFUNCTION("""COMPUTED_VALUE"""),112.42)</f>
        <v>112.42</v>
      </c>
      <c r="F85" s="141">
        <f ca="1">IFERROR(__xludf.DUMMYFUNCTION("""COMPUTED_VALUE"""),112.54)</f>
        <v>112.54</v>
      </c>
      <c r="G85" s="143">
        <f ca="1">IFERROR(__xludf.DUMMYFUNCTION("""COMPUTED_VALUE"""),26361144)</f>
        <v>26361144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IFERROR(__xludf.DUMMYFUNCTION("""COMPUTED_VALUE"""),112.82)</f>
        <v>112.82</v>
      </c>
      <c r="D86" s="141">
        <f ca="1">IFERROR(__xludf.DUMMYFUNCTION("""COMPUTED_VALUE"""),112.89)</f>
        <v>112.89</v>
      </c>
      <c r="E86" s="141">
        <f ca="1">IFERROR(__xludf.DUMMYFUNCTION("""COMPUTED_VALUE"""),112.55)</f>
        <v>112.55</v>
      </c>
      <c r="F86" s="141">
        <f ca="1">IFERROR(__xludf.DUMMYFUNCTION("""COMPUTED_VALUE"""),112.56)</f>
        <v>112.56</v>
      </c>
      <c r="G86" s="143">
        <f ca="1">IFERROR(__xludf.DUMMYFUNCTION("""COMPUTED_VALUE"""),27353849)</f>
        <v>27353849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IFERROR(__xludf.DUMMYFUNCTION("""COMPUTED_VALUE"""),112.55)</f>
        <v>112.55</v>
      </c>
      <c r="D87" s="141">
        <f ca="1">IFERROR(__xludf.DUMMYFUNCTION("""COMPUTED_VALUE"""),112.68)</f>
        <v>112.68</v>
      </c>
      <c r="E87" s="141">
        <f ca="1">IFERROR(__xludf.DUMMYFUNCTION("""COMPUTED_VALUE"""),112.41)</f>
        <v>112.41</v>
      </c>
      <c r="F87" s="141">
        <f ca="1">IFERROR(__xludf.DUMMYFUNCTION("""COMPUTED_VALUE"""),112.67)</f>
        <v>112.67</v>
      </c>
      <c r="G87" s="143">
        <f ca="1">IFERROR(__xludf.DUMMYFUNCTION("""COMPUTED_VALUE"""),41003685)</f>
        <v>41003685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IFERROR(__xludf.DUMMYFUNCTION("""COMPUTED_VALUE"""),112.52)</f>
        <v>112.52</v>
      </c>
      <c r="D88" s="141">
        <f ca="1">IFERROR(__xludf.DUMMYFUNCTION("""COMPUTED_VALUE"""),112.69)</f>
        <v>112.69</v>
      </c>
      <c r="E88" s="141">
        <f ca="1">IFERROR(__xludf.DUMMYFUNCTION("""COMPUTED_VALUE"""),112.46)</f>
        <v>112.46</v>
      </c>
      <c r="F88" s="141">
        <f ca="1">IFERROR(__xludf.DUMMYFUNCTION("""COMPUTED_VALUE"""),112.53)</f>
        <v>112.53</v>
      </c>
      <c r="G88" s="143">
        <f ca="1">IFERROR(__xludf.DUMMYFUNCTION("""COMPUTED_VALUE"""),27558499)</f>
        <v>27558499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IFERROR(__xludf.DUMMYFUNCTION("""COMPUTED_VALUE"""),112.78)</f>
        <v>112.78</v>
      </c>
      <c r="D89" s="141">
        <f ca="1">IFERROR(__xludf.DUMMYFUNCTION("""COMPUTED_VALUE"""),112.79)</f>
        <v>112.79</v>
      </c>
      <c r="E89" s="141">
        <f ca="1">IFERROR(__xludf.DUMMYFUNCTION("""COMPUTED_VALUE"""),112.55)</f>
        <v>112.55</v>
      </c>
      <c r="F89" s="141">
        <f ca="1">IFERROR(__xludf.DUMMYFUNCTION("""COMPUTED_VALUE"""),112.72)</f>
        <v>112.72</v>
      </c>
      <c r="G89" s="143">
        <f ca="1">IFERROR(__xludf.DUMMYFUNCTION("""COMPUTED_VALUE"""),29474580)</f>
        <v>29474580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IFERROR(__xludf.DUMMYFUNCTION("""COMPUTED_VALUE"""),112.71)</f>
        <v>112.71</v>
      </c>
      <c r="D90" s="141">
        <f ca="1">IFERROR(__xludf.DUMMYFUNCTION("""COMPUTED_VALUE"""),112.93)</f>
        <v>112.93</v>
      </c>
      <c r="E90" s="141">
        <f ca="1">IFERROR(__xludf.DUMMYFUNCTION("""COMPUTED_VALUE"""),112.55)</f>
        <v>112.55</v>
      </c>
      <c r="F90" s="141">
        <f ca="1">IFERROR(__xludf.DUMMYFUNCTION("""COMPUTED_VALUE"""),112.91)</f>
        <v>112.91</v>
      </c>
      <c r="G90" s="143">
        <f ca="1">IFERROR(__xludf.DUMMYFUNCTION("""COMPUTED_VALUE"""),23513396)</f>
        <v>23513396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IFERROR(__xludf.DUMMYFUNCTION("""COMPUTED_VALUE"""),112.85)</f>
        <v>112.85</v>
      </c>
      <c r="D91" s="141">
        <f ca="1">IFERROR(__xludf.DUMMYFUNCTION("""COMPUTED_VALUE"""),112.93)</f>
        <v>112.93</v>
      </c>
      <c r="E91" s="141">
        <f ca="1">IFERROR(__xludf.DUMMYFUNCTION("""COMPUTED_VALUE"""),112.7)</f>
        <v>112.7</v>
      </c>
      <c r="F91" s="141">
        <f ca="1">IFERROR(__xludf.DUMMYFUNCTION("""COMPUTED_VALUE"""),112.92)</f>
        <v>112.92</v>
      </c>
      <c r="G91" s="143">
        <f ca="1">IFERROR(__xludf.DUMMYFUNCTION("""COMPUTED_VALUE"""),34236305)</f>
        <v>34236305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IFERROR(__xludf.DUMMYFUNCTION("""COMPUTED_VALUE"""),112.86)</f>
        <v>112.86</v>
      </c>
      <c r="D92" s="141">
        <f ca="1">IFERROR(__xludf.DUMMYFUNCTION("""COMPUTED_VALUE"""),112.89)</f>
        <v>112.89</v>
      </c>
      <c r="E92" s="141">
        <f ca="1">IFERROR(__xludf.DUMMYFUNCTION("""COMPUTED_VALUE"""),112.19)</f>
        <v>112.19</v>
      </c>
      <c r="F92" s="141">
        <f ca="1">IFERROR(__xludf.DUMMYFUNCTION("""COMPUTED_VALUE"""),112.28)</f>
        <v>112.28</v>
      </c>
      <c r="G92" s="143">
        <f ca="1">IFERROR(__xludf.DUMMYFUNCTION("""COMPUTED_VALUE"""),36236250)</f>
        <v>36236250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IFERROR(__xludf.DUMMYFUNCTION("""COMPUTED_VALUE"""),111.62)</f>
        <v>111.62</v>
      </c>
      <c r="D93" s="141">
        <f ca="1">IFERROR(__xludf.DUMMYFUNCTION("""COMPUTED_VALUE"""),112.01)</f>
        <v>112.01</v>
      </c>
      <c r="E93" s="141">
        <f ca="1">IFERROR(__xludf.DUMMYFUNCTION("""COMPUTED_VALUE"""),111.52)</f>
        <v>111.52</v>
      </c>
      <c r="F93" s="141">
        <f ca="1">IFERROR(__xludf.DUMMYFUNCTION("""COMPUTED_VALUE"""),111.68)</f>
        <v>111.68</v>
      </c>
      <c r="G93" s="143">
        <f ca="1">IFERROR(__xludf.DUMMYFUNCTION("""COMPUTED_VALUE"""),46045251)</f>
        <v>46045251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IFERROR(__xludf.DUMMYFUNCTION("""COMPUTED_VALUE"""),111.78)</f>
        <v>111.78</v>
      </c>
      <c r="D94" s="141">
        <f ca="1">IFERROR(__xludf.DUMMYFUNCTION("""COMPUTED_VALUE"""),111.78)</f>
        <v>111.78</v>
      </c>
      <c r="E94" s="141">
        <f ca="1">IFERROR(__xludf.DUMMYFUNCTION("""COMPUTED_VALUE"""),111.19)</f>
        <v>111.19</v>
      </c>
      <c r="F94" s="141">
        <f ca="1">IFERROR(__xludf.DUMMYFUNCTION("""COMPUTED_VALUE"""),111.23)</f>
        <v>111.23</v>
      </c>
      <c r="G94" s="143">
        <f ca="1">IFERROR(__xludf.DUMMYFUNCTION("""COMPUTED_VALUE"""),57255523)</f>
        <v>57255523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IFERROR(__xludf.DUMMYFUNCTION("""COMPUTED_VALUE"""),110.61)</f>
        <v>110.61</v>
      </c>
      <c r="D95" s="141">
        <f ca="1">IFERROR(__xludf.DUMMYFUNCTION("""COMPUTED_VALUE"""),110.62)</f>
        <v>110.62</v>
      </c>
      <c r="E95" s="141">
        <f ca="1">IFERROR(__xludf.DUMMYFUNCTION("""COMPUTED_VALUE"""),110.4)</f>
        <v>110.4</v>
      </c>
      <c r="F95" s="141">
        <f ca="1">IFERROR(__xludf.DUMMYFUNCTION("""COMPUTED_VALUE"""),110.53)</f>
        <v>110.53</v>
      </c>
      <c r="G95" s="143">
        <f ca="1">IFERROR(__xludf.DUMMYFUNCTION("""COMPUTED_VALUE"""),53372130)</f>
        <v>53372130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IFERROR(__xludf.DUMMYFUNCTION("""COMPUTED_VALUE"""),110.46)</f>
        <v>110.46</v>
      </c>
      <c r="D96" s="141">
        <f ca="1">IFERROR(__xludf.DUMMYFUNCTION("""COMPUTED_VALUE"""),110.96)</f>
        <v>110.96</v>
      </c>
      <c r="E96" s="141">
        <f ca="1">IFERROR(__xludf.DUMMYFUNCTION("""COMPUTED_VALUE"""),110.45)</f>
        <v>110.45</v>
      </c>
      <c r="F96" s="141">
        <f ca="1">IFERROR(__xludf.DUMMYFUNCTION("""COMPUTED_VALUE"""),110.68)</f>
        <v>110.68</v>
      </c>
      <c r="G96" s="143">
        <f ca="1">IFERROR(__xludf.DUMMYFUNCTION("""COMPUTED_VALUE"""),62636734)</f>
        <v>62636734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IFERROR(__xludf.DUMMYFUNCTION("""COMPUTED_VALUE"""),110.65)</f>
        <v>110.65</v>
      </c>
      <c r="D97" s="141">
        <f ca="1">IFERROR(__xludf.DUMMYFUNCTION("""COMPUTED_VALUE"""),110.72)</f>
        <v>110.72</v>
      </c>
      <c r="E97" s="141">
        <f ca="1">IFERROR(__xludf.DUMMYFUNCTION("""COMPUTED_VALUE"""),110.33)</f>
        <v>110.33</v>
      </c>
      <c r="F97" s="141">
        <f ca="1">IFERROR(__xludf.DUMMYFUNCTION("""COMPUTED_VALUE"""),110.35)</f>
        <v>110.35</v>
      </c>
      <c r="G97" s="143">
        <f ca="1">IFERROR(__xludf.DUMMYFUNCTION("""COMPUTED_VALUE"""),43258251)</f>
        <v>43258251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IFERROR(__xludf.DUMMYFUNCTION("""COMPUTED_VALUE"""),110.8)</f>
        <v>110.8</v>
      </c>
      <c r="D98" s="141">
        <f ca="1">IFERROR(__xludf.DUMMYFUNCTION("""COMPUTED_VALUE"""),110.93)</f>
        <v>110.93</v>
      </c>
      <c r="E98" s="141">
        <f ca="1">IFERROR(__xludf.DUMMYFUNCTION("""COMPUTED_VALUE"""),110.73)</f>
        <v>110.73</v>
      </c>
      <c r="F98" s="141">
        <f ca="1">IFERROR(__xludf.DUMMYFUNCTION("""COMPUTED_VALUE"""),110.93)</f>
        <v>110.93</v>
      </c>
      <c r="G98" s="143">
        <f ca="1">IFERROR(__xludf.DUMMYFUNCTION("""COMPUTED_VALUE"""),37815113)</f>
        <v>37815113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IFERROR(__xludf.DUMMYFUNCTION("""COMPUTED_VALUE"""),110.65)</f>
        <v>110.65</v>
      </c>
      <c r="D99" s="141">
        <f ca="1">IFERROR(__xludf.DUMMYFUNCTION("""COMPUTED_VALUE"""),110.84)</f>
        <v>110.84</v>
      </c>
      <c r="E99" s="141">
        <f ca="1">IFERROR(__xludf.DUMMYFUNCTION("""COMPUTED_VALUE"""),110.59)</f>
        <v>110.59</v>
      </c>
      <c r="F99" s="141">
        <f ca="1">IFERROR(__xludf.DUMMYFUNCTION("""COMPUTED_VALUE"""),110.71)</f>
        <v>110.71</v>
      </c>
      <c r="G99" s="143">
        <f ca="1">IFERROR(__xludf.DUMMYFUNCTION("""COMPUTED_VALUE"""),42671621)</f>
        <v>42671621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IFERROR(__xludf.DUMMYFUNCTION("""COMPUTED_VALUE"""),110.77)</f>
        <v>110.77</v>
      </c>
      <c r="D100" s="141">
        <f ca="1">IFERROR(__xludf.DUMMYFUNCTION("""COMPUTED_VALUE"""),110.9)</f>
        <v>110.9</v>
      </c>
      <c r="E100" s="141">
        <f ca="1">IFERROR(__xludf.DUMMYFUNCTION("""COMPUTED_VALUE"""),110.71)</f>
        <v>110.71</v>
      </c>
      <c r="F100" s="141">
        <f ca="1">IFERROR(__xludf.DUMMYFUNCTION("""COMPUTED_VALUE"""),110.77)</f>
        <v>110.77</v>
      </c>
      <c r="G100" s="143">
        <f ca="1">IFERROR(__xludf.DUMMYFUNCTION("""COMPUTED_VALUE"""),45229107)</f>
        <v>45229107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IFERROR(__xludf.DUMMYFUNCTION("""COMPUTED_VALUE"""),111.05)</f>
        <v>111.05</v>
      </c>
      <c r="D101" s="141">
        <f ca="1">IFERROR(__xludf.DUMMYFUNCTION("""COMPUTED_VALUE"""),111.29)</f>
        <v>111.29</v>
      </c>
      <c r="E101" s="141">
        <f ca="1">IFERROR(__xludf.DUMMYFUNCTION("""COMPUTED_VALUE"""),110.98)</f>
        <v>110.98</v>
      </c>
      <c r="F101" s="141">
        <f ca="1">IFERROR(__xludf.DUMMYFUNCTION("""COMPUTED_VALUE"""),111.21)</f>
        <v>111.21</v>
      </c>
      <c r="G101" s="143">
        <f ca="1">IFERROR(__xludf.DUMMYFUNCTION("""COMPUTED_VALUE"""),11282570)</f>
        <v>11282570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IFERROR(__xludf.DUMMYFUNCTION("""COMPUTED_VALUE"""),111.14)</f>
        <v>111.14</v>
      </c>
      <c r="D102" s="141">
        <f ca="1">IFERROR(__xludf.DUMMYFUNCTION("""COMPUTED_VALUE"""),111.19)</f>
        <v>111.19</v>
      </c>
      <c r="E102" s="141">
        <f ca="1">IFERROR(__xludf.DUMMYFUNCTION("""COMPUTED_VALUE"""),111)</f>
        <v>111</v>
      </c>
      <c r="F102" s="141">
        <f ca="1">IFERROR(__xludf.DUMMYFUNCTION("""COMPUTED_VALUE"""),111.1)</f>
        <v>111.1</v>
      </c>
      <c r="G102" s="143">
        <f ca="1">IFERROR(__xludf.DUMMYFUNCTION("""COMPUTED_VALUE"""),39067935)</f>
        <v>39067935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IFERROR(__xludf.DUMMYFUNCTION("""COMPUTED_VALUE"""),110.79)</f>
        <v>110.79</v>
      </c>
      <c r="D103" s="141">
        <f ca="1">IFERROR(__xludf.DUMMYFUNCTION("""COMPUTED_VALUE"""),110.91)</f>
        <v>110.91</v>
      </c>
      <c r="E103" s="141">
        <f ca="1">IFERROR(__xludf.DUMMYFUNCTION("""COMPUTED_VALUE"""),110.55)</f>
        <v>110.55</v>
      </c>
      <c r="F103" s="141">
        <f ca="1">IFERROR(__xludf.DUMMYFUNCTION("""COMPUTED_VALUE"""),110.55)</f>
        <v>110.55</v>
      </c>
      <c r="G103" s="143">
        <f ca="1">IFERROR(__xludf.DUMMYFUNCTION("""COMPUTED_VALUE"""),34125889)</f>
        <v>34125889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IFERROR(__xludf.DUMMYFUNCTION("""COMPUTED_VALUE"""),110.64)</f>
        <v>110.64</v>
      </c>
      <c r="D104" s="141">
        <f ca="1">IFERROR(__xludf.DUMMYFUNCTION("""COMPUTED_VALUE"""),110.73)</f>
        <v>110.73</v>
      </c>
      <c r="E104" s="141">
        <f ca="1">IFERROR(__xludf.DUMMYFUNCTION("""COMPUTED_VALUE"""),110.24)</f>
        <v>110.24</v>
      </c>
      <c r="F104" s="141">
        <f ca="1">IFERROR(__xludf.DUMMYFUNCTION("""COMPUTED_VALUE"""),110.25)</f>
        <v>110.25</v>
      </c>
      <c r="G104" s="143">
        <f ca="1">IFERROR(__xludf.DUMMYFUNCTION("""COMPUTED_VALUE"""),31437629)</f>
        <v>31437629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IFERROR(__xludf.DUMMYFUNCTION("""COMPUTED_VALUE"""),110.31)</f>
        <v>110.31</v>
      </c>
      <c r="D105" s="141">
        <f ca="1">IFERROR(__xludf.DUMMYFUNCTION("""COMPUTED_VALUE"""),110.58)</f>
        <v>110.58</v>
      </c>
      <c r="E105" s="141">
        <f ca="1">IFERROR(__xludf.DUMMYFUNCTION("""COMPUTED_VALUE"""),110.25)</f>
        <v>110.25</v>
      </c>
      <c r="F105" s="141">
        <f ca="1">IFERROR(__xludf.DUMMYFUNCTION("""COMPUTED_VALUE"""),110.32)</f>
        <v>110.32</v>
      </c>
      <c r="G105" s="143">
        <f ca="1">IFERROR(__xludf.DUMMYFUNCTION("""COMPUTED_VALUE"""),34343349)</f>
        <v>34343349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IFERROR(__xludf.DUMMYFUNCTION("""COMPUTED_VALUE"""),110.51)</f>
        <v>110.51</v>
      </c>
      <c r="D106" s="141">
        <f ca="1">IFERROR(__xludf.DUMMYFUNCTION("""COMPUTED_VALUE"""),110.58)</f>
        <v>110.58</v>
      </c>
      <c r="E106" s="141">
        <f ca="1">IFERROR(__xludf.DUMMYFUNCTION("""COMPUTED_VALUE"""),110.26)</f>
        <v>110.26</v>
      </c>
      <c r="F106" s="141">
        <f ca="1">IFERROR(__xludf.DUMMYFUNCTION("""COMPUTED_VALUE"""),110.37)</f>
        <v>110.37</v>
      </c>
      <c r="G106" s="143">
        <f ca="1">IFERROR(__xludf.DUMMYFUNCTION("""COMPUTED_VALUE"""),30566074)</f>
        <v>30566074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IFERROR(__xludf.DUMMYFUNCTION("""COMPUTED_VALUE"""),110.6)</f>
        <v>110.6</v>
      </c>
      <c r="D107" s="141">
        <f ca="1">IFERROR(__xludf.DUMMYFUNCTION("""COMPUTED_VALUE"""),110.67)</f>
        <v>110.67</v>
      </c>
      <c r="E107" s="141">
        <f ca="1">IFERROR(__xludf.DUMMYFUNCTION("""COMPUTED_VALUE"""),110.32)</f>
        <v>110.32</v>
      </c>
      <c r="F107" s="141">
        <f ca="1">IFERROR(__xludf.DUMMYFUNCTION("""COMPUTED_VALUE"""),110.38)</f>
        <v>110.38</v>
      </c>
      <c r="G107" s="143">
        <f ca="1">IFERROR(__xludf.DUMMYFUNCTION("""COMPUTED_VALUE"""),29144994)</f>
        <v>29144994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IFERROR(__xludf.DUMMYFUNCTION("""COMPUTED_VALUE"""),110.67)</f>
        <v>110.67</v>
      </c>
      <c r="D108" s="141">
        <f ca="1">IFERROR(__xludf.DUMMYFUNCTION("""COMPUTED_VALUE"""),110.81)</f>
        <v>110.81</v>
      </c>
      <c r="E108" s="141">
        <f ca="1">IFERROR(__xludf.DUMMYFUNCTION("""COMPUTED_VALUE"""),110.43)</f>
        <v>110.43</v>
      </c>
      <c r="F108" s="141">
        <f ca="1">IFERROR(__xludf.DUMMYFUNCTION("""COMPUTED_VALUE"""),110.53)</f>
        <v>110.53</v>
      </c>
      <c r="G108" s="143">
        <f ca="1">IFERROR(__xludf.DUMMYFUNCTION("""COMPUTED_VALUE"""),49362254)</f>
        <v>49362254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IFERROR(__xludf.DUMMYFUNCTION("""COMPUTED_VALUE"""),110.9)</f>
        <v>110.9</v>
      </c>
      <c r="D109" s="141">
        <f ca="1">IFERROR(__xludf.DUMMYFUNCTION("""COMPUTED_VALUE"""),110.96)</f>
        <v>110.96</v>
      </c>
      <c r="E109" s="141">
        <f ca="1">IFERROR(__xludf.DUMMYFUNCTION("""COMPUTED_VALUE"""),110.61)</f>
        <v>110.61</v>
      </c>
      <c r="F109" s="141">
        <f ca="1">IFERROR(__xludf.DUMMYFUNCTION("""COMPUTED_VALUE"""),110.92)</f>
        <v>110.92</v>
      </c>
      <c r="G109" s="143">
        <f ca="1">IFERROR(__xludf.DUMMYFUNCTION("""COMPUTED_VALUE"""),41000506)</f>
        <v>41000506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IFERROR(__xludf.DUMMYFUNCTION("""COMPUTED_VALUE"""),111.18)</f>
        <v>111.18</v>
      </c>
      <c r="D110" s="141">
        <f ca="1">IFERROR(__xludf.DUMMYFUNCTION("""COMPUTED_VALUE"""),111.36)</f>
        <v>111.36</v>
      </c>
      <c r="E110" s="141">
        <f ca="1">IFERROR(__xludf.DUMMYFUNCTION("""COMPUTED_VALUE"""),111.09)</f>
        <v>111.09</v>
      </c>
      <c r="F110" s="141">
        <f ca="1">IFERROR(__xludf.DUMMYFUNCTION("""COMPUTED_VALUE"""),111.36)</f>
        <v>111.36</v>
      </c>
      <c r="G110" s="143">
        <f ca="1">IFERROR(__xludf.DUMMYFUNCTION("""COMPUTED_VALUE"""),28437903)</f>
        <v>28437903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IFERROR(__xludf.DUMMYFUNCTION("""COMPUTED_VALUE"""),111.43)</f>
        <v>111.43</v>
      </c>
      <c r="D111" s="141">
        <f ca="1">IFERROR(__xludf.DUMMYFUNCTION("""COMPUTED_VALUE"""),111.9)</f>
        <v>111.9</v>
      </c>
      <c r="E111" s="141">
        <f ca="1">IFERROR(__xludf.DUMMYFUNCTION("""COMPUTED_VALUE"""),111.4)</f>
        <v>111.4</v>
      </c>
      <c r="F111" s="141">
        <f ca="1">IFERROR(__xludf.DUMMYFUNCTION("""COMPUTED_VALUE"""),111.67)</f>
        <v>111.67</v>
      </c>
      <c r="G111" s="143">
        <f ca="1">IFERROR(__xludf.DUMMYFUNCTION("""COMPUTED_VALUE"""),47560984)</f>
        <v>47560984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IFERROR(__xludf.DUMMYFUNCTION("""COMPUTED_VALUE"""),111.67)</f>
        <v>111.67</v>
      </c>
      <c r="D112" s="141">
        <f ca="1">IFERROR(__xludf.DUMMYFUNCTION("""COMPUTED_VALUE"""),112.06)</f>
        <v>112.06</v>
      </c>
      <c r="E112" s="141">
        <f ca="1">IFERROR(__xludf.DUMMYFUNCTION("""COMPUTED_VALUE"""),111.54)</f>
        <v>111.54</v>
      </c>
      <c r="F112" s="141">
        <f ca="1">IFERROR(__xludf.DUMMYFUNCTION("""COMPUTED_VALUE"""),112.05)</f>
        <v>112.05</v>
      </c>
      <c r="G112" s="143">
        <f ca="1">IFERROR(__xludf.DUMMYFUNCTION("""COMPUTED_VALUE"""),24585384)</f>
        <v>24585384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IFERROR(__xludf.DUMMYFUNCTION("""COMPUTED_VALUE"""),111.98)</f>
        <v>111.98</v>
      </c>
      <c r="D113" s="141">
        <f ca="1">IFERROR(__xludf.DUMMYFUNCTION("""COMPUTED_VALUE"""),112.02)</f>
        <v>112.02</v>
      </c>
      <c r="E113" s="141">
        <f ca="1">IFERROR(__xludf.DUMMYFUNCTION("""COMPUTED_VALUE"""),111.68)</f>
        <v>111.68</v>
      </c>
      <c r="F113" s="141">
        <f ca="1">IFERROR(__xludf.DUMMYFUNCTION("""COMPUTED_VALUE"""),111.86)</f>
        <v>111.86</v>
      </c>
      <c r="G113" s="143">
        <f ca="1">IFERROR(__xludf.DUMMYFUNCTION("""COMPUTED_VALUE"""),25471156)</f>
        <v>25471156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IFERROR(__xludf.DUMMYFUNCTION("""COMPUTED_VALUE"""),110.77)</f>
        <v>110.77</v>
      </c>
      <c r="D114" s="141">
        <f ca="1">IFERROR(__xludf.DUMMYFUNCTION("""COMPUTED_VALUE"""),110.89)</f>
        <v>110.89</v>
      </c>
      <c r="E114" s="141">
        <f ca="1">IFERROR(__xludf.DUMMYFUNCTION("""COMPUTED_VALUE"""),110.66)</f>
        <v>110.66</v>
      </c>
      <c r="F114" s="141">
        <f ca="1">IFERROR(__xludf.DUMMYFUNCTION("""COMPUTED_VALUE"""),110.85)</f>
        <v>110.85</v>
      </c>
      <c r="G114" s="143">
        <f ca="1">IFERROR(__xludf.DUMMYFUNCTION("""COMPUTED_VALUE"""),24610135)</f>
        <v>24610135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IFERROR(__xludf.DUMMYFUNCTION("""COMPUTED_VALUE"""),110.84)</f>
        <v>110.84</v>
      </c>
      <c r="D115" s="141">
        <f ca="1">IFERROR(__xludf.DUMMYFUNCTION("""COMPUTED_VALUE"""),111.05)</f>
        <v>111.05</v>
      </c>
      <c r="E115" s="141">
        <f ca="1">IFERROR(__xludf.DUMMYFUNCTION("""COMPUTED_VALUE"""),110.75)</f>
        <v>110.75</v>
      </c>
      <c r="F115" s="141">
        <f ca="1">IFERROR(__xludf.DUMMYFUNCTION("""COMPUTED_VALUE"""),110.92)</f>
        <v>110.92</v>
      </c>
      <c r="G115" s="143">
        <f ca="1">IFERROR(__xludf.DUMMYFUNCTION("""COMPUTED_VALUE"""),34955064)</f>
        <v>34955064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IFERROR(__xludf.DUMMYFUNCTION("""COMPUTED_VALUE"""),111)</f>
        <v>111</v>
      </c>
      <c r="D116" s="141">
        <f ca="1">IFERROR(__xludf.DUMMYFUNCTION("""COMPUTED_VALUE"""),111.27)</f>
        <v>111.27</v>
      </c>
      <c r="E116" s="141">
        <f ca="1">IFERROR(__xludf.DUMMYFUNCTION("""COMPUTED_VALUE"""),110.95)</f>
        <v>110.95</v>
      </c>
      <c r="F116" s="141">
        <f ca="1">IFERROR(__xludf.DUMMYFUNCTION("""COMPUTED_VALUE"""),111.17)</f>
        <v>111.17</v>
      </c>
      <c r="G116" s="143">
        <f ca="1">IFERROR(__xludf.DUMMYFUNCTION("""COMPUTED_VALUE"""),20998021)</f>
        <v>20998021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IFERROR(__xludf.DUMMYFUNCTION("""COMPUTED_VALUE"""),111.04)</f>
        <v>111.04</v>
      </c>
      <c r="D117" s="141">
        <f ca="1">IFERROR(__xludf.DUMMYFUNCTION("""COMPUTED_VALUE"""),111.06)</f>
        <v>111.06</v>
      </c>
      <c r="E117" s="141">
        <f ca="1">IFERROR(__xludf.DUMMYFUNCTION("""COMPUTED_VALUE"""),110.86)</f>
        <v>110.86</v>
      </c>
      <c r="F117" s="141">
        <f ca="1">IFERROR(__xludf.DUMMYFUNCTION("""COMPUTED_VALUE"""),110.97)</f>
        <v>110.97</v>
      </c>
      <c r="G117" s="143">
        <f ca="1">IFERROR(__xludf.DUMMYFUNCTION("""COMPUTED_VALUE"""),29846546)</f>
        <v>29846546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IFERROR(__xludf.DUMMYFUNCTION("""COMPUTED_VALUE"""),111.02)</f>
        <v>111.02</v>
      </c>
      <c r="D118" s="141">
        <f ca="1">IFERROR(__xludf.DUMMYFUNCTION("""COMPUTED_VALUE"""),111.03)</f>
        <v>111.03</v>
      </c>
      <c r="E118" s="141">
        <f ca="1">IFERROR(__xludf.DUMMYFUNCTION("""COMPUTED_VALUE"""),110.7)</f>
        <v>110.7</v>
      </c>
      <c r="F118" s="141">
        <f ca="1">IFERROR(__xludf.DUMMYFUNCTION("""COMPUTED_VALUE"""),110.86)</f>
        <v>110.86</v>
      </c>
      <c r="G118" s="143">
        <f ca="1">IFERROR(__xludf.DUMMYFUNCTION("""COMPUTED_VALUE"""),25470026)</f>
        <v>25470026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IFERROR(__xludf.DUMMYFUNCTION("""COMPUTED_VALUE"""),110.88)</f>
        <v>110.88</v>
      </c>
      <c r="D119" s="141">
        <f ca="1">IFERROR(__xludf.DUMMYFUNCTION("""COMPUTED_VALUE"""),110.89)</f>
        <v>110.89</v>
      </c>
      <c r="E119" s="141">
        <f ca="1">IFERROR(__xludf.DUMMYFUNCTION("""COMPUTED_VALUE"""),110.41)</f>
        <v>110.41</v>
      </c>
      <c r="F119" s="141">
        <f ca="1">IFERROR(__xludf.DUMMYFUNCTION("""COMPUTED_VALUE"""),110.63)</f>
        <v>110.63</v>
      </c>
      <c r="G119" s="143">
        <f ca="1">IFERROR(__xludf.DUMMYFUNCTION("""COMPUTED_VALUE"""),28815224)</f>
        <v>28815224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IFERROR(__xludf.DUMMYFUNCTION("""COMPUTED_VALUE"""),110.86)</f>
        <v>110.86</v>
      </c>
      <c r="D120" s="141">
        <f ca="1">IFERROR(__xludf.DUMMYFUNCTION("""COMPUTED_VALUE"""),110.88)</f>
        <v>110.88</v>
      </c>
      <c r="E120" s="141">
        <f ca="1">IFERROR(__xludf.DUMMYFUNCTION("""COMPUTED_VALUE"""),110.4)</f>
        <v>110.4</v>
      </c>
      <c r="F120" s="141">
        <f ca="1">IFERROR(__xludf.DUMMYFUNCTION("""COMPUTED_VALUE"""),110.49)</f>
        <v>110.49</v>
      </c>
      <c r="G120" s="143">
        <f ca="1">IFERROR(__xludf.DUMMYFUNCTION("""COMPUTED_VALUE"""),29239889)</f>
        <v>29239889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IFERROR(__xludf.DUMMYFUNCTION("""COMPUTED_VALUE"""),110.46)</f>
        <v>110.46</v>
      </c>
      <c r="D121" s="141">
        <f ca="1">IFERROR(__xludf.DUMMYFUNCTION("""COMPUTED_VALUE"""),111.06)</f>
        <v>111.06</v>
      </c>
      <c r="E121" s="141">
        <f ca="1">IFERROR(__xludf.DUMMYFUNCTION("""COMPUTED_VALUE"""),110.43)</f>
        <v>110.43</v>
      </c>
      <c r="F121" s="141">
        <f ca="1">IFERROR(__xludf.DUMMYFUNCTION("""COMPUTED_VALUE"""),111)</f>
        <v>111</v>
      </c>
      <c r="G121" s="143">
        <f ca="1">IFERROR(__xludf.DUMMYFUNCTION("""COMPUTED_VALUE"""),34019498)</f>
        <v>34019498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IFERROR(__xludf.DUMMYFUNCTION("""COMPUTED_VALUE"""),111.19)</f>
        <v>111.19</v>
      </c>
      <c r="D122" s="141">
        <f ca="1">IFERROR(__xludf.DUMMYFUNCTION("""COMPUTED_VALUE"""),111.31)</f>
        <v>111.31</v>
      </c>
      <c r="E122" s="141">
        <f ca="1">IFERROR(__xludf.DUMMYFUNCTION("""COMPUTED_VALUE"""),110.79)</f>
        <v>110.79</v>
      </c>
      <c r="F122" s="141">
        <f ca="1">IFERROR(__xludf.DUMMYFUNCTION("""COMPUTED_VALUE"""),110.84)</f>
        <v>110.84</v>
      </c>
      <c r="G122" s="143">
        <f ca="1">IFERROR(__xludf.DUMMYFUNCTION("""COMPUTED_VALUE"""),41927196)</f>
        <v>41927196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IFERROR(__xludf.DUMMYFUNCTION("""COMPUTED_VALUE"""),110.3)</f>
        <v>110.3</v>
      </c>
      <c r="D123" s="141">
        <f ca="1">IFERROR(__xludf.DUMMYFUNCTION("""COMPUTED_VALUE"""),110.41)</f>
        <v>110.41</v>
      </c>
      <c r="E123" s="141">
        <f ca="1">IFERROR(__xludf.DUMMYFUNCTION("""COMPUTED_VALUE"""),110.1)</f>
        <v>110.1</v>
      </c>
      <c r="F123" s="141">
        <f ca="1">IFERROR(__xludf.DUMMYFUNCTION("""COMPUTED_VALUE"""),110.17)</f>
        <v>110.17</v>
      </c>
      <c r="G123" s="143">
        <f ca="1">IFERROR(__xludf.DUMMYFUNCTION("""COMPUTED_VALUE"""),39040128)</f>
        <v>39040128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IFERROR(__xludf.DUMMYFUNCTION("""COMPUTED_VALUE"""),110.53)</f>
        <v>110.53</v>
      </c>
      <c r="D124" s="141">
        <f ca="1">IFERROR(__xludf.DUMMYFUNCTION("""COMPUTED_VALUE"""),110.61)</f>
        <v>110.61</v>
      </c>
      <c r="E124" s="141">
        <f ca="1">IFERROR(__xludf.DUMMYFUNCTION("""COMPUTED_VALUE"""),110.22)</f>
        <v>110.22</v>
      </c>
      <c r="F124" s="141">
        <f ca="1">IFERROR(__xludf.DUMMYFUNCTION("""COMPUTED_VALUE"""),110.3)</f>
        <v>110.3</v>
      </c>
      <c r="G124" s="143">
        <f ca="1">IFERROR(__xludf.DUMMYFUNCTION("""COMPUTED_VALUE"""),22151514)</f>
        <v>22151514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IFERROR(__xludf.DUMMYFUNCTION("""COMPUTED_VALUE"""),110.18)</f>
        <v>110.18</v>
      </c>
      <c r="D125" s="141">
        <f ca="1">IFERROR(__xludf.DUMMYFUNCTION("""COMPUTED_VALUE"""),110.59)</f>
        <v>110.59</v>
      </c>
      <c r="E125" s="141">
        <f ca="1">IFERROR(__xludf.DUMMYFUNCTION("""COMPUTED_VALUE"""),110.12)</f>
        <v>110.12</v>
      </c>
      <c r="F125" s="141">
        <f ca="1">IFERROR(__xludf.DUMMYFUNCTION("""COMPUTED_VALUE"""),110.55)</f>
        <v>110.55</v>
      </c>
      <c r="G125" s="143">
        <f ca="1">IFERROR(__xludf.DUMMYFUNCTION("""COMPUTED_VALUE"""),31692622)</f>
        <v>31692622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IFERROR(__xludf.DUMMYFUNCTION("""COMPUTED_VALUE"""),110.43)</f>
        <v>110.43</v>
      </c>
      <c r="D126" s="141">
        <f ca="1">IFERROR(__xludf.DUMMYFUNCTION("""COMPUTED_VALUE"""),110.58)</f>
        <v>110.58</v>
      </c>
      <c r="E126" s="141">
        <f ca="1">IFERROR(__xludf.DUMMYFUNCTION("""COMPUTED_VALUE"""),110.35)</f>
        <v>110.35</v>
      </c>
      <c r="F126" s="141">
        <f ca="1">IFERROR(__xludf.DUMMYFUNCTION("""COMPUTED_VALUE"""),110.43)</f>
        <v>110.43</v>
      </c>
      <c r="G126" s="143">
        <f ca="1">IFERROR(__xludf.DUMMYFUNCTION("""COMPUTED_VALUE"""),22248040)</f>
        <v>22248040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IFERROR(__xludf.DUMMYFUNCTION("""COMPUTED_VALUE"""),110.85)</f>
        <v>110.85</v>
      </c>
      <c r="D127" s="141">
        <f ca="1">IFERROR(__xludf.DUMMYFUNCTION("""COMPUTED_VALUE"""),110.94)</f>
        <v>110.94</v>
      </c>
      <c r="E127" s="141">
        <f ca="1">IFERROR(__xludf.DUMMYFUNCTION("""COMPUTED_VALUE"""),110.64)</f>
        <v>110.64</v>
      </c>
      <c r="F127" s="141">
        <f ca="1">IFERROR(__xludf.DUMMYFUNCTION("""COMPUTED_VALUE"""),110.85)</f>
        <v>110.85</v>
      </c>
      <c r="G127" s="143">
        <f ca="1">IFERROR(__xludf.DUMMYFUNCTION("""COMPUTED_VALUE"""),31844286)</f>
        <v>31844286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IFERROR(__xludf.DUMMYFUNCTION("""COMPUTED_VALUE"""),110.28)</f>
        <v>110.28</v>
      </c>
      <c r="D128" s="141">
        <f ca="1">IFERROR(__xludf.DUMMYFUNCTION("""COMPUTED_VALUE"""),110.34)</f>
        <v>110.34</v>
      </c>
      <c r="E128" s="141">
        <f ca="1">IFERROR(__xludf.DUMMYFUNCTION("""COMPUTED_VALUE"""),110.1)</f>
        <v>110.1</v>
      </c>
      <c r="F128" s="141">
        <f ca="1">IFERROR(__xludf.DUMMYFUNCTION("""COMPUTED_VALUE"""),110.13)</f>
        <v>110.13</v>
      </c>
      <c r="G128" s="143">
        <f ca="1">IFERROR(__xludf.DUMMYFUNCTION("""COMPUTED_VALUE"""),28594887)</f>
        <v>28594887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IFERROR(__xludf.DUMMYFUNCTION("""COMPUTED_VALUE"""),110.18)</f>
        <v>110.18</v>
      </c>
      <c r="D129" s="141">
        <f ca="1">IFERROR(__xludf.DUMMYFUNCTION("""COMPUTED_VALUE"""),110.21)</f>
        <v>110.21</v>
      </c>
      <c r="E129" s="141">
        <f ca="1">IFERROR(__xludf.DUMMYFUNCTION("""COMPUTED_VALUE"""),110.01)</f>
        <v>110.01</v>
      </c>
      <c r="F129" s="141">
        <f ca="1">IFERROR(__xludf.DUMMYFUNCTION("""COMPUTED_VALUE"""),110.11)</f>
        <v>110.11</v>
      </c>
      <c r="G129" s="143">
        <f ca="1">IFERROR(__xludf.DUMMYFUNCTION("""COMPUTED_VALUE"""),17335283)</f>
        <v>17335283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IFERROR(__xludf.DUMMYFUNCTION("""COMPUTED_VALUE"""),109.91)</f>
        <v>109.91</v>
      </c>
      <c r="D130" s="141">
        <f ca="1">IFERROR(__xludf.DUMMYFUNCTION("""COMPUTED_VALUE"""),110.27)</f>
        <v>110.27</v>
      </c>
      <c r="E130" s="141">
        <f ca="1">IFERROR(__xludf.DUMMYFUNCTION("""COMPUTED_VALUE"""),109.85)</f>
        <v>109.85</v>
      </c>
      <c r="F130" s="141">
        <f ca="1">IFERROR(__xludf.DUMMYFUNCTION("""COMPUTED_VALUE"""),110.22)</f>
        <v>110.22</v>
      </c>
      <c r="G130" s="143">
        <f ca="1">IFERROR(__xludf.DUMMYFUNCTION("""COMPUTED_VALUE"""),16137321)</f>
        <v>16137321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IFERROR(__xludf.DUMMYFUNCTION("""COMPUTED_VALUE"""),110.43)</f>
        <v>110.43</v>
      </c>
      <c r="D131" s="141">
        <f ca="1">IFERROR(__xludf.DUMMYFUNCTION("""COMPUTED_VALUE"""),110.65)</f>
        <v>110.65</v>
      </c>
      <c r="E131" s="141">
        <f ca="1">IFERROR(__xludf.DUMMYFUNCTION("""COMPUTED_VALUE"""),110.34)</f>
        <v>110.34</v>
      </c>
      <c r="F131" s="141">
        <f ca="1">IFERROR(__xludf.DUMMYFUNCTION("""COMPUTED_VALUE"""),110.65)</f>
        <v>110.65</v>
      </c>
      <c r="G131" s="143">
        <f ca="1">IFERROR(__xludf.DUMMYFUNCTION("""COMPUTED_VALUE"""),6400631)</f>
        <v>6400631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IFERROR(__xludf.DUMMYFUNCTION("""COMPUTED_VALUE"""),110.75)</f>
        <v>110.75</v>
      </c>
      <c r="D132" s="141">
        <f ca="1">IFERROR(__xludf.DUMMYFUNCTION("""COMPUTED_VALUE"""),110.8)</f>
        <v>110.8</v>
      </c>
      <c r="E132" s="141">
        <f ca="1">IFERROR(__xludf.DUMMYFUNCTION("""COMPUTED_VALUE"""),110.47)</f>
        <v>110.47</v>
      </c>
      <c r="F132" s="141">
        <f ca="1">IFERROR(__xludf.DUMMYFUNCTION("""COMPUTED_VALUE"""),110.64)</f>
        <v>110.64</v>
      </c>
      <c r="G132" s="143">
        <f ca="1">IFERROR(__xludf.DUMMYFUNCTION("""COMPUTED_VALUE"""),10589292)</f>
        <v>10589292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IFERROR(__xludf.DUMMYFUNCTION("""COMPUTED_VALUE"""),110.69)</f>
        <v>110.69</v>
      </c>
      <c r="D133" s="141">
        <f ca="1">IFERROR(__xludf.DUMMYFUNCTION("""COMPUTED_VALUE"""),110.79)</f>
        <v>110.79</v>
      </c>
      <c r="E133" s="141">
        <f ca="1">IFERROR(__xludf.DUMMYFUNCTION("""COMPUTED_VALUE"""),110.59)</f>
        <v>110.59</v>
      </c>
      <c r="F133" s="141">
        <f ca="1">IFERROR(__xludf.DUMMYFUNCTION("""COMPUTED_VALUE"""),110.79)</f>
        <v>110.79</v>
      </c>
      <c r="G133" s="143">
        <f ca="1">IFERROR(__xludf.DUMMYFUNCTION("""COMPUTED_VALUE"""),18943860)</f>
        <v>18943860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IFERROR(__xludf.DUMMYFUNCTION("""COMPUTED_VALUE"""),110.57)</f>
        <v>110.57</v>
      </c>
      <c r="D134" s="141">
        <f ca="1">IFERROR(__xludf.DUMMYFUNCTION("""COMPUTED_VALUE"""),110.76)</f>
        <v>110.76</v>
      </c>
      <c r="E134" s="141">
        <f ca="1">IFERROR(__xludf.DUMMYFUNCTION("""COMPUTED_VALUE"""),110.48)</f>
        <v>110.48</v>
      </c>
      <c r="F134" s="141">
        <f ca="1">IFERROR(__xludf.DUMMYFUNCTION("""COMPUTED_VALUE"""),110.66)</f>
        <v>110.66</v>
      </c>
      <c r="G134" s="143">
        <f ca="1">IFERROR(__xludf.DUMMYFUNCTION("""COMPUTED_VALUE"""),21486365)</f>
        <v>21486365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IFERROR(__xludf.DUMMYFUNCTION("""COMPUTED_VALUE"""),110.53)</f>
        <v>110.53</v>
      </c>
      <c r="D135" s="141">
        <f ca="1">IFERROR(__xludf.DUMMYFUNCTION("""COMPUTED_VALUE"""),110.63)</f>
        <v>110.63</v>
      </c>
      <c r="E135" s="141">
        <f ca="1">IFERROR(__xludf.DUMMYFUNCTION("""COMPUTED_VALUE"""),110.19)</f>
        <v>110.19</v>
      </c>
      <c r="F135" s="141">
        <f ca="1">IFERROR(__xludf.DUMMYFUNCTION("""COMPUTED_VALUE"""),110.19)</f>
        <v>110.19</v>
      </c>
      <c r="G135" s="143">
        <f ca="1">IFERROR(__xludf.DUMMYFUNCTION("""COMPUTED_VALUE"""),19124711)</f>
        <v>19124711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IFERROR(__xludf.DUMMYFUNCTION("""COMPUTED_VALUE"""),110.32)</f>
        <v>110.32</v>
      </c>
      <c r="D136" s="141">
        <f ca="1">IFERROR(__xludf.DUMMYFUNCTION("""COMPUTED_VALUE"""),110.4)</f>
        <v>110.4</v>
      </c>
      <c r="E136" s="141">
        <f ca="1">IFERROR(__xludf.DUMMYFUNCTION("""COMPUTED_VALUE"""),110.04)</f>
        <v>110.04</v>
      </c>
      <c r="F136" s="141">
        <f ca="1">IFERROR(__xludf.DUMMYFUNCTION("""COMPUTED_VALUE"""),110.16)</f>
        <v>110.16</v>
      </c>
      <c r="G136" s="143">
        <f ca="1">IFERROR(__xludf.DUMMYFUNCTION("""COMPUTED_VALUE"""),25676222)</f>
        <v>25676222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IFERROR(__xludf.DUMMYFUNCTION("""COMPUTED_VALUE"""),110.3)</f>
        <v>110.3</v>
      </c>
      <c r="D137" s="141">
        <f ca="1">IFERROR(__xludf.DUMMYFUNCTION("""COMPUTED_VALUE"""),110.51)</f>
        <v>110.51</v>
      </c>
      <c r="E137" s="141">
        <f ca="1">IFERROR(__xludf.DUMMYFUNCTION("""COMPUTED_VALUE"""),110.17)</f>
        <v>110.17</v>
      </c>
      <c r="F137" s="141">
        <f ca="1">IFERROR(__xludf.DUMMYFUNCTION("""COMPUTED_VALUE"""),110.47)</f>
        <v>110.47</v>
      </c>
      <c r="G137" s="143">
        <f ca="1">IFERROR(__xludf.DUMMYFUNCTION("""COMPUTED_VALUE"""),27771020)</f>
        <v>27771020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IFERROR(__xludf.DUMMYFUNCTION("""COMPUTED_VALUE"""),110.31)</f>
        <v>110.31</v>
      </c>
      <c r="D138" s="141">
        <f ca="1">IFERROR(__xludf.DUMMYFUNCTION("""COMPUTED_VALUE"""),110.48)</f>
        <v>110.48</v>
      </c>
      <c r="E138" s="141">
        <f ca="1">IFERROR(__xludf.DUMMYFUNCTION("""COMPUTED_VALUE"""),110.13)</f>
        <v>110.13</v>
      </c>
      <c r="F138" s="141">
        <f ca="1">IFERROR(__xludf.DUMMYFUNCTION("""COMPUTED_VALUE"""),110.47)</f>
        <v>110.47</v>
      </c>
      <c r="G138" s="143">
        <f ca="1">IFERROR(__xludf.DUMMYFUNCTION("""COMPUTED_VALUE"""),31037322)</f>
        <v>31037322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IFERROR(__xludf.DUMMYFUNCTION("""COMPUTED_VALUE"""),110.75)</f>
        <v>110.75</v>
      </c>
      <c r="D139" s="141">
        <f ca="1">IFERROR(__xludf.DUMMYFUNCTION("""COMPUTED_VALUE"""),110.8)</f>
        <v>110.8</v>
      </c>
      <c r="E139" s="141">
        <f ca="1">IFERROR(__xludf.DUMMYFUNCTION("""COMPUTED_VALUE"""),110.53)</f>
        <v>110.53</v>
      </c>
      <c r="F139" s="141">
        <f ca="1">IFERROR(__xludf.DUMMYFUNCTION("""COMPUTED_VALUE"""),110.55)</f>
        <v>110.55</v>
      </c>
      <c r="G139" s="143">
        <f ca="1">IFERROR(__xludf.DUMMYFUNCTION("""COMPUTED_VALUE"""),28107442)</f>
        <v>28107442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IFERROR(__xludf.DUMMYFUNCTION("""COMPUTED_VALUE"""),110.2)</f>
        <v>110.2</v>
      </c>
      <c r="D140" s="141">
        <f ca="1">IFERROR(__xludf.DUMMYFUNCTION("""COMPUTED_VALUE"""),110.39)</f>
        <v>110.39</v>
      </c>
      <c r="E140" s="141">
        <f ca="1">IFERROR(__xludf.DUMMYFUNCTION("""COMPUTED_VALUE"""),110.19)</f>
        <v>110.19</v>
      </c>
      <c r="F140" s="141">
        <f ca="1">IFERROR(__xludf.DUMMYFUNCTION("""COMPUTED_VALUE"""),110.24)</f>
        <v>110.24</v>
      </c>
      <c r="G140" s="143">
        <f ca="1">IFERROR(__xludf.DUMMYFUNCTION("""COMPUTED_VALUE"""),26395662)</f>
        <v>26395662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IFERROR(__xludf.DUMMYFUNCTION("""COMPUTED_VALUE"""),110.32)</f>
        <v>110.32</v>
      </c>
      <c r="D141" s="141">
        <f ca="1">IFERROR(__xludf.DUMMYFUNCTION("""COMPUTED_VALUE"""),110.68)</f>
        <v>110.68</v>
      </c>
      <c r="E141" s="141">
        <f ca="1">IFERROR(__xludf.DUMMYFUNCTION("""COMPUTED_VALUE"""),110.22)</f>
        <v>110.22</v>
      </c>
      <c r="F141" s="141">
        <f ca="1">IFERROR(__xludf.DUMMYFUNCTION("""COMPUTED_VALUE"""),110.64)</f>
        <v>110.64</v>
      </c>
      <c r="G141" s="143">
        <f ca="1">IFERROR(__xludf.DUMMYFUNCTION("""COMPUTED_VALUE"""),29660295)</f>
        <v>29660295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IFERROR(__xludf.DUMMYFUNCTION("""COMPUTED_VALUE"""),110.37)</f>
        <v>110.37</v>
      </c>
      <c r="D142" s="141">
        <f ca="1">IFERROR(__xludf.DUMMYFUNCTION("""COMPUTED_VALUE"""),110.65)</f>
        <v>110.65</v>
      </c>
      <c r="E142" s="141">
        <f ca="1">IFERROR(__xludf.DUMMYFUNCTION("""COMPUTED_VALUE"""),110.32)</f>
        <v>110.32</v>
      </c>
      <c r="F142" s="141">
        <f ca="1">IFERROR(__xludf.DUMMYFUNCTION("""COMPUTED_VALUE"""),110.51)</f>
        <v>110.51</v>
      </c>
      <c r="G142" s="143">
        <f ca="1">IFERROR(__xludf.DUMMYFUNCTION("""COMPUTED_VALUE"""),28990065)</f>
        <v>28990065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IFERROR(__xludf.DUMMYFUNCTION("""COMPUTED_VALUE"""),110.71)</f>
        <v>110.71</v>
      </c>
      <c r="D143" s="141">
        <f ca="1">IFERROR(__xludf.DUMMYFUNCTION("""COMPUTED_VALUE"""),110.79)</f>
        <v>110.79</v>
      </c>
      <c r="E143" s="141">
        <f ca="1">IFERROR(__xludf.DUMMYFUNCTION("""COMPUTED_VALUE"""),110.53)</f>
        <v>110.53</v>
      </c>
      <c r="F143" s="141">
        <f ca="1">IFERROR(__xludf.DUMMYFUNCTION("""COMPUTED_VALUE"""),110.75)</f>
        <v>110.75</v>
      </c>
      <c r="G143" s="143">
        <f ca="1">IFERROR(__xludf.DUMMYFUNCTION("""COMPUTED_VALUE"""),31139245)</f>
        <v>31139245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IFERROR(__xludf.DUMMYFUNCTION("""COMPUTED_VALUE"""),110.8)</f>
        <v>110.8</v>
      </c>
      <c r="D144" s="141">
        <f ca="1">IFERROR(__xludf.DUMMYFUNCTION("""COMPUTED_VALUE"""),111.04)</f>
        <v>111.04</v>
      </c>
      <c r="E144" s="141">
        <f ca="1">IFERROR(__xludf.DUMMYFUNCTION("""COMPUTED_VALUE"""),110.77)</f>
        <v>110.77</v>
      </c>
      <c r="F144" s="141">
        <f ca="1">IFERROR(__xludf.DUMMYFUNCTION("""COMPUTED_VALUE"""),111.03)</f>
        <v>111.03</v>
      </c>
      <c r="G144" s="143">
        <f ca="1">IFERROR(__xludf.DUMMYFUNCTION("""COMPUTED_VALUE"""),27251958)</f>
        <v>27251958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IFERROR(__xludf.DUMMYFUNCTION("""COMPUTED_VALUE"""),111.18)</f>
        <v>111.18</v>
      </c>
      <c r="D145" s="141">
        <f ca="1">IFERROR(__xludf.DUMMYFUNCTION("""COMPUTED_VALUE"""),111.2)</f>
        <v>111.2</v>
      </c>
      <c r="E145" s="141">
        <f ca="1">IFERROR(__xludf.DUMMYFUNCTION("""COMPUTED_VALUE"""),110.84)</f>
        <v>110.84</v>
      </c>
      <c r="F145" s="141">
        <f ca="1">IFERROR(__xludf.DUMMYFUNCTION("""COMPUTED_VALUE"""),110.89)</f>
        <v>110.89</v>
      </c>
      <c r="G145" s="143">
        <f ca="1">IFERROR(__xludf.DUMMYFUNCTION("""COMPUTED_VALUE"""),34534790)</f>
        <v>34534790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IFERROR(__xludf.DUMMYFUNCTION("""COMPUTED_VALUE"""),110.82)</f>
        <v>110.82</v>
      </c>
      <c r="D146" s="141">
        <f ca="1">IFERROR(__xludf.DUMMYFUNCTION("""COMPUTED_VALUE"""),110.87)</f>
        <v>110.87</v>
      </c>
      <c r="E146" s="141">
        <f ca="1">IFERROR(__xludf.DUMMYFUNCTION("""COMPUTED_VALUE"""),110.55)</f>
        <v>110.55</v>
      </c>
      <c r="F146" s="141">
        <f ca="1">IFERROR(__xludf.DUMMYFUNCTION("""COMPUTED_VALUE"""),110.57)</f>
        <v>110.57</v>
      </c>
      <c r="G146" s="143">
        <f ca="1">IFERROR(__xludf.DUMMYFUNCTION("""COMPUTED_VALUE"""),38762069)</f>
        <v>38762069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IFERROR(__xludf.DUMMYFUNCTION("""COMPUTED_VALUE"""),109.86)</f>
        <v>109.86</v>
      </c>
      <c r="D147" s="141">
        <f ca="1">IFERROR(__xludf.DUMMYFUNCTION("""COMPUTED_VALUE"""),110.15)</f>
        <v>110.15</v>
      </c>
      <c r="E147" s="141">
        <f ca="1">IFERROR(__xludf.DUMMYFUNCTION("""COMPUTED_VALUE"""),109.81)</f>
        <v>109.81</v>
      </c>
      <c r="F147" s="141">
        <f ca="1">IFERROR(__xludf.DUMMYFUNCTION("""COMPUTED_VALUE"""),109.9)</f>
        <v>109.9</v>
      </c>
      <c r="G147" s="143">
        <f ca="1">IFERROR(__xludf.DUMMYFUNCTION("""COMPUTED_VALUE"""),43500398)</f>
        <v>43500398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IFERROR(__xludf.DUMMYFUNCTION("""COMPUTED_VALUE"""),110.13)</f>
        <v>110.13</v>
      </c>
      <c r="D148" s="141">
        <f ca="1">IFERROR(__xludf.DUMMYFUNCTION("""COMPUTED_VALUE"""),110.66)</f>
        <v>110.66</v>
      </c>
      <c r="E148" s="141">
        <f ca="1">IFERROR(__xludf.DUMMYFUNCTION("""COMPUTED_VALUE"""),110.03)</f>
        <v>110.03</v>
      </c>
      <c r="F148" s="141">
        <f ca="1">IFERROR(__xludf.DUMMYFUNCTION("""COMPUTED_VALUE"""),110.56)</f>
        <v>110.56</v>
      </c>
      <c r="G148" s="143">
        <f ca="1">IFERROR(__xludf.DUMMYFUNCTION("""COMPUTED_VALUE"""),38616550)</f>
        <v>38616550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IFERROR(__xludf.DUMMYFUNCTION("""COMPUTED_VALUE"""),110.58)</f>
        <v>110.58</v>
      </c>
      <c r="D149" s="141">
        <f ca="1">IFERROR(__xludf.DUMMYFUNCTION("""COMPUTED_VALUE"""),110.87)</f>
        <v>110.87</v>
      </c>
      <c r="E149" s="141">
        <f ca="1">IFERROR(__xludf.DUMMYFUNCTION("""COMPUTED_VALUE"""),110.48)</f>
        <v>110.48</v>
      </c>
      <c r="F149" s="141">
        <f ca="1">IFERROR(__xludf.DUMMYFUNCTION("""COMPUTED_VALUE"""),110.77)</f>
        <v>110.77</v>
      </c>
      <c r="G149" s="143">
        <f ca="1">IFERROR(__xludf.DUMMYFUNCTION("""COMPUTED_VALUE"""),36343015)</f>
        <v>36343015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IFERROR(__xludf.DUMMYFUNCTION("""COMPUTED_VALUE"""),110.76)</f>
        <v>110.76</v>
      </c>
      <c r="D150" s="141">
        <f ca="1">IFERROR(__xludf.DUMMYFUNCTION("""COMPUTED_VALUE"""),110.86)</f>
        <v>110.86</v>
      </c>
      <c r="E150" s="141">
        <f ca="1">IFERROR(__xludf.DUMMYFUNCTION("""COMPUTED_VALUE"""),110.51)</f>
        <v>110.51</v>
      </c>
      <c r="F150" s="141">
        <f ca="1">IFERROR(__xludf.DUMMYFUNCTION("""COMPUTED_VALUE"""),110.84)</f>
        <v>110.84</v>
      </c>
      <c r="G150" s="143">
        <f ca="1">IFERROR(__xludf.DUMMYFUNCTION("""COMPUTED_VALUE"""),30615345)</f>
        <v>30615345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IFERROR(__xludf.DUMMYFUNCTION("""COMPUTED_VALUE"""),111.05)</f>
        <v>111.05</v>
      </c>
      <c r="D151" s="141">
        <f ca="1">IFERROR(__xludf.DUMMYFUNCTION("""COMPUTED_VALUE"""),111.12)</f>
        <v>111.12</v>
      </c>
      <c r="E151" s="141">
        <f ca="1">IFERROR(__xludf.DUMMYFUNCTION("""COMPUTED_VALUE"""),110.89)</f>
        <v>110.89</v>
      </c>
      <c r="F151" s="141">
        <f ca="1">IFERROR(__xludf.DUMMYFUNCTION("""COMPUTED_VALUE"""),110.93)</f>
        <v>110.93</v>
      </c>
      <c r="G151" s="143">
        <f ca="1">IFERROR(__xludf.DUMMYFUNCTION("""COMPUTED_VALUE"""),23629809)</f>
        <v>23629809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IFERROR(__xludf.DUMMYFUNCTION("""COMPUTED_VALUE"""),110.84)</f>
        <v>110.84</v>
      </c>
      <c r="D152" s="141">
        <f ca="1">IFERROR(__xludf.DUMMYFUNCTION("""COMPUTED_VALUE"""),111)</f>
        <v>111</v>
      </c>
      <c r="E152" s="141">
        <f ca="1">IFERROR(__xludf.DUMMYFUNCTION("""COMPUTED_VALUE"""),110.74)</f>
        <v>110.74</v>
      </c>
      <c r="F152" s="141">
        <f ca="1">IFERROR(__xludf.DUMMYFUNCTION("""COMPUTED_VALUE"""),110.81)</f>
        <v>110.81</v>
      </c>
      <c r="G152" s="143">
        <f ca="1">IFERROR(__xludf.DUMMYFUNCTION("""COMPUTED_VALUE"""),27166194)</f>
        <v>27166194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IFERROR(__xludf.DUMMYFUNCTION("""COMPUTED_VALUE"""),110.71)</f>
        <v>110.71</v>
      </c>
      <c r="D153" s="141">
        <f ca="1">IFERROR(__xludf.DUMMYFUNCTION("""COMPUTED_VALUE"""),110.74)</f>
        <v>110.74</v>
      </c>
      <c r="E153" s="141">
        <f ca="1">IFERROR(__xludf.DUMMYFUNCTION("""COMPUTED_VALUE"""),110.46)</f>
        <v>110.46</v>
      </c>
      <c r="F153" s="141">
        <f ca="1">IFERROR(__xludf.DUMMYFUNCTION("""COMPUTED_VALUE"""),110.65)</f>
        <v>110.65</v>
      </c>
      <c r="G153" s="143">
        <f ca="1">IFERROR(__xludf.DUMMYFUNCTION("""COMPUTED_VALUE"""),31045901)</f>
        <v>31045901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IFERROR(__xludf.DUMMYFUNCTION("""COMPUTED_VALUE"""),110.43)</f>
        <v>110.43</v>
      </c>
      <c r="D154" s="141">
        <f ca="1">IFERROR(__xludf.DUMMYFUNCTION("""COMPUTED_VALUE"""),110.71)</f>
        <v>110.71</v>
      </c>
      <c r="E154" s="141">
        <f ca="1">IFERROR(__xludf.DUMMYFUNCTION("""COMPUTED_VALUE"""),110.32)</f>
        <v>110.32</v>
      </c>
      <c r="F154" s="141">
        <f ca="1">IFERROR(__xludf.DUMMYFUNCTION("""COMPUTED_VALUE"""),110.68)</f>
        <v>110.68</v>
      </c>
      <c r="G154" s="143">
        <f ca="1">IFERROR(__xludf.DUMMYFUNCTION("""COMPUTED_VALUE"""),45815467)</f>
        <v>45815467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IFERROR(__xludf.DUMMYFUNCTION("""COMPUTED_VALUE"""),110.6)</f>
        <v>110.6</v>
      </c>
      <c r="D155" s="141">
        <f ca="1">IFERROR(__xludf.DUMMYFUNCTION("""COMPUTED_VALUE"""),110.74)</f>
        <v>110.74</v>
      </c>
      <c r="E155" s="141">
        <f ca="1">IFERROR(__xludf.DUMMYFUNCTION("""COMPUTED_VALUE"""),110.52)</f>
        <v>110.52</v>
      </c>
      <c r="F155" s="141">
        <f ca="1">IFERROR(__xludf.DUMMYFUNCTION("""COMPUTED_VALUE"""),110.57)</f>
        <v>110.57</v>
      </c>
      <c r="G155" s="143">
        <f ca="1">IFERROR(__xludf.DUMMYFUNCTION("""COMPUTED_VALUE"""),39631499)</f>
        <v>39631499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IFERROR(__xludf.DUMMYFUNCTION("""COMPUTED_VALUE"""),110.15)</f>
        <v>110.15</v>
      </c>
      <c r="D156" s="141">
        <f ca="1">IFERROR(__xludf.DUMMYFUNCTION("""COMPUTED_VALUE"""),110.32)</f>
        <v>110.32</v>
      </c>
      <c r="E156" s="141">
        <f ca="1">IFERROR(__xludf.DUMMYFUNCTION("""COMPUTED_VALUE"""),110.03)</f>
        <v>110.03</v>
      </c>
      <c r="F156" s="141">
        <f ca="1">IFERROR(__xludf.DUMMYFUNCTION("""COMPUTED_VALUE"""),110.06)</f>
        <v>110.06</v>
      </c>
      <c r="G156" s="143">
        <f ca="1">IFERROR(__xludf.DUMMYFUNCTION("""COMPUTED_VALUE"""),35480376)</f>
        <v>35480376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IFERROR(__xludf.DUMMYFUNCTION("""COMPUTED_VALUE"""),110.04)</f>
        <v>110.04</v>
      </c>
      <c r="D157" s="141">
        <f ca="1">IFERROR(__xludf.DUMMYFUNCTION("""COMPUTED_VALUE"""),110.14)</f>
        <v>110.14</v>
      </c>
      <c r="E157" s="141">
        <f ca="1">IFERROR(__xludf.DUMMYFUNCTION("""COMPUTED_VALUE"""),109.9)</f>
        <v>109.9</v>
      </c>
      <c r="F157" s="141">
        <f ca="1">IFERROR(__xludf.DUMMYFUNCTION("""COMPUTED_VALUE"""),110.11)</f>
        <v>110.11</v>
      </c>
      <c r="G157" s="143">
        <f ca="1">IFERROR(__xludf.DUMMYFUNCTION("""COMPUTED_VALUE"""),32761707)</f>
        <v>32761707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IFERROR(__xludf.DUMMYFUNCTION("""COMPUTED_VALUE"""),109.97)</f>
        <v>109.97</v>
      </c>
      <c r="D158" s="141">
        <f ca="1">IFERROR(__xludf.DUMMYFUNCTION("""COMPUTED_VALUE"""),110.05)</f>
        <v>110.05</v>
      </c>
      <c r="E158" s="141">
        <f ca="1">IFERROR(__xludf.DUMMYFUNCTION("""COMPUTED_VALUE"""),109.83)</f>
        <v>109.83</v>
      </c>
      <c r="F158" s="141">
        <f ca="1">IFERROR(__xludf.DUMMYFUNCTION("""COMPUTED_VALUE"""),109.97)</f>
        <v>109.97</v>
      </c>
      <c r="G158" s="143">
        <f ca="1">IFERROR(__xludf.DUMMYFUNCTION("""COMPUTED_VALUE"""),31344403)</f>
        <v>31344403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IFERROR(__xludf.DUMMYFUNCTION("""COMPUTED_VALUE"""),110.19)</f>
        <v>110.19</v>
      </c>
      <c r="D159" s="141">
        <f ca="1">IFERROR(__xludf.DUMMYFUNCTION("""COMPUTED_VALUE"""),110.54)</f>
        <v>110.54</v>
      </c>
      <c r="E159" s="141">
        <f ca="1">IFERROR(__xludf.DUMMYFUNCTION("""COMPUTED_VALUE"""),110.12)</f>
        <v>110.12</v>
      </c>
      <c r="F159" s="141">
        <f ca="1">IFERROR(__xludf.DUMMYFUNCTION("""COMPUTED_VALUE"""),110.5)</f>
        <v>110.5</v>
      </c>
      <c r="G159" s="143">
        <f ca="1">IFERROR(__xludf.DUMMYFUNCTION("""COMPUTED_VALUE"""),23929703)</f>
        <v>23929703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IFERROR(__xludf.DUMMYFUNCTION("""COMPUTED_VALUE"""),110.47)</f>
        <v>110.47</v>
      </c>
      <c r="D160" s="141">
        <f ca="1">IFERROR(__xludf.DUMMYFUNCTION("""COMPUTED_VALUE"""),110.6)</f>
        <v>110.6</v>
      </c>
      <c r="E160" s="141">
        <f ca="1">IFERROR(__xludf.DUMMYFUNCTION("""COMPUTED_VALUE"""),110.31)</f>
        <v>110.31</v>
      </c>
      <c r="F160" s="141">
        <f ca="1">IFERROR(__xludf.DUMMYFUNCTION("""COMPUTED_VALUE"""),110.56)</f>
        <v>110.56</v>
      </c>
      <c r="G160" s="143">
        <f ca="1">IFERROR(__xludf.DUMMYFUNCTION("""COMPUTED_VALUE"""),29022331)</f>
        <v>29022331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IFERROR(__xludf.DUMMYFUNCTION("""COMPUTED_VALUE"""),110.37)</f>
        <v>110.37</v>
      </c>
      <c r="D161" s="141">
        <f ca="1">IFERROR(__xludf.DUMMYFUNCTION("""COMPUTED_VALUE"""),110.61)</f>
        <v>110.61</v>
      </c>
      <c r="E161" s="141">
        <f ca="1">IFERROR(__xludf.DUMMYFUNCTION("""COMPUTED_VALUE"""),110.29)</f>
        <v>110.29</v>
      </c>
      <c r="F161" s="141">
        <f ca="1">IFERROR(__xludf.DUMMYFUNCTION("""COMPUTED_VALUE"""),110.56)</f>
        <v>110.56</v>
      </c>
      <c r="G161" s="143">
        <f ca="1">IFERROR(__xludf.DUMMYFUNCTION("""COMPUTED_VALUE"""),27356885)</f>
        <v>27356885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IFERROR(__xludf.DUMMYFUNCTION("""COMPUTED_VALUE"""),110.9)</f>
        <v>110.9</v>
      </c>
      <c r="D162" s="141">
        <f ca="1">IFERROR(__xludf.DUMMYFUNCTION("""COMPUTED_VALUE"""),111.04)</f>
        <v>111.04</v>
      </c>
      <c r="E162" s="141">
        <f ca="1">IFERROR(__xludf.DUMMYFUNCTION("""COMPUTED_VALUE"""),110.77)</f>
        <v>110.77</v>
      </c>
      <c r="F162" s="141">
        <f ca="1">IFERROR(__xludf.DUMMYFUNCTION("""COMPUTED_VALUE"""),110.82)</f>
        <v>110.82</v>
      </c>
      <c r="G162" s="143">
        <f ca="1">IFERROR(__xludf.DUMMYFUNCTION("""COMPUTED_VALUE"""),34509805)</f>
        <v>34509805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IFERROR(__xludf.DUMMYFUNCTION("""COMPUTED_VALUE"""),110.63)</f>
        <v>110.63</v>
      </c>
      <c r="D163" s="141">
        <f ca="1">IFERROR(__xludf.DUMMYFUNCTION("""COMPUTED_VALUE"""),110.91)</f>
        <v>110.91</v>
      </c>
      <c r="E163" s="141">
        <f ca="1">IFERROR(__xludf.DUMMYFUNCTION("""COMPUTED_VALUE"""),110.6)</f>
        <v>110.6</v>
      </c>
      <c r="F163" s="141">
        <f ca="1">IFERROR(__xludf.DUMMYFUNCTION("""COMPUTED_VALUE"""),110.7)</f>
        <v>110.7</v>
      </c>
      <c r="G163" s="143">
        <f ca="1">IFERROR(__xludf.DUMMYFUNCTION("""COMPUTED_VALUE"""),29955341)</f>
        <v>29955341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IFERROR(__xludf.DUMMYFUNCTION("""COMPUTED_VALUE"""),110.99)</f>
        <v>110.99</v>
      </c>
      <c r="D164" s="141">
        <f ca="1">IFERROR(__xludf.DUMMYFUNCTION("""COMPUTED_VALUE"""),111.29)</f>
        <v>111.29</v>
      </c>
      <c r="E164" s="141">
        <f ca="1">IFERROR(__xludf.DUMMYFUNCTION("""COMPUTED_VALUE"""),110.97)</f>
        <v>110.97</v>
      </c>
      <c r="F164" s="141">
        <f ca="1">IFERROR(__xludf.DUMMYFUNCTION("""COMPUTED_VALUE"""),111.22)</f>
        <v>111.22</v>
      </c>
      <c r="G164" s="143">
        <f ca="1">IFERROR(__xludf.DUMMYFUNCTION("""COMPUTED_VALUE"""),39724173)</f>
        <v>39724173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IFERROR(__xludf.DUMMYFUNCTION("""COMPUTED_VALUE"""),111.55)</f>
        <v>111.55</v>
      </c>
      <c r="D165" s="141">
        <f ca="1">IFERROR(__xludf.DUMMYFUNCTION("""COMPUTED_VALUE"""),111.6)</f>
        <v>111.6</v>
      </c>
      <c r="E165" s="141">
        <f ca="1">IFERROR(__xludf.DUMMYFUNCTION("""COMPUTED_VALUE"""),111.42)</f>
        <v>111.42</v>
      </c>
      <c r="F165" s="141">
        <f ca="1">IFERROR(__xludf.DUMMYFUNCTION("""COMPUTED_VALUE"""),111.59)</f>
        <v>111.59</v>
      </c>
      <c r="G165" s="143">
        <f ca="1">IFERROR(__xludf.DUMMYFUNCTION("""COMPUTED_VALUE"""),33609892)</f>
        <v>33609892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IFERROR(__xludf.DUMMYFUNCTION("""COMPUTED_VALUE"""),111.57)</f>
        <v>111.57</v>
      </c>
      <c r="D166" s="141">
        <f ca="1">IFERROR(__xludf.DUMMYFUNCTION("""COMPUTED_VALUE"""),111.74)</f>
        <v>111.74</v>
      </c>
      <c r="E166" s="141">
        <f ca="1">IFERROR(__xludf.DUMMYFUNCTION("""COMPUTED_VALUE"""),111.49)</f>
        <v>111.49</v>
      </c>
      <c r="F166" s="141">
        <f ca="1">IFERROR(__xludf.DUMMYFUNCTION("""COMPUTED_VALUE"""),111.7)</f>
        <v>111.7</v>
      </c>
      <c r="G166" s="143">
        <f ca="1">IFERROR(__xludf.DUMMYFUNCTION("""COMPUTED_VALUE"""),33132619)</f>
        <v>33132619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IFERROR(__xludf.DUMMYFUNCTION("""COMPUTED_VALUE"""),111.57)</f>
        <v>111.57</v>
      </c>
      <c r="D167" s="141">
        <f ca="1">IFERROR(__xludf.DUMMYFUNCTION("""COMPUTED_VALUE"""),111.73)</f>
        <v>111.73</v>
      </c>
      <c r="E167" s="141">
        <f ca="1">IFERROR(__xludf.DUMMYFUNCTION("""COMPUTED_VALUE"""),111.51)</f>
        <v>111.51</v>
      </c>
      <c r="F167" s="141">
        <f ca="1">IFERROR(__xludf.DUMMYFUNCTION("""COMPUTED_VALUE"""),111.59)</f>
        <v>111.59</v>
      </c>
      <c r="G167" s="143">
        <f ca="1">IFERROR(__xludf.DUMMYFUNCTION("""COMPUTED_VALUE"""),40087023)</f>
        <v>40087023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IFERROR(__xludf.DUMMYFUNCTION("""COMPUTED_VALUE"""),111.41)</f>
        <v>111.41</v>
      </c>
      <c r="D168" s="141">
        <f ca="1">IFERROR(__xludf.DUMMYFUNCTION("""COMPUTED_VALUE"""),111.68)</f>
        <v>111.68</v>
      </c>
      <c r="E168" s="141">
        <f ca="1">IFERROR(__xludf.DUMMYFUNCTION("""COMPUTED_VALUE"""),111.4)</f>
        <v>111.4</v>
      </c>
      <c r="F168" s="141">
        <f ca="1">IFERROR(__xludf.DUMMYFUNCTION("""COMPUTED_VALUE"""),111.68)</f>
        <v>111.68</v>
      </c>
      <c r="G168" s="143">
        <f ca="1">IFERROR(__xludf.DUMMYFUNCTION("""COMPUTED_VALUE"""),30394457)</f>
        <v>30394457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IFERROR(__xludf.DUMMYFUNCTION("""COMPUTED_VALUE"""),111.62)</f>
        <v>111.62</v>
      </c>
      <c r="D169" s="141">
        <f ca="1">IFERROR(__xludf.DUMMYFUNCTION("""COMPUTED_VALUE"""),111.69)</f>
        <v>111.69</v>
      </c>
      <c r="E169" s="141">
        <f ca="1">IFERROR(__xludf.DUMMYFUNCTION("""COMPUTED_VALUE"""),111.4)</f>
        <v>111.4</v>
      </c>
      <c r="F169" s="141">
        <f ca="1">IFERROR(__xludf.DUMMYFUNCTION("""COMPUTED_VALUE"""),111.59)</f>
        <v>111.59</v>
      </c>
      <c r="G169" s="143">
        <f ca="1">IFERROR(__xludf.DUMMYFUNCTION("""COMPUTED_VALUE"""),44837430)</f>
        <v>44837430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IFERROR(__xludf.DUMMYFUNCTION("""COMPUTED_VALUE"""),111.62)</f>
        <v>111.62</v>
      </c>
      <c r="D170" s="141">
        <f ca="1">IFERROR(__xludf.DUMMYFUNCTION("""COMPUTED_VALUE"""),111.83)</f>
        <v>111.83</v>
      </c>
      <c r="E170" s="141">
        <f ca="1">IFERROR(__xludf.DUMMYFUNCTION("""COMPUTED_VALUE"""),111.58)</f>
        <v>111.58</v>
      </c>
      <c r="F170" s="141">
        <f ca="1">IFERROR(__xludf.DUMMYFUNCTION("""COMPUTED_VALUE"""),111.71)</f>
        <v>111.71</v>
      </c>
      <c r="G170" s="143">
        <f ca="1">IFERROR(__xludf.DUMMYFUNCTION("""COMPUTED_VALUE"""),33322328)</f>
        <v>33322328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IFERROR(__xludf.DUMMYFUNCTION("""COMPUTED_VALUE"""),111.63)</f>
        <v>111.63</v>
      </c>
      <c r="D171" s="141">
        <f ca="1">IFERROR(__xludf.DUMMYFUNCTION("""COMPUTED_VALUE"""),111.74)</f>
        <v>111.74</v>
      </c>
      <c r="E171" s="141">
        <f ca="1">IFERROR(__xludf.DUMMYFUNCTION("""COMPUTED_VALUE"""),111.47)</f>
        <v>111.47</v>
      </c>
      <c r="F171" s="141">
        <f ca="1">IFERROR(__xludf.DUMMYFUNCTION("""COMPUTED_VALUE"""),111.68)</f>
        <v>111.68</v>
      </c>
      <c r="G171" s="143">
        <f ca="1">IFERROR(__xludf.DUMMYFUNCTION("""COMPUTED_VALUE"""),37795702)</f>
        <v>37795702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IFERROR(__xludf.DUMMYFUNCTION("""COMPUTED_VALUE"""),111.6)</f>
        <v>111.6</v>
      </c>
      <c r="D172" s="141">
        <f ca="1">IFERROR(__xludf.DUMMYFUNCTION("""COMPUTED_VALUE"""),111.77)</f>
        <v>111.77</v>
      </c>
      <c r="E172" s="141">
        <f ca="1">IFERROR(__xludf.DUMMYFUNCTION("""COMPUTED_VALUE"""),111.57)</f>
        <v>111.57</v>
      </c>
      <c r="F172" s="141">
        <f ca="1">IFERROR(__xludf.DUMMYFUNCTION("""COMPUTED_VALUE"""),111.65)</f>
        <v>111.65</v>
      </c>
      <c r="G172" s="143">
        <f ca="1">IFERROR(__xludf.DUMMYFUNCTION("""COMPUTED_VALUE"""),33682168)</f>
        <v>33682168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IFERROR(__xludf.DUMMYFUNCTION("""COMPUTED_VALUE"""),111.64)</f>
        <v>111.64</v>
      </c>
      <c r="D173" s="141">
        <f ca="1">IFERROR(__xludf.DUMMYFUNCTION("""COMPUTED_VALUE"""),111.74)</f>
        <v>111.74</v>
      </c>
      <c r="E173" s="141">
        <f ca="1">IFERROR(__xludf.DUMMYFUNCTION("""COMPUTED_VALUE"""),111.54)</f>
        <v>111.54</v>
      </c>
      <c r="F173" s="141">
        <f ca="1">IFERROR(__xludf.DUMMYFUNCTION("""COMPUTED_VALUE"""),111.72)</f>
        <v>111.72</v>
      </c>
      <c r="G173" s="143">
        <f ca="1">IFERROR(__xludf.DUMMYFUNCTION("""COMPUTED_VALUE"""),33028023)</f>
        <v>33028023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IFERROR(__xludf.DUMMYFUNCTION("""COMPUTED_VALUE"""),111.7)</f>
        <v>111.7</v>
      </c>
      <c r="D174" s="141">
        <f ca="1">IFERROR(__xludf.DUMMYFUNCTION("""COMPUTED_VALUE"""),111.93)</f>
        <v>111.93</v>
      </c>
      <c r="E174" s="141">
        <f ca="1">IFERROR(__xludf.DUMMYFUNCTION("""COMPUTED_VALUE"""),111.66)</f>
        <v>111.66</v>
      </c>
      <c r="F174" s="141">
        <f ca="1">IFERROR(__xludf.DUMMYFUNCTION("""COMPUTED_VALUE"""),111.68)</f>
        <v>111.68</v>
      </c>
      <c r="G174" s="143">
        <f ca="1">IFERROR(__xludf.DUMMYFUNCTION("""COMPUTED_VALUE"""),47037529)</f>
        <v>47037529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IFERROR(__xludf.DUMMYFUNCTION("""COMPUTED_VALUE"""),110.84)</f>
        <v>110.84</v>
      </c>
      <c r="D175" s="141">
        <f ca="1">IFERROR(__xludf.DUMMYFUNCTION("""COMPUTED_VALUE"""),110.98)</f>
        <v>110.98</v>
      </c>
      <c r="E175" s="141">
        <f ca="1">IFERROR(__xludf.DUMMYFUNCTION("""COMPUTED_VALUE"""),110.68)</f>
        <v>110.68</v>
      </c>
      <c r="F175" s="141">
        <f ca="1">IFERROR(__xludf.DUMMYFUNCTION("""COMPUTED_VALUE"""),110.92)</f>
        <v>110.92</v>
      </c>
      <c r="G175" s="143">
        <f ca="1">IFERROR(__xludf.DUMMYFUNCTION("""COMPUTED_VALUE"""),53770102)</f>
        <v>53770102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IFERROR(__xludf.DUMMYFUNCTION("""COMPUTED_VALUE"""),110.17)</f>
        <v>110.17</v>
      </c>
      <c r="D176" s="141">
        <f ca="1">IFERROR(__xludf.DUMMYFUNCTION("""COMPUTED_VALUE"""),111.13)</f>
        <v>111.13</v>
      </c>
      <c r="E176" s="141">
        <f ca="1">IFERROR(__xludf.DUMMYFUNCTION("""COMPUTED_VALUE"""),110.17)</f>
        <v>110.17</v>
      </c>
      <c r="F176" s="141">
        <f ca="1">IFERROR(__xludf.DUMMYFUNCTION("""COMPUTED_VALUE"""),110.87)</f>
        <v>110.87</v>
      </c>
      <c r="G176" s="143">
        <f ca="1">IFERROR(__xludf.DUMMYFUNCTION("""COMPUTED_VALUE"""),78579099)</f>
        <v>78579099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IFERROR(__xludf.DUMMYFUNCTION("""COMPUTED_VALUE"""),110.93)</f>
        <v>110.93</v>
      </c>
      <c r="D177" s="141">
        <f ca="1">IFERROR(__xludf.DUMMYFUNCTION("""COMPUTED_VALUE"""),111.17)</f>
        <v>111.17</v>
      </c>
      <c r="E177" s="141">
        <f ca="1">IFERROR(__xludf.DUMMYFUNCTION("""COMPUTED_VALUE"""),110.83)</f>
        <v>110.83</v>
      </c>
      <c r="F177" s="141">
        <f ca="1">IFERROR(__xludf.DUMMYFUNCTION("""COMPUTED_VALUE"""),110.97)</f>
        <v>110.97</v>
      </c>
      <c r="G177" s="143">
        <f ca="1">IFERROR(__xludf.DUMMYFUNCTION("""COMPUTED_VALUE"""),49041776)</f>
        <v>49041776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IFERROR(__xludf.DUMMYFUNCTION("""COMPUTED_VALUE"""),110.42)</f>
        <v>110.42</v>
      </c>
      <c r="D178" s="141">
        <f ca="1">IFERROR(__xludf.DUMMYFUNCTION("""COMPUTED_VALUE"""),110.6)</f>
        <v>110.6</v>
      </c>
      <c r="E178" s="141">
        <f ca="1">IFERROR(__xludf.DUMMYFUNCTION("""COMPUTED_VALUE"""),110.29)</f>
        <v>110.29</v>
      </c>
      <c r="F178" s="141">
        <f ca="1">IFERROR(__xludf.DUMMYFUNCTION("""COMPUTED_VALUE"""),110.53)</f>
        <v>110.53</v>
      </c>
      <c r="G178" s="143">
        <f ca="1">IFERROR(__xludf.DUMMYFUNCTION("""COMPUTED_VALUE"""),47318153)</f>
        <v>47318153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IFERROR(__xludf.DUMMYFUNCTION("""COMPUTED_VALUE"""),109.96)</f>
        <v>109.96</v>
      </c>
      <c r="D179" s="141">
        <f ca="1">IFERROR(__xludf.DUMMYFUNCTION("""COMPUTED_VALUE"""),110.52)</f>
        <v>110.52</v>
      </c>
      <c r="E179" s="141">
        <f ca="1">IFERROR(__xludf.DUMMYFUNCTION("""COMPUTED_VALUE"""),109.77)</f>
        <v>109.77</v>
      </c>
      <c r="F179" s="141">
        <f ca="1">IFERROR(__xludf.DUMMYFUNCTION("""COMPUTED_VALUE"""),110.16)</f>
        <v>110.16</v>
      </c>
      <c r="G179" s="143">
        <f ca="1">IFERROR(__xludf.DUMMYFUNCTION("""COMPUTED_VALUE"""),57506628)</f>
        <v>57506628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IFERROR(__xludf.DUMMYFUNCTION("""COMPUTED_VALUE"""),109.84)</f>
        <v>109.84</v>
      </c>
      <c r="D180" s="141">
        <f ca="1">IFERROR(__xludf.DUMMYFUNCTION("""COMPUTED_VALUE"""),110.87)</f>
        <v>110.87</v>
      </c>
      <c r="E180" s="141">
        <f ca="1">IFERROR(__xludf.DUMMYFUNCTION("""COMPUTED_VALUE"""),109.84)</f>
        <v>109.84</v>
      </c>
      <c r="F180" s="141">
        <f ca="1">IFERROR(__xludf.DUMMYFUNCTION("""COMPUTED_VALUE"""),110.82)</f>
        <v>110.82</v>
      </c>
      <c r="G180" s="143">
        <f ca="1">IFERROR(__xludf.DUMMYFUNCTION("""COMPUTED_VALUE"""),44309819)</f>
        <v>44309819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IFERROR(__xludf.DUMMYFUNCTION("""COMPUTED_VALUE"""),110.4)</f>
        <v>110.4</v>
      </c>
      <c r="D181" s="141">
        <f ca="1">IFERROR(__xludf.DUMMYFUNCTION("""COMPUTED_VALUE"""),110.7)</f>
        <v>110.7</v>
      </c>
      <c r="E181" s="141">
        <f ca="1">IFERROR(__xludf.DUMMYFUNCTION("""COMPUTED_VALUE"""),110.05)</f>
        <v>110.05</v>
      </c>
      <c r="F181" s="141">
        <f ca="1">IFERROR(__xludf.DUMMYFUNCTION("""COMPUTED_VALUE"""),110.06)</f>
        <v>110.06</v>
      </c>
      <c r="G181" s="143">
        <f ca="1">IFERROR(__xludf.DUMMYFUNCTION("""COMPUTED_VALUE"""),71045301)</f>
        <v>71045301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IFERROR(__xludf.DUMMYFUNCTION("""COMPUTED_VALUE"""),109.73)</f>
        <v>109.73</v>
      </c>
      <c r="D182" s="141">
        <f ca="1">IFERROR(__xludf.DUMMYFUNCTION("""COMPUTED_VALUE"""),109.76)</f>
        <v>109.76</v>
      </c>
      <c r="E182" s="141">
        <f ca="1">IFERROR(__xludf.DUMMYFUNCTION("""COMPUTED_VALUE"""),109.01)</f>
        <v>109.01</v>
      </c>
      <c r="F182" s="141">
        <f ca="1">IFERROR(__xludf.DUMMYFUNCTION("""COMPUTED_VALUE"""),109.16)</f>
        <v>109.16</v>
      </c>
      <c r="G182" s="143">
        <f ca="1">IFERROR(__xludf.DUMMYFUNCTION("""COMPUTED_VALUE"""),66524080)</f>
        <v>66524080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IFERROR(__xludf.DUMMYFUNCTION("""COMPUTED_VALUE"""),108.92)</f>
        <v>108.92</v>
      </c>
      <c r="D183" s="141">
        <f ca="1">IFERROR(__xludf.DUMMYFUNCTION("""COMPUTED_VALUE"""),108.98)</f>
        <v>108.98</v>
      </c>
      <c r="E183" s="141">
        <f ca="1">IFERROR(__xludf.DUMMYFUNCTION("""COMPUTED_VALUE"""),108.35)</f>
        <v>108.35</v>
      </c>
      <c r="F183" s="141">
        <f ca="1">IFERROR(__xludf.DUMMYFUNCTION("""COMPUTED_VALUE"""),108.57)</f>
        <v>108.57</v>
      </c>
      <c r="G183" s="143">
        <f ca="1">IFERROR(__xludf.DUMMYFUNCTION("""COMPUTED_VALUE"""),72750355)</f>
        <v>72750355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IFERROR(__xludf.DUMMYFUNCTION("""COMPUTED_VALUE"""),108.75)</f>
        <v>108.75</v>
      </c>
      <c r="D184" s="141">
        <f ca="1">IFERROR(__xludf.DUMMYFUNCTION("""COMPUTED_VALUE"""),108.99)</f>
        <v>108.99</v>
      </c>
      <c r="E184" s="141">
        <f ca="1">IFERROR(__xludf.DUMMYFUNCTION("""COMPUTED_VALUE"""),108.02)</f>
        <v>108.02</v>
      </c>
      <c r="F184" s="141">
        <f ca="1">IFERROR(__xludf.DUMMYFUNCTION("""COMPUTED_VALUE"""),108.17)</f>
        <v>108.17</v>
      </c>
      <c r="G184" s="143">
        <f ca="1">IFERROR(__xludf.DUMMYFUNCTION("""COMPUTED_VALUE"""),54605097)</f>
        <v>54605097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IFERROR(__xludf.DUMMYFUNCTION("""COMPUTED_VALUE"""),108.74)</f>
        <v>108.74</v>
      </c>
      <c r="D185" s="141">
        <f ca="1">IFERROR(__xludf.DUMMYFUNCTION("""COMPUTED_VALUE"""),109.03)</f>
        <v>109.03</v>
      </c>
      <c r="E185" s="141">
        <f ca="1">IFERROR(__xludf.DUMMYFUNCTION("""COMPUTED_VALUE"""),108.56)</f>
        <v>108.56</v>
      </c>
      <c r="F185" s="141">
        <f ca="1">IFERROR(__xludf.DUMMYFUNCTION("""COMPUTED_VALUE"""),108.69)</f>
        <v>108.69</v>
      </c>
      <c r="G185" s="143">
        <f ca="1">IFERROR(__xludf.DUMMYFUNCTION("""COMPUTED_VALUE"""),65429982)</f>
        <v>65429982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IFERROR(__xludf.DUMMYFUNCTION("""COMPUTED_VALUE"""),108.99)</f>
        <v>108.99</v>
      </c>
      <c r="D186" s="141">
        <f ca="1">IFERROR(__xludf.DUMMYFUNCTION("""COMPUTED_VALUE"""),109.33)</f>
        <v>109.33</v>
      </c>
      <c r="E186" s="141">
        <f ca="1">IFERROR(__xludf.DUMMYFUNCTION("""COMPUTED_VALUE"""),108.99)</f>
        <v>108.99</v>
      </c>
      <c r="F186" s="141">
        <f ca="1">IFERROR(__xludf.DUMMYFUNCTION("""COMPUTED_VALUE"""),109.3)</f>
        <v>109.3</v>
      </c>
      <c r="G186" s="143">
        <f ca="1">IFERROR(__xludf.DUMMYFUNCTION("""COMPUTED_VALUE"""),53953870)</f>
        <v>53953870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IFERROR(__xludf.DUMMYFUNCTION("""COMPUTED_VALUE"""),109.14)</f>
        <v>109.14</v>
      </c>
      <c r="D187" s="141">
        <f ca="1">IFERROR(__xludf.DUMMYFUNCTION("""COMPUTED_VALUE"""),109.32)</f>
        <v>109.32</v>
      </c>
      <c r="E187" s="141">
        <f ca="1">IFERROR(__xludf.DUMMYFUNCTION("""COMPUTED_VALUE"""),108.71)</f>
        <v>108.71</v>
      </c>
      <c r="F187" s="141">
        <f ca="1">IFERROR(__xludf.DUMMYFUNCTION("""COMPUTED_VALUE"""),108.71)</f>
        <v>108.71</v>
      </c>
      <c r="G187" s="143">
        <f ca="1">IFERROR(__xludf.DUMMYFUNCTION("""COMPUTED_VALUE"""),60359968)</f>
        <v>60359968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IFERROR(__xludf.DUMMYFUNCTION("""COMPUTED_VALUE"""),108.35)</f>
        <v>108.35</v>
      </c>
      <c r="D188" s="141">
        <f ca="1">IFERROR(__xludf.DUMMYFUNCTION("""COMPUTED_VALUE"""),109.35)</f>
        <v>109.35</v>
      </c>
      <c r="E188" s="141">
        <f ca="1">IFERROR(__xludf.DUMMYFUNCTION("""COMPUTED_VALUE"""),108.31)</f>
        <v>108.31</v>
      </c>
      <c r="F188" s="141">
        <f ca="1">IFERROR(__xludf.DUMMYFUNCTION("""COMPUTED_VALUE"""),109.19)</f>
        <v>109.19</v>
      </c>
      <c r="G188" s="143">
        <f ca="1">IFERROR(__xludf.DUMMYFUNCTION("""COMPUTED_VALUE"""),60271160)</f>
        <v>60271160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IFERROR(__xludf.DUMMYFUNCTION("""COMPUTED_VALUE"""),108.69)</f>
        <v>108.69</v>
      </c>
      <c r="D189" s="141">
        <f ca="1">IFERROR(__xludf.DUMMYFUNCTION("""COMPUTED_VALUE"""),108.8)</f>
        <v>108.8</v>
      </c>
      <c r="E189" s="141">
        <f ca="1">IFERROR(__xludf.DUMMYFUNCTION("""COMPUTED_VALUE"""),107.75)</f>
        <v>107.75</v>
      </c>
      <c r="F189" s="141">
        <f ca="1">IFERROR(__xludf.DUMMYFUNCTION("""COMPUTED_VALUE"""),107.85)</f>
        <v>107.85</v>
      </c>
      <c r="G189" s="143">
        <f ca="1">IFERROR(__xludf.DUMMYFUNCTION("""COMPUTED_VALUE"""),66609213)</f>
        <v>66609213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IFERROR(__xludf.DUMMYFUNCTION("""COMPUTED_VALUE"""),108.2)</f>
        <v>108.2</v>
      </c>
      <c r="D190" s="141">
        <f ca="1">IFERROR(__xludf.DUMMYFUNCTION("""COMPUTED_VALUE"""),108.91)</f>
        <v>108.91</v>
      </c>
      <c r="E190" s="141">
        <f ca="1">IFERROR(__xludf.DUMMYFUNCTION("""COMPUTED_VALUE"""),108.05)</f>
        <v>108.05</v>
      </c>
      <c r="F190" s="141">
        <f ca="1">IFERROR(__xludf.DUMMYFUNCTION("""COMPUTED_VALUE"""),108.56)</f>
        <v>108.56</v>
      </c>
      <c r="G190" s="143">
        <f ca="1">IFERROR(__xludf.DUMMYFUNCTION("""COMPUTED_VALUE"""),54512830)</f>
        <v>54512830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IFERROR(__xludf.DUMMYFUNCTION("""COMPUTED_VALUE"""),108.01)</f>
        <v>108.01</v>
      </c>
      <c r="D191" s="141">
        <f ca="1">IFERROR(__xludf.DUMMYFUNCTION("""COMPUTED_VALUE"""),108.63)</f>
        <v>108.63</v>
      </c>
      <c r="E191" s="141">
        <f ca="1">IFERROR(__xludf.DUMMYFUNCTION("""COMPUTED_VALUE"""),107.95)</f>
        <v>107.95</v>
      </c>
      <c r="F191" s="141">
        <f ca="1">IFERROR(__xludf.DUMMYFUNCTION("""COMPUTED_VALUE"""),108.34)</f>
        <v>108.34</v>
      </c>
      <c r="G191" s="143">
        <f ca="1">IFERROR(__xludf.DUMMYFUNCTION("""COMPUTED_VALUE"""),46515346)</f>
        <v>46515346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IFERROR(__xludf.DUMMYFUNCTION("""COMPUTED_VALUE"""),109.05)</f>
        <v>109.05</v>
      </c>
      <c r="D192" s="141">
        <f ca="1">IFERROR(__xludf.DUMMYFUNCTION("""COMPUTED_VALUE"""),109.05)</f>
        <v>109.05</v>
      </c>
      <c r="E192" s="141">
        <f ca="1">IFERROR(__xludf.DUMMYFUNCTION("""COMPUTED_VALUE"""),108.69)</f>
        <v>108.69</v>
      </c>
      <c r="F192" s="141">
        <f ca="1">IFERROR(__xludf.DUMMYFUNCTION("""COMPUTED_VALUE"""),108.73)</f>
        <v>108.73</v>
      </c>
      <c r="G192" s="143">
        <f ca="1">IFERROR(__xludf.DUMMYFUNCTION("""COMPUTED_VALUE"""),48616286)</f>
        <v>48616286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IFERROR(__xludf.DUMMYFUNCTION("""COMPUTED_VALUE"""),108.28)</f>
        <v>108.28</v>
      </c>
      <c r="D193" s="141">
        <f ca="1">IFERROR(__xludf.DUMMYFUNCTION("""COMPUTED_VALUE"""),108.58)</f>
        <v>108.58</v>
      </c>
      <c r="E193" s="141">
        <f ca="1">IFERROR(__xludf.DUMMYFUNCTION("""COMPUTED_VALUE"""),107.84)</f>
        <v>107.84</v>
      </c>
      <c r="F193" s="141">
        <f ca="1">IFERROR(__xludf.DUMMYFUNCTION("""COMPUTED_VALUE"""),107.88)</f>
        <v>107.88</v>
      </c>
      <c r="G193" s="143">
        <f ca="1">IFERROR(__xludf.DUMMYFUNCTION("""COMPUTED_VALUE"""),42072736)</f>
        <v>42072736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IFERROR(__xludf.DUMMYFUNCTION("""COMPUTED_VALUE"""),107.47)</f>
        <v>107.47</v>
      </c>
      <c r="D194" s="141">
        <f ca="1">IFERROR(__xludf.DUMMYFUNCTION("""COMPUTED_VALUE"""),107.87)</f>
        <v>107.87</v>
      </c>
      <c r="E194" s="141">
        <f ca="1">IFERROR(__xludf.DUMMYFUNCTION("""COMPUTED_VALUE"""),107.36)</f>
        <v>107.36</v>
      </c>
      <c r="F194" s="141">
        <f ca="1">IFERROR(__xludf.DUMMYFUNCTION("""COMPUTED_VALUE"""),107.62)</f>
        <v>107.62</v>
      </c>
      <c r="G194" s="143">
        <f ca="1">IFERROR(__xludf.DUMMYFUNCTION("""COMPUTED_VALUE"""),42578567)</f>
        <v>42578567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IFERROR(__xludf.DUMMYFUNCTION("""COMPUTED_VALUE"""),108.44)</f>
        <v>108.44</v>
      </c>
      <c r="D195" s="141">
        <f ca="1">IFERROR(__xludf.DUMMYFUNCTION("""COMPUTED_VALUE"""),108.59)</f>
        <v>108.59</v>
      </c>
      <c r="E195" s="141">
        <f ca="1">IFERROR(__xludf.DUMMYFUNCTION("""COMPUTED_VALUE"""),108.2)</f>
        <v>108.2</v>
      </c>
      <c r="F195" s="141">
        <f ca="1">IFERROR(__xludf.DUMMYFUNCTION("""COMPUTED_VALUE"""),108.31)</f>
        <v>108.31</v>
      </c>
      <c r="G195" s="143">
        <f ca="1">IFERROR(__xludf.DUMMYFUNCTION("""COMPUTED_VALUE"""),42676996)</f>
        <v>42676996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IFERROR(__xludf.DUMMYFUNCTION("""COMPUTED_VALUE"""),108.72)</f>
        <v>108.72</v>
      </c>
      <c r="D196" s="141">
        <f ca="1">IFERROR(__xludf.DUMMYFUNCTION("""COMPUTED_VALUE"""),109.2)</f>
        <v>109.2</v>
      </c>
      <c r="E196" s="141">
        <f ca="1">IFERROR(__xludf.DUMMYFUNCTION("""COMPUTED_VALUE"""),108.6)</f>
        <v>108.6</v>
      </c>
      <c r="F196" s="141">
        <f ca="1">IFERROR(__xludf.DUMMYFUNCTION("""COMPUTED_VALUE"""),108.99)</f>
        <v>108.99</v>
      </c>
      <c r="G196" s="143">
        <f ca="1">IFERROR(__xludf.DUMMYFUNCTION("""COMPUTED_VALUE"""),57883821)</f>
        <v>57883821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IFERROR(__xludf.DUMMYFUNCTION("""COMPUTED_VALUE"""),108.49)</f>
        <v>108.49</v>
      </c>
      <c r="D197" s="141">
        <f ca="1">IFERROR(__xludf.DUMMYFUNCTION("""COMPUTED_VALUE"""),108.95)</f>
        <v>108.95</v>
      </c>
      <c r="E197" s="141">
        <f ca="1">IFERROR(__xludf.DUMMYFUNCTION("""COMPUTED_VALUE"""),108.49)</f>
        <v>108.49</v>
      </c>
      <c r="F197" s="141">
        <f ca="1">IFERROR(__xludf.DUMMYFUNCTION("""COMPUTED_VALUE"""),108.66)</f>
        <v>108.66</v>
      </c>
      <c r="G197" s="143">
        <f ca="1">IFERROR(__xludf.DUMMYFUNCTION("""COMPUTED_VALUE"""),37445324)</f>
        <v>37445324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IFERROR(__xludf.DUMMYFUNCTION("""COMPUTED_VALUE"""),108.41)</f>
        <v>108.41</v>
      </c>
      <c r="D198" s="141">
        <f ca="1">IFERROR(__xludf.DUMMYFUNCTION("""COMPUTED_VALUE"""),109.25)</f>
        <v>109.25</v>
      </c>
      <c r="E198" s="141">
        <f ca="1">IFERROR(__xludf.DUMMYFUNCTION("""COMPUTED_VALUE"""),108.37)</f>
        <v>108.37</v>
      </c>
      <c r="F198" s="141">
        <f ca="1">IFERROR(__xludf.DUMMYFUNCTION("""COMPUTED_VALUE"""),109.12)</f>
        <v>109.12</v>
      </c>
      <c r="G198" s="143">
        <f ca="1">IFERROR(__xludf.DUMMYFUNCTION("""COMPUTED_VALUE"""),27148571)</f>
        <v>27148571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IFERROR(__xludf.DUMMYFUNCTION("""COMPUTED_VALUE"""),108.87)</f>
        <v>108.87</v>
      </c>
      <c r="D199" s="141">
        <f ca="1">IFERROR(__xludf.DUMMYFUNCTION("""COMPUTED_VALUE"""),109.26)</f>
        <v>109.26</v>
      </c>
      <c r="E199" s="141">
        <f ca="1">IFERROR(__xludf.DUMMYFUNCTION("""COMPUTED_VALUE"""),108.87)</f>
        <v>108.87</v>
      </c>
      <c r="F199" s="141">
        <f ca="1">IFERROR(__xludf.DUMMYFUNCTION("""COMPUTED_VALUE"""),108.95)</f>
        <v>108.95</v>
      </c>
      <c r="G199" s="143">
        <f ca="1">IFERROR(__xludf.DUMMYFUNCTION("""COMPUTED_VALUE"""),29080524)</f>
        <v>29080524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IFERROR(__xludf.DUMMYFUNCTION("""COMPUTED_VALUE"""),108.86)</f>
        <v>108.86</v>
      </c>
      <c r="D200" s="141">
        <f ca="1">IFERROR(__xludf.DUMMYFUNCTION("""COMPUTED_VALUE"""),109.15)</f>
        <v>109.15</v>
      </c>
      <c r="E200" s="141">
        <f ca="1">IFERROR(__xludf.DUMMYFUNCTION("""COMPUTED_VALUE"""),108.27)</f>
        <v>108.27</v>
      </c>
      <c r="F200" s="141">
        <f ca="1">IFERROR(__xludf.DUMMYFUNCTION("""COMPUTED_VALUE"""),109.07)</f>
        <v>109.07</v>
      </c>
      <c r="G200" s="143">
        <f ca="1">IFERROR(__xludf.DUMMYFUNCTION("""COMPUTED_VALUE"""),41258924)</f>
        <v>41258924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IFERROR(__xludf.DUMMYFUNCTION("""COMPUTED_VALUE"""),110)</f>
        <v>110</v>
      </c>
      <c r="D201" s="141">
        <f ca="1">IFERROR(__xludf.DUMMYFUNCTION("""COMPUTED_VALUE"""),110)</f>
        <v>110</v>
      </c>
      <c r="E201" s="141">
        <f ca="1">IFERROR(__xludf.DUMMYFUNCTION("""COMPUTED_VALUE"""),109.29)</f>
        <v>109.29</v>
      </c>
      <c r="F201" s="141">
        <f ca="1">IFERROR(__xludf.DUMMYFUNCTION("""COMPUTED_VALUE"""),109.49)</f>
        <v>109.49</v>
      </c>
      <c r="G201" s="143">
        <f ca="1">IFERROR(__xludf.DUMMYFUNCTION("""COMPUTED_VALUE"""),63694708)</f>
        <v>63694708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IFERROR(__xludf.DUMMYFUNCTION("""COMPUTED_VALUE"""),109.31)</f>
        <v>109.31</v>
      </c>
      <c r="D202" s="141">
        <f ca="1">IFERROR(__xludf.DUMMYFUNCTION("""COMPUTED_VALUE"""),109.79)</f>
        <v>109.79</v>
      </c>
      <c r="E202" s="141">
        <f ca="1">IFERROR(__xludf.DUMMYFUNCTION("""COMPUTED_VALUE"""),109.16)</f>
        <v>109.16</v>
      </c>
      <c r="F202" s="141">
        <f ca="1">IFERROR(__xludf.DUMMYFUNCTION("""COMPUTED_VALUE"""),109.49)</f>
        <v>109.49</v>
      </c>
      <c r="G202" s="143">
        <f ca="1">IFERROR(__xludf.DUMMYFUNCTION("""COMPUTED_VALUE"""),39122037)</f>
        <v>39122037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IFERROR(__xludf.DUMMYFUNCTION("""COMPUTED_VALUE"""),109.47)</f>
        <v>109.47</v>
      </c>
      <c r="D203" s="141">
        <f ca="1">IFERROR(__xludf.DUMMYFUNCTION("""COMPUTED_VALUE"""),109.55)</f>
        <v>109.55</v>
      </c>
      <c r="E203" s="141">
        <f ca="1">IFERROR(__xludf.DUMMYFUNCTION("""COMPUTED_VALUE"""),109.15)</f>
        <v>109.15</v>
      </c>
      <c r="F203" s="141">
        <f ca="1">IFERROR(__xludf.DUMMYFUNCTION("""COMPUTED_VALUE"""),109.2)</f>
        <v>109.2</v>
      </c>
      <c r="G203" s="143">
        <f ca="1">IFERROR(__xludf.DUMMYFUNCTION("""COMPUTED_VALUE"""),22857036)</f>
        <v>22857036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IFERROR(__xludf.DUMMYFUNCTION("""COMPUTED_VALUE"""),109.14)</f>
        <v>109.14</v>
      </c>
      <c r="D204" s="141">
        <f ca="1">IFERROR(__xludf.DUMMYFUNCTION("""COMPUTED_VALUE"""),109.68)</f>
        <v>109.68</v>
      </c>
      <c r="E204" s="141">
        <f ca="1">IFERROR(__xludf.DUMMYFUNCTION("""COMPUTED_VALUE"""),109.11)</f>
        <v>109.11</v>
      </c>
      <c r="F204" s="141">
        <f ca="1">IFERROR(__xludf.DUMMYFUNCTION("""COMPUTED_VALUE"""),109.62)</f>
        <v>109.62</v>
      </c>
      <c r="G204" s="143">
        <f ca="1">IFERROR(__xludf.DUMMYFUNCTION("""COMPUTED_VALUE"""),19904151)</f>
        <v>19904151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IFERROR(__xludf.DUMMYFUNCTION("""COMPUTED_VALUE"""),109.72)</f>
        <v>109.72</v>
      </c>
      <c r="D205" s="141">
        <f ca="1">IFERROR(__xludf.DUMMYFUNCTION("""COMPUTED_VALUE"""),110.08)</f>
        <v>110.08</v>
      </c>
      <c r="E205" s="141">
        <f ca="1">IFERROR(__xludf.DUMMYFUNCTION("""COMPUTED_VALUE"""),109.67)</f>
        <v>109.67</v>
      </c>
      <c r="F205" s="141">
        <f ca="1">IFERROR(__xludf.DUMMYFUNCTION("""COMPUTED_VALUE"""),109.98)</f>
        <v>109.98</v>
      </c>
      <c r="G205" s="143">
        <f ca="1">IFERROR(__xludf.DUMMYFUNCTION("""COMPUTED_VALUE"""),29507842)</f>
        <v>29507842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IFERROR(__xludf.DUMMYFUNCTION("""COMPUTED_VALUE"""),109.85)</f>
        <v>109.85</v>
      </c>
      <c r="D206" s="141">
        <f ca="1">IFERROR(__xludf.DUMMYFUNCTION("""COMPUTED_VALUE"""),109.96)</f>
        <v>109.96</v>
      </c>
      <c r="E206" s="141">
        <f ca="1">IFERROR(__xludf.DUMMYFUNCTION("""COMPUTED_VALUE"""),109.76)</f>
        <v>109.76</v>
      </c>
      <c r="F206" s="141">
        <f ca="1">IFERROR(__xludf.DUMMYFUNCTION("""COMPUTED_VALUE"""),109.94)</f>
        <v>109.94</v>
      </c>
      <c r="G206" s="143">
        <f ca="1">IFERROR(__xludf.DUMMYFUNCTION("""COMPUTED_VALUE"""),30074417)</f>
        <v>30074417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IFERROR(__xludf.DUMMYFUNCTION("""COMPUTED_VALUE"""),110.01)</f>
        <v>110.01</v>
      </c>
      <c r="D207" s="141">
        <f ca="1">IFERROR(__xludf.DUMMYFUNCTION("""COMPUTED_VALUE"""),110.02)</f>
        <v>110.02</v>
      </c>
      <c r="E207" s="141">
        <f ca="1">IFERROR(__xludf.DUMMYFUNCTION("""COMPUTED_VALUE"""),109.41)</f>
        <v>109.41</v>
      </c>
      <c r="F207" s="141">
        <f ca="1">IFERROR(__xludf.DUMMYFUNCTION("""COMPUTED_VALUE"""),109.43)</f>
        <v>109.43</v>
      </c>
      <c r="G207" s="143">
        <f ca="1">IFERROR(__xludf.DUMMYFUNCTION("""COMPUTED_VALUE"""),25833348)</f>
        <v>25833348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IFERROR(__xludf.DUMMYFUNCTION("""COMPUTED_VALUE"""),110.13)</f>
        <v>110.13</v>
      </c>
      <c r="D208" s="141">
        <f ca="1">IFERROR(__xludf.DUMMYFUNCTION("""COMPUTED_VALUE"""),110.29)</f>
        <v>110.29</v>
      </c>
      <c r="E208" s="141">
        <f ca="1">IFERROR(__xludf.DUMMYFUNCTION("""COMPUTED_VALUE"""),109.97)</f>
        <v>109.97</v>
      </c>
      <c r="F208" s="141">
        <f ca="1">IFERROR(__xludf.DUMMYFUNCTION("""COMPUTED_VALUE"""),110.04)</f>
        <v>110.04</v>
      </c>
      <c r="G208" s="143">
        <f ca="1">IFERROR(__xludf.DUMMYFUNCTION("""COMPUTED_VALUE"""),44767750)</f>
        <v>44767750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IFERROR(__xludf.DUMMYFUNCTION("""COMPUTED_VALUE"""),110.04)</f>
        <v>110.04</v>
      </c>
      <c r="D209" s="141">
        <f ca="1">IFERROR(__xludf.DUMMYFUNCTION("""COMPUTED_VALUE"""),110.12)</f>
        <v>110.12</v>
      </c>
      <c r="E209" s="141">
        <f ca="1">IFERROR(__xludf.DUMMYFUNCTION("""COMPUTED_VALUE"""),109.8)</f>
        <v>109.8</v>
      </c>
      <c r="F209" s="141">
        <f ca="1">IFERROR(__xludf.DUMMYFUNCTION("""COMPUTED_VALUE"""),110.03)</f>
        <v>110.03</v>
      </c>
      <c r="G209" s="143">
        <f ca="1">IFERROR(__xludf.DUMMYFUNCTION("""COMPUTED_VALUE"""),19935942)</f>
        <v>19935942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IFERROR(__xludf.DUMMYFUNCTION("""COMPUTED_VALUE"""),109.94)</f>
        <v>109.94</v>
      </c>
      <c r="D210" s="141">
        <f ca="1">IFERROR(__xludf.DUMMYFUNCTION("""COMPUTED_VALUE"""),110.03)</f>
        <v>110.03</v>
      </c>
      <c r="E210" s="141">
        <f ca="1">IFERROR(__xludf.DUMMYFUNCTION("""COMPUTED_VALUE"""),109.58)</f>
        <v>109.58</v>
      </c>
      <c r="F210" s="141">
        <f ca="1">IFERROR(__xludf.DUMMYFUNCTION("""COMPUTED_VALUE"""),109.61)</f>
        <v>109.61</v>
      </c>
      <c r="G210" s="143">
        <f ca="1">IFERROR(__xludf.DUMMYFUNCTION("""COMPUTED_VALUE"""),26008052)</f>
        <v>26008052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IFERROR(__xludf.DUMMYFUNCTION("""COMPUTED_VALUE"""),109.96)</f>
        <v>109.96</v>
      </c>
      <c r="D211" s="141">
        <f ca="1">IFERROR(__xludf.DUMMYFUNCTION("""COMPUTED_VALUE"""),110.11)</f>
        <v>110.11</v>
      </c>
      <c r="E211" s="141">
        <f ca="1">IFERROR(__xludf.DUMMYFUNCTION("""COMPUTED_VALUE"""),109.78)</f>
        <v>109.78</v>
      </c>
      <c r="F211" s="141">
        <f ca="1">IFERROR(__xludf.DUMMYFUNCTION("""COMPUTED_VALUE"""),109.82)</f>
        <v>109.82</v>
      </c>
      <c r="G211" s="143">
        <f ca="1">IFERROR(__xludf.DUMMYFUNCTION("""COMPUTED_VALUE"""),17815120)</f>
        <v>17815120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IFERROR(__xludf.DUMMYFUNCTION("""COMPUTED_VALUE"""),109.8)</f>
        <v>109.8</v>
      </c>
      <c r="D212" s="141">
        <f ca="1">IFERROR(__xludf.DUMMYFUNCTION("""COMPUTED_VALUE"""),109.95)</f>
        <v>109.95</v>
      </c>
      <c r="E212" s="141">
        <f ca="1">IFERROR(__xludf.DUMMYFUNCTION("""COMPUTED_VALUE"""),109.26)</f>
        <v>109.26</v>
      </c>
      <c r="F212" s="141">
        <f ca="1">IFERROR(__xludf.DUMMYFUNCTION("""COMPUTED_VALUE"""),109.52)</f>
        <v>109.52</v>
      </c>
      <c r="G212" s="143">
        <f ca="1">IFERROR(__xludf.DUMMYFUNCTION("""COMPUTED_VALUE"""),25668581)</f>
        <v>25668581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IFERROR(__xludf.DUMMYFUNCTION("""COMPUTED_VALUE"""),109.5)</f>
        <v>109.5</v>
      </c>
      <c r="D213" s="141">
        <f ca="1">IFERROR(__xludf.DUMMYFUNCTION("""COMPUTED_VALUE"""),109.73)</f>
        <v>109.73</v>
      </c>
      <c r="E213" s="141">
        <f ca="1">IFERROR(__xludf.DUMMYFUNCTION("""COMPUTED_VALUE"""),109.32)</f>
        <v>109.32</v>
      </c>
      <c r="F213" s="141">
        <f ca="1">IFERROR(__xludf.DUMMYFUNCTION("""COMPUTED_VALUE"""),109.6)</f>
        <v>109.6</v>
      </c>
      <c r="G213" s="143">
        <f ca="1">IFERROR(__xludf.DUMMYFUNCTION("""COMPUTED_VALUE"""),23212575)</f>
        <v>23212575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IFERROR(__xludf.DUMMYFUNCTION("""COMPUTED_VALUE"""),109.52)</f>
        <v>109.52</v>
      </c>
      <c r="D214" s="141">
        <f ca="1">IFERROR(__xludf.DUMMYFUNCTION("""COMPUTED_VALUE"""),109.59)</f>
        <v>109.59</v>
      </c>
      <c r="E214" s="141">
        <f ca="1">IFERROR(__xludf.DUMMYFUNCTION("""COMPUTED_VALUE"""),109.2)</f>
        <v>109.2</v>
      </c>
      <c r="F214" s="141">
        <f ca="1">IFERROR(__xludf.DUMMYFUNCTION("""COMPUTED_VALUE"""),109.29)</f>
        <v>109.29</v>
      </c>
      <c r="G214" s="143">
        <f ca="1">IFERROR(__xludf.DUMMYFUNCTION("""COMPUTED_VALUE"""),21833249)</f>
        <v>21833249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IFERROR(__xludf.DUMMYFUNCTION("""COMPUTED_VALUE"""),109.07)</f>
        <v>109.07</v>
      </c>
      <c r="D215" s="141">
        <f ca="1">IFERROR(__xludf.DUMMYFUNCTION("""COMPUTED_VALUE"""),109.34)</f>
        <v>109.34</v>
      </c>
      <c r="E215" s="141">
        <f ca="1">IFERROR(__xludf.DUMMYFUNCTION("""COMPUTED_VALUE"""),108.95)</f>
        <v>108.95</v>
      </c>
      <c r="F215" s="141">
        <f ca="1">IFERROR(__xludf.DUMMYFUNCTION("""COMPUTED_VALUE"""),109.34)</f>
        <v>109.34</v>
      </c>
      <c r="G215" s="143">
        <f ca="1">IFERROR(__xludf.DUMMYFUNCTION("""COMPUTED_VALUE"""),25603584)</f>
        <v>25603584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IFERROR(__xludf.DUMMYFUNCTION("""COMPUTED_VALUE"""),109.04)</f>
        <v>109.04</v>
      </c>
      <c r="D216" s="141">
        <f ca="1">IFERROR(__xludf.DUMMYFUNCTION("""COMPUTED_VALUE"""),109.04)</f>
        <v>109.04</v>
      </c>
      <c r="E216" s="141">
        <f ca="1">IFERROR(__xludf.DUMMYFUNCTION("""COMPUTED_VALUE"""),108.57)</f>
        <v>108.57</v>
      </c>
      <c r="F216" s="141">
        <f ca="1">IFERROR(__xludf.DUMMYFUNCTION("""COMPUTED_VALUE"""),108.73)</f>
        <v>108.73</v>
      </c>
      <c r="G216" s="143">
        <f ca="1">IFERROR(__xludf.DUMMYFUNCTION("""COMPUTED_VALUE"""),21800933)</f>
        <v>21800933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IFERROR(__xludf.DUMMYFUNCTION("""COMPUTED_VALUE"""),108.89)</f>
        <v>108.89</v>
      </c>
      <c r="D217" s="141">
        <f ca="1">IFERROR(__xludf.DUMMYFUNCTION("""COMPUTED_VALUE"""),109.07)</f>
        <v>109.07</v>
      </c>
      <c r="E217" s="141">
        <f ca="1">IFERROR(__xludf.DUMMYFUNCTION("""COMPUTED_VALUE"""),108.74)</f>
        <v>108.74</v>
      </c>
      <c r="F217" s="141">
        <f ca="1">IFERROR(__xludf.DUMMYFUNCTION("""COMPUTED_VALUE"""),108.85)</f>
        <v>108.85</v>
      </c>
      <c r="G217" s="143">
        <f ca="1">IFERROR(__xludf.DUMMYFUNCTION("""COMPUTED_VALUE"""),45530730)</f>
        <v>45530730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IFERROR(__xludf.DUMMYFUNCTION("""COMPUTED_VALUE"""),108.55)</f>
        <v>108.55</v>
      </c>
      <c r="D218" s="141">
        <f ca="1">IFERROR(__xludf.DUMMYFUNCTION("""COMPUTED_VALUE"""),109.01)</f>
        <v>109.01</v>
      </c>
      <c r="E218" s="141">
        <f ca="1">IFERROR(__xludf.DUMMYFUNCTION("""COMPUTED_VALUE"""),108.46)</f>
        <v>108.46</v>
      </c>
      <c r="F218" s="141">
        <f ca="1">IFERROR(__xludf.DUMMYFUNCTION("""COMPUTED_VALUE"""),108.6)</f>
        <v>108.6</v>
      </c>
      <c r="G218" s="143">
        <f ca="1">IFERROR(__xludf.DUMMYFUNCTION("""COMPUTED_VALUE"""),34755466)</f>
        <v>34755466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IFERROR(__xludf.DUMMYFUNCTION("""COMPUTED_VALUE"""),108.46)</f>
        <v>108.46</v>
      </c>
      <c r="D219" s="141">
        <f ca="1">IFERROR(__xludf.DUMMYFUNCTION("""COMPUTED_VALUE"""),108.47)</f>
        <v>108.47</v>
      </c>
      <c r="E219" s="141">
        <f ca="1">IFERROR(__xludf.DUMMYFUNCTION("""COMPUTED_VALUE"""),107.92)</f>
        <v>107.92</v>
      </c>
      <c r="F219" s="141">
        <f ca="1">IFERROR(__xludf.DUMMYFUNCTION("""COMPUTED_VALUE"""),108.25)</f>
        <v>108.25</v>
      </c>
      <c r="G219" s="143">
        <f ca="1">IFERROR(__xludf.DUMMYFUNCTION("""COMPUTED_VALUE"""),21983952)</f>
        <v>21983952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IFERROR(__xludf.DUMMYFUNCTION("""COMPUTED_VALUE"""),108.47)</f>
        <v>108.47</v>
      </c>
      <c r="D220" s="141">
        <f ca="1">IFERROR(__xludf.DUMMYFUNCTION("""COMPUTED_VALUE"""),108.79)</f>
        <v>108.79</v>
      </c>
      <c r="E220" s="141">
        <f ca="1">IFERROR(__xludf.DUMMYFUNCTION("""COMPUTED_VALUE"""),108.41)</f>
        <v>108.41</v>
      </c>
      <c r="F220" s="141">
        <f ca="1">IFERROR(__xludf.DUMMYFUNCTION("""COMPUTED_VALUE"""),108.65)</f>
        <v>108.65</v>
      </c>
      <c r="G220" s="143">
        <f ca="1">IFERROR(__xludf.DUMMYFUNCTION("""COMPUTED_VALUE"""),33609745)</f>
        <v>33609745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IFERROR(__xludf.DUMMYFUNCTION("""COMPUTED_VALUE"""),109.18)</f>
        <v>109.18</v>
      </c>
      <c r="D221" s="141">
        <f ca="1">IFERROR(__xludf.DUMMYFUNCTION("""COMPUTED_VALUE"""),109.32)</f>
        <v>109.32</v>
      </c>
      <c r="E221" s="141">
        <f ca="1">IFERROR(__xludf.DUMMYFUNCTION("""COMPUTED_VALUE"""),109.1)</f>
        <v>109.1</v>
      </c>
      <c r="F221" s="141">
        <f ca="1">IFERROR(__xludf.DUMMYFUNCTION("""COMPUTED_VALUE"""),109.19)</f>
        <v>109.19</v>
      </c>
      <c r="G221" s="143">
        <f ca="1">IFERROR(__xludf.DUMMYFUNCTION("""COMPUTED_VALUE"""),28417441)</f>
        <v>28417441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IFERROR(__xludf.DUMMYFUNCTION("""COMPUTED_VALUE"""),109.37)</f>
        <v>109.37</v>
      </c>
      <c r="D222" s="141">
        <f ca="1">IFERROR(__xludf.DUMMYFUNCTION("""COMPUTED_VALUE"""),109.39)</f>
        <v>109.39</v>
      </c>
      <c r="E222" s="141">
        <f ca="1">IFERROR(__xludf.DUMMYFUNCTION("""COMPUTED_VALUE"""),108.68)</f>
        <v>108.68</v>
      </c>
      <c r="F222" s="141">
        <f ca="1">IFERROR(__xludf.DUMMYFUNCTION("""COMPUTED_VALUE"""),108.74)</f>
        <v>108.74</v>
      </c>
      <c r="G222" s="143">
        <f ca="1">IFERROR(__xludf.DUMMYFUNCTION("""COMPUTED_VALUE"""),24184895)</f>
        <v>24184895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IFERROR(__xludf.DUMMYFUNCTION("""COMPUTED_VALUE"""),109.15)</f>
        <v>109.15</v>
      </c>
      <c r="D223" s="141">
        <f ca="1">IFERROR(__xludf.DUMMYFUNCTION("""COMPUTED_VALUE"""),109.29)</f>
        <v>109.29</v>
      </c>
      <c r="E223" s="141">
        <f ca="1">IFERROR(__xludf.DUMMYFUNCTION("""COMPUTED_VALUE"""),109.09)</f>
        <v>109.09</v>
      </c>
      <c r="F223" s="141">
        <f ca="1">IFERROR(__xludf.DUMMYFUNCTION("""COMPUTED_VALUE"""),109.2)</f>
        <v>109.2</v>
      </c>
      <c r="G223" s="143">
        <f ca="1">IFERROR(__xludf.DUMMYFUNCTION("""COMPUTED_VALUE"""),17503263)</f>
        <v>17503263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IFERROR(__xludf.DUMMYFUNCTION("""COMPUTED_VALUE"""),109.04)</f>
        <v>109.04</v>
      </c>
      <c r="D224" s="141">
        <f ca="1">IFERROR(__xludf.DUMMYFUNCTION("""COMPUTED_VALUE"""),109.18)</f>
        <v>109.18</v>
      </c>
      <c r="E224" s="141">
        <f ca="1">IFERROR(__xludf.DUMMYFUNCTION("""COMPUTED_VALUE"""),108.89)</f>
        <v>108.89</v>
      </c>
      <c r="F224" s="141">
        <f ca="1">IFERROR(__xludf.DUMMYFUNCTION("""COMPUTED_VALUE"""),108.93)</f>
        <v>108.93</v>
      </c>
      <c r="G224" s="143">
        <f ca="1">IFERROR(__xludf.DUMMYFUNCTION("""COMPUTED_VALUE"""),23050594)</f>
        <v>23050594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IFERROR(__xludf.DUMMYFUNCTION("""COMPUTED_VALUE"""),108.61)</f>
        <v>108.61</v>
      </c>
      <c r="D225" s="141">
        <f ca="1">IFERROR(__xludf.DUMMYFUNCTION("""COMPUTED_VALUE"""),108.66)</f>
        <v>108.66</v>
      </c>
      <c r="E225" s="141">
        <f ca="1">IFERROR(__xludf.DUMMYFUNCTION("""COMPUTED_VALUE"""),108.45)</f>
        <v>108.45</v>
      </c>
      <c r="F225" s="141">
        <f ca="1">IFERROR(__xludf.DUMMYFUNCTION("""COMPUTED_VALUE"""),108.56)</f>
        <v>108.56</v>
      </c>
      <c r="G225" s="143">
        <f ca="1">IFERROR(__xludf.DUMMYFUNCTION("""COMPUTED_VALUE"""),26579527)</f>
        <v>26579527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IFERROR(__xludf.DUMMYFUNCTION("""COMPUTED_VALUE"""),108.53)</f>
        <v>108.53</v>
      </c>
      <c r="D226" s="141">
        <f ca="1">IFERROR(__xludf.DUMMYFUNCTION("""COMPUTED_VALUE"""),108.63)</f>
        <v>108.63</v>
      </c>
      <c r="E226" s="141">
        <f ca="1">IFERROR(__xludf.DUMMYFUNCTION("""COMPUTED_VALUE"""),108.3)</f>
        <v>108.3</v>
      </c>
      <c r="F226" s="141">
        <f ca="1">IFERROR(__xludf.DUMMYFUNCTION("""COMPUTED_VALUE"""),108.62)</f>
        <v>108.62</v>
      </c>
      <c r="G226" s="143">
        <f ca="1">IFERROR(__xludf.DUMMYFUNCTION("""COMPUTED_VALUE"""),19083030)</f>
        <v>19083030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IFERROR(__xludf.DUMMYFUNCTION("""COMPUTED_VALUE"""),108.89)</f>
        <v>108.89</v>
      </c>
      <c r="D227" s="141">
        <f ca="1">IFERROR(__xludf.DUMMYFUNCTION("""COMPUTED_VALUE"""),108.94)</f>
        <v>108.94</v>
      </c>
      <c r="E227" s="141">
        <f ca="1">IFERROR(__xludf.DUMMYFUNCTION("""COMPUTED_VALUE"""),108.53)</f>
        <v>108.53</v>
      </c>
      <c r="F227" s="141">
        <f ca="1">IFERROR(__xludf.DUMMYFUNCTION("""COMPUTED_VALUE"""),108.55)</f>
        <v>108.55</v>
      </c>
      <c r="G227" s="143">
        <f ca="1">IFERROR(__xludf.DUMMYFUNCTION("""COMPUTED_VALUE"""),18038028)</f>
        <v>18038028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IFERROR(__xludf.DUMMYFUNCTION("""COMPUTED_VALUE"""),107.87)</f>
        <v>107.87</v>
      </c>
      <c r="D228" s="141">
        <f ca="1">IFERROR(__xludf.DUMMYFUNCTION("""COMPUTED_VALUE"""),107.95)</f>
        <v>107.95</v>
      </c>
      <c r="E228" s="141">
        <f ca="1">IFERROR(__xludf.DUMMYFUNCTION("""COMPUTED_VALUE"""),107.69)</f>
        <v>107.69</v>
      </c>
      <c r="F228" s="141">
        <f ca="1">IFERROR(__xludf.DUMMYFUNCTION("""COMPUTED_VALUE"""),107.86)</f>
        <v>107.86</v>
      </c>
      <c r="G228" s="143">
        <f ca="1">IFERROR(__xludf.DUMMYFUNCTION("""COMPUTED_VALUE"""),49717962)</f>
        <v>49717962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IFERROR(__xludf.DUMMYFUNCTION("""COMPUTED_VALUE"""),107.96)</f>
        <v>107.96</v>
      </c>
      <c r="D229" s="141">
        <f ca="1">IFERROR(__xludf.DUMMYFUNCTION("""COMPUTED_VALUE"""),108.11)</f>
        <v>108.11</v>
      </c>
      <c r="E229" s="141">
        <f ca="1">IFERROR(__xludf.DUMMYFUNCTION("""COMPUTED_VALUE"""),107.5)</f>
        <v>107.5</v>
      </c>
      <c r="F229" s="141">
        <f ca="1">IFERROR(__xludf.DUMMYFUNCTION("""COMPUTED_VALUE"""),107.66)</f>
        <v>107.66</v>
      </c>
      <c r="G229" s="143">
        <f ca="1">IFERROR(__xludf.DUMMYFUNCTION("""COMPUTED_VALUE"""),31145208)</f>
        <v>31145208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IFERROR(__xludf.DUMMYFUNCTION("""COMPUTED_VALUE"""),107.22)</f>
        <v>107.22</v>
      </c>
      <c r="D230" s="141">
        <f ca="1">IFERROR(__xludf.DUMMYFUNCTION("""COMPUTED_VALUE"""),107.4)</f>
        <v>107.4</v>
      </c>
      <c r="E230" s="141">
        <f ca="1">IFERROR(__xludf.DUMMYFUNCTION("""COMPUTED_VALUE"""),106.93)</f>
        <v>106.93</v>
      </c>
      <c r="F230" s="141">
        <f ca="1">IFERROR(__xludf.DUMMYFUNCTION("""COMPUTED_VALUE"""),107.12)</f>
        <v>107.12</v>
      </c>
      <c r="G230" s="143">
        <f ca="1">IFERROR(__xludf.DUMMYFUNCTION("""COMPUTED_VALUE"""),36965511)</f>
        <v>36965511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IFERROR(__xludf.DUMMYFUNCTION("""COMPUTED_VALUE"""),107.17)</f>
        <v>107.17</v>
      </c>
      <c r="D231" s="141">
        <f ca="1">IFERROR(__xludf.DUMMYFUNCTION("""COMPUTED_VALUE"""),108.08)</f>
        <v>108.08</v>
      </c>
      <c r="E231" s="141">
        <f ca="1">IFERROR(__xludf.DUMMYFUNCTION("""COMPUTED_VALUE"""),107.17)</f>
        <v>107.17</v>
      </c>
      <c r="F231" s="141">
        <f ca="1">IFERROR(__xludf.DUMMYFUNCTION("""COMPUTED_VALUE"""),107.95)</f>
        <v>107.95</v>
      </c>
      <c r="G231" s="143">
        <f ca="1">IFERROR(__xludf.DUMMYFUNCTION("""COMPUTED_VALUE"""),34281713)</f>
        <v>34281713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IFERROR(__xludf.DUMMYFUNCTION("""COMPUTED_VALUE"""),107.65)</f>
        <v>107.65</v>
      </c>
      <c r="D232" s="141">
        <f ca="1">IFERROR(__xludf.DUMMYFUNCTION("""COMPUTED_VALUE"""),108.18)</f>
        <v>108.18</v>
      </c>
      <c r="E232" s="141">
        <f ca="1">IFERROR(__xludf.DUMMYFUNCTION("""COMPUTED_VALUE"""),107.46)</f>
        <v>107.46</v>
      </c>
      <c r="F232" s="141">
        <f ca="1">IFERROR(__xludf.DUMMYFUNCTION("""COMPUTED_VALUE"""),108.17)</f>
        <v>108.17</v>
      </c>
      <c r="G232" s="143">
        <f ca="1">IFERROR(__xludf.DUMMYFUNCTION("""COMPUTED_VALUE"""),25440409)</f>
        <v>25440409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IFERROR(__xludf.DUMMYFUNCTION("""COMPUTED_VALUE"""),108.53)</f>
        <v>108.53</v>
      </c>
      <c r="D233" s="141">
        <f ca="1">IFERROR(__xludf.DUMMYFUNCTION("""COMPUTED_VALUE"""),108.53)</f>
        <v>108.53</v>
      </c>
      <c r="E233" s="141">
        <f ca="1">IFERROR(__xludf.DUMMYFUNCTION("""COMPUTED_VALUE"""),108.1)</f>
        <v>108.1</v>
      </c>
      <c r="F233" s="141">
        <f ca="1">IFERROR(__xludf.DUMMYFUNCTION("""COMPUTED_VALUE"""),108.37)</f>
        <v>108.37</v>
      </c>
      <c r="G233" s="143">
        <f ca="1">IFERROR(__xludf.DUMMYFUNCTION("""COMPUTED_VALUE"""),19668825)</f>
        <v>19668825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IFERROR(__xludf.DUMMYFUNCTION("""COMPUTED_VALUE"""),108.97)</f>
        <v>108.97</v>
      </c>
      <c r="D234" s="141">
        <f ca="1">IFERROR(__xludf.DUMMYFUNCTION("""COMPUTED_VALUE"""),109)</f>
        <v>109</v>
      </c>
      <c r="E234" s="141">
        <f ca="1">IFERROR(__xludf.DUMMYFUNCTION("""COMPUTED_VALUE"""),108.68)</f>
        <v>108.68</v>
      </c>
      <c r="F234" s="141">
        <f ca="1">IFERROR(__xludf.DUMMYFUNCTION("""COMPUTED_VALUE"""),108.78)</f>
        <v>108.78</v>
      </c>
      <c r="G234" s="143">
        <f ca="1">IFERROR(__xludf.DUMMYFUNCTION("""COMPUTED_VALUE"""),23730508)</f>
        <v>23730508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IFERROR(__xludf.DUMMYFUNCTION("""COMPUTED_VALUE"""),108.91)</f>
        <v>108.91</v>
      </c>
      <c r="D235" s="141">
        <f ca="1">IFERROR(__xludf.DUMMYFUNCTION("""COMPUTED_VALUE"""),109.07)</f>
        <v>109.07</v>
      </c>
      <c r="E235" s="141">
        <f ca="1">IFERROR(__xludf.DUMMYFUNCTION("""COMPUTED_VALUE"""),108.82)</f>
        <v>108.82</v>
      </c>
      <c r="F235" s="141">
        <f ca="1">IFERROR(__xludf.DUMMYFUNCTION("""COMPUTED_VALUE"""),108.93)</f>
        <v>108.93</v>
      </c>
      <c r="G235" s="143">
        <f ca="1">IFERROR(__xludf.DUMMYFUNCTION("""COMPUTED_VALUE"""),16208823)</f>
        <v>16208823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IFERROR(__xludf.DUMMYFUNCTION("""COMPUTED_VALUE"""),108.99)</f>
        <v>108.99</v>
      </c>
      <c r="D236" s="141">
        <f ca="1">IFERROR(__xludf.DUMMYFUNCTION("""COMPUTED_VALUE"""),109.41)</f>
        <v>109.41</v>
      </c>
      <c r="E236" s="141">
        <f ca="1">IFERROR(__xludf.DUMMYFUNCTION("""COMPUTED_VALUE"""),108.87)</f>
        <v>108.87</v>
      </c>
      <c r="F236" s="141">
        <f ca="1">IFERROR(__xludf.DUMMYFUNCTION("""COMPUTED_VALUE"""),109.26)</f>
        <v>109.26</v>
      </c>
      <c r="G236" s="143">
        <f ca="1">IFERROR(__xludf.DUMMYFUNCTION("""COMPUTED_VALUE"""),24176803)</f>
        <v>24176803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IFERROR(__xludf.DUMMYFUNCTION("""COMPUTED_VALUE"""),109.39)</f>
        <v>109.39</v>
      </c>
      <c r="D237" s="141">
        <f ca="1">IFERROR(__xludf.DUMMYFUNCTION("""COMPUTED_VALUE"""),109.6)</f>
        <v>109.6</v>
      </c>
      <c r="E237" s="141">
        <f ca="1">IFERROR(__xludf.DUMMYFUNCTION("""COMPUTED_VALUE"""),109.29)</f>
        <v>109.29</v>
      </c>
      <c r="F237" s="141">
        <f ca="1">IFERROR(__xludf.DUMMYFUNCTION("""COMPUTED_VALUE"""),109.36)</f>
        <v>109.36</v>
      </c>
      <c r="G237" s="143">
        <f ca="1">IFERROR(__xludf.DUMMYFUNCTION("""COMPUTED_VALUE"""),26551319)</f>
        <v>26551319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IFERROR(__xludf.DUMMYFUNCTION("""COMPUTED_VALUE"""),108.56)</f>
        <v>108.56</v>
      </c>
      <c r="D238" s="141">
        <f ca="1">IFERROR(__xludf.DUMMYFUNCTION("""COMPUTED_VALUE"""),108.96)</f>
        <v>108.96</v>
      </c>
      <c r="E238" s="141">
        <f ca="1">IFERROR(__xludf.DUMMYFUNCTION("""COMPUTED_VALUE"""),108.43)</f>
        <v>108.43</v>
      </c>
      <c r="F238" s="141">
        <f ca="1">IFERROR(__xludf.DUMMYFUNCTION("""COMPUTED_VALUE"""),108.93)</f>
        <v>108.93</v>
      </c>
      <c r="G238" s="143">
        <f ca="1">IFERROR(__xludf.DUMMYFUNCTION("""COMPUTED_VALUE"""),19298047)</f>
        <v>19298047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IFERROR(__xludf.DUMMYFUNCTION("""COMPUTED_VALUE"""),109.06)</f>
        <v>109.06</v>
      </c>
      <c r="D239" s="141">
        <f ca="1">IFERROR(__xludf.DUMMYFUNCTION("""COMPUTED_VALUE"""),109.14)</f>
        <v>109.14</v>
      </c>
      <c r="E239" s="141">
        <f ca="1">IFERROR(__xludf.DUMMYFUNCTION("""COMPUTED_VALUE"""),108.89)</f>
        <v>108.89</v>
      </c>
      <c r="F239" s="141">
        <f ca="1">IFERROR(__xludf.DUMMYFUNCTION("""COMPUTED_VALUE"""),108.92)</f>
        <v>108.92</v>
      </c>
      <c r="G239" s="143">
        <f ca="1">IFERROR(__xludf.DUMMYFUNCTION("""COMPUTED_VALUE"""),14395085)</f>
        <v>14395085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IFERROR(__xludf.DUMMYFUNCTION("""COMPUTED_VALUE"""),108.59)</f>
        <v>108.59</v>
      </c>
      <c r="D240" s="141">
        <f ca="1">IFERROR(__xludf.DUMMYFUNCTION("""COMPUTED_VALUE"""),108.7)</f>
        <v>108.7</v>
      </c>
      <c r="E240" s="141">
        <f ca="1">IFERROR(__xludf.DUMMYFUNCTION("""COMPUTED_VALUE"""),108.47)</f>
        <v>108.47</v>
      </c>
      <c r="F240" s="141">
        <f ca="1">IFERROR(__xludf.DUMMYFUNCTION("""COMPUTED_VALUE"""),108.62)</f>
        <v>108.62</v>
      </c>
      <c r="G240" s="143">
        <f ca="1">IFERROR(__xludf.DUMMYFUNCTION("""COMPUTED_VALUE"""),24018745)</f>
        <v>24018745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IFERROR(__xludf.DUMMYFUNCTION("""COMPUTED_VALUE"""),108.88)</f>
        <v>108.88</v>
      </c>
      <c r="D241" s="141">
        <f ca="1">IFERROR(__xludf.DUMMYFUNCTION("""COMPUTED_VALUE"""),108.97)</f>
        <v>108.97</v>
      </c>
      <c r="E241" s="141">
        <f ca="1">IFERROR(__xludf.DUMMYFUNCTION("""COMPUTED_VALUE"""),108.8)</f>
        <v>108.8</v>
      </c>
      <c r="F241" s="141">
        <f ca="1">IFERROR(__xludf.DUMMYFUNCTION("""COMPUTED_VALUE"""),108.85)</f>
        <v>108.85</v>
      </c>
      <c r="G241" s="143">
        <f ca="1">IFERROR(__xludf.DUMMYFUNCTION("""COMPUTED_VALUE"""),17881672)</f>
        <v>17881672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IFERROR(__xludf.DUMMYFUNCTION("""COMPUTED_VALUE"""),108.41)</f>
        <v>108.41</v>
      </c>
      <c r="D242" s="141">
        <f ca="1">IFERROR(__xludf.DUMMYFUNCTION("""COMPUTED_VALUE"""),108.47)</f>
        <v>108.47</v>
      </c>
      <c r="E242" s="141">
        <f ca="1">IFERROR(__xludf.DUMMYFUNCTION("""COMPUTED_VALUE"""),108.14)</f>
        <v>108.14</v>
      </c>
      <c r="F242" s="141">
        <f ca="1">IFERROR(__xludf.DUMMYFUNCTION("""COMPUTED_VALUE"""),108.17)</f>
        <v>108.17</v>
      </c>
      <c r="G242" s="143">
        <f ca="1">IFERROR(__xludf.DUMMYFUNCTION("""COMPUTED_VALUE"""),30790276)</f>
        <v>30790276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IFERROR(__xludf.DUMMYFUNCTION("""COMPUTED_VALUE"""),108.43)</f>
        <v>108.43</v>
      </c>
      <c r="D243" s="141">
        <f ca="1">IFERROR(__xludf.DUMMYFUNCTION("""COMPUTED_VALUE"""),108.49)</f>
        <v>108.49</v>
      </c>
      <c r="E243" s="141">
        <f ca="1">IFERROR(__xludf.DUMMYFUNCTION("""COMPUTED_VALUE"""),108.03)</f>
        <v>108.03</v>
      </c>
      <c r="F243" s="141">
        <f ca="1">IFERROR(__xludf.DUMMYFUNCTION("""COMPUTED_VALUE"""),108.06)</f>
        <v>108.06</v>
      </c>
      <c r="G243" s="143">
        <f ca="1">IFERROR(__xludf.DUMMYFUNCTION("""COMPUTED_VALUE"""),21944138)</f>
        <v>21944138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IFERROR(__xludf.DUMMYFUNCTION("""COMPUTED_VALUE"""),108.32)</f>
        <v>108.32</v>
      </c>
      <c r="D244" s="141">
        <f ca="1">IFERROR(__xludf.DUMMYFUNCTION("""COMPUTED_VALUE"""),108.45)</f>
        <v>108.45</v>
      </c>
      <c r="E244" s="141">
        <f ca="1">IFERROR(__xludf.DUMMYFUNCTION("""COMPUTED_VALUE"""),108.05)</f>
        <v>108.05</v>
      </c>
      <c r="F244" s="141">
        <f ca="1">IFERROR(__xludf.DUMMYFUNCTION("""COMPUTED_VALUE"""),108.41)</f>
        <v>108.41</v>
      </c>
      <c r="G244" s="143">
        <f ca="1">IFERROR(__xludf.DUMMYFUNCTION("""COMPUTED_VALUE"""),37925357)</f>
        <v>37925357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IFERROR(__xludf.DUMMYFUNCTION("""COMPUTED_VALUE"""),108.35)</f>
        <v>108.35</v>
      </c>
      <c r="D245" s="141">
        <f ca="1">IFERROR(__xludf.DUMMYFUNCTION("""COMPUTED_VALUE"""),108.51)</f>
        <v>108.51</v>
      </c>
      <c r="E245" s="141">
        <f ca="1">IFERROR(__xludf.DUMMYFUNCTION("""COMPUTED_VALUE"""),108.08)</f>
        <v>108.08</v>
      </c>
      <c r="F245" s="141">
        <f ca="1">IFERROR(__xludf.DUMMYFUNCTION("""COMPUTED_VALUE"""),108.16)</f>
        <v>108.16</v>
      </c>
      <c r="G245" s="143">
        <f ca="1">IFERROR(__xludf.DUMMYFUNCTION("""COMPUTED_VALUE"""),20870196)</f>
        <v>20870196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IFERROR(__xludf.DUMMYFUNCTION("""COMPUTED_VALUE"""),108.43)</f>
        <v>108.43</v>
      </c>
      <c r="D246" s="141">
        <f ca="1">IFERROR(__xludf.DUMMYFUNCTION("""COMPUTED_VALUE"""),109.15)</f>
        <v>109.15</v>
      </c>
      <c r="E246" s="141">
        <f ca="1">IFERROR(__xludf.DUMMYFUNCTION("""COMPUTED_VALUE"""),108.25)</f>
        <v>108.25</v>
      </c>
      <c r="F246" s="141">
        <f ca="1">IFERROR(__xludf.DUMMYFUNCTION("""COMPUTED_VALUE"""),109.08)</f>
        <v>109.08</v>
      </c>
      <c r="G246" s="143">
        <f ca="1">IFERROR(__xludf.DUMMYFUNCTION("""COMPUTED_VALUE"""),34849499)</f>
        <v>34849499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IFERROR(__xludf.DUMMYFUNCTION("""COMPUTED_VALUE"""),108.88)</f>
        <v>108.88</v>
      </c>
      <c r="D247" s="141">
        <f ca="1">IFERROR(__xludf.DUMMYFUNCTION("""COMPUTED_VALUE"""),109.07)</f>
        <v>109.07</v>
      </c>
      <c r="E247" s="141">
        <f ca="1">IFERROR(__xludf.DUMMYFUNCTION("""COMPUTED_VALUE"""),108.64)</f>
        <v>108.64</v>
      </c>
      <c r="F247" s="141">
        <f ca="1">IFERROR(__xludf.DUMMYFUNCTION("""COMPUTED_VALUE"""),109.01)</f>
        <v>109.01</v>
      </c>
      <c r="G247" s="143">
        <f ca="1">IFERROR(__xludf.DUMMYFUNCTION("""COMPUTED_VALUE"""),23422979)</f>
        <v>23422979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IFERROR(__xludf.DUMMYFUNCTION("""COMPUTED_VALUE"""),109.28)</f>
        <v>109.28</v>
      </c>
      <c r="D248" s="141">
        <f ca="1">IFERROR(__xludf.DUMMYFUNCTION("""COMPUTED_VALUE"""),109.34)</f>
        <v>109.34</v>
      </c>
      <c r="E248" s="141">
        <f ca="1">IFERROR(__xludf.DUMMYFUNCTION("""COMPUTED_VALUE"""),108.98)</f>
        <v>108.98</v>
      </c>
      <c r="F248" s="141">
        <f ca="1">IFERROR(__xludf.DUMMYFUNCTION("""COMPUTED_VALUE"""),108.99)</f>
        <v>108.99</v>
      </c>
      <c r="G248" s="143">
        <f ca="1">IFERROR(__xludf.DUMMYFUNCTION("""COMPUTED_VALUE"""),27040544)</f>
        <v>27040544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IFERROR(__xludf.DUMMYFUNCTION("""COMPUTED_VALUE"""),109.11)</f>
        <v>109.11</v>
      </c>
      <c r="D249" s="141">
        <f ca="1">IFERROR(__xludf.DUMMYFUNCTION("""COMPUTED_VALUE"""),109.33)</f>
        <v>109.33</v>
      </c>
      <c r="E249" s="141">
        <f ca="1">IFERROR(__xludf.DUMMYFUNCTION("""COMPUTED_VALUE"""),109.05)</f>
        <v>109.05</v>
      </c>
      <c r="F249" s="141">
        <f ca="1">IFERROR(__xludf.DUMMYFUNCTION("""COMPUTED_VALUE"""),109.12)</f>
        <v>109.12</v>
      </c>
      <c r="G249" s="143">
        <f ca="1">IFERROR(__xludf.DUMMYFUNCTION("""COMPUTED_VALUE"""),24297087)</f>
        <v>24297087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IFERROR(__xludf.DUMMYFUNCTION("""COMPUTED_VALUE"""),109.08)</f>
        <v>109.08</v>
      </c>
      <c r="D250" s="141">
        <f ca="1">IFERROR(__xludf.DUMMYFUNCTION("""COMPUTED_VALUE"""),109.31)</f>
        <v>109.31</v>
      </c>
      <c r="E250" s="141">
        <f ca="1">IFERROR(__xludf.DUMMYFUNCTION("""COMPUTED_VALUE"""),108.71)</f>
        <v>108.71</v>
      </c>
      <c r="F250" s="141">
        <f ca="1">IFERROR(__xludf.DUMMYFUNCTION("""COMPUTED_VALUE"""),108.77)</f>
        <v>108.77</v>
      </c>
      <c r="G250" s="143">
        <f ca="1">IFERROR(__xludf.DUMMYFUNCTION("""COMPUTED_VALUE"""),31079637)</f>
        <v>31079637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IFERROR(__xludf.DUMMYFUNCTION("""COMPUTED_VALUE"""),109.44)</f>
        <v>109.44</v>
      </c>
      <c r="D251" s="141">
        <f ca="1">IFERROR(__xludf.DUMMYFUNCTION("""COMPUTED_VALUE"""),109.46)</f>
        <v>109.46</v>
      </c>
      <c r="E251" s="141">
        <f ca="1">IFERROR(__xludf.DUMMYFUNCTION("""COMPUTED_VALUE"""),109.03)</f>
        <v>109.03</v>
      </c>
      <c r="F251" s="141">
        <f ca="1">IFERROR(__xludf.DUMMYFUNCTION("""COMPUTED_VALUE"""),109.07)</f>
        <v>109.07</v>
      </c>
      <c r="G251" s="143">
        <f ca="1">IFERROR(__xludf.DUMMYFUNCTION("""COMPUTED_VALUE"""),41725765)</f>
        <v>41725765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IFERROR(__xludf.DUMMYFUNCTION("""COMPUTED_VALUE"""),108.73)</f>
        <v>108.73</v>
      </c>
      <c r="D252" s="141">
        <f ca="1">IFERROR(__xludf.DUMMYFUNCTION("""COMPUTED_VALUE"""),108.81)</f>
        <v>108.81</v>
      </c>
      <c r="E252" s="141">
        <f ca="1">IFERROR(__xludf.DUMMYFUNCTION("""COMPUTED_VALUE"""),108.59)</f>
        <v>108.59</v>
      </c>
      <c r="F252" s="141">
        <f ca="1">IFERROR(__xludf.DUMMYFUNCTION("""COMPUTED_VALUE"""),108.78)</f>
        <v>108.78</v>
      </c>
      <c r="G252" s="143">
        <f ca="1">IFERROR(__xludf.DUMMYFUNCTION("""COMPUTED_VALUE"""),22557335)</f>
        <v>22557335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IFERROR(__xludf.DUMMYFUNCTION("""COMPUTED_VALUE"""),108.78)</f>
        <v>108.78</v>
      </c>
      <c r="D253" s="141">
        <f ca="1">IFERROR(__xludf.DUMMYFUNCTION("""COMPUTED_VALUE"""),109.12)</f>
        <v>109.12</v>
      </c>
      <c r="E253" s="141">
        <f ca="1">IFERROR(__xludf.DUMMYFUNCTION("""COMPUTED_VALUE"""),108.72)</f>
        <v>108.72</v>
      </c>
      <c r="F253" s="141">
        <f ca="1">IFERROR(__xludf.DUMMYFUNCTION("""COMPUTED_VALUE"""),108.91)</f>
        <v>108.91</v>
      </c>
      <c r="G253" s="143">
        <f ca="1">IFERROR(__xludf.DUMMYFUNCTION("""COMPUTED_VALUE"""),27509266)</f>
        <v>27509266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IFERROR(__xludf.DUMMYFUNCTION("""COMPUTED_VALUE"""),109.39)</f>
        <v>109.39</v>
      </c>
      <c r="D254" s="141">
        <f ca="1">IFERROR(__xludf.DUMMYFUNCTION("""COMPUTED_VALUE"""),109.61)</f>
        <v>109.61</v>
      </c>
      <c r="E254" s="141">
        <f ca="1">IFERROR(__xludf.DUMMYFUNCTION("""COMPUTED_VALUE"""),109.31)</f>
        <v>109.31</v>
      </c>
      <c r="F254" s="141">
        <f ca="1">IFERROR(__xludf.DUMMYFUNCTION("""COMPUTED_VALUE"""),109.41)</f>
        <v>109.41</v>
      </c>
      <c r="G254" s="143">
        <f ca="1">IFERROR(__xludf.DUMMYFUNCTION("""COMPUTED_VALUE"""),31462614)</f>
        <v>31462614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IFERROR(__xludf.DUMMYFUNCTION("""COMPUTED_VALUE"""),109.58)</f>
        <v>109.58</v>
      </c>
      <c r="D255" s="141">
        <f ca="1">IFERROR(__xludf.DUMMYFUNCTION("""COMPUTED_VALUE"""),109.71)</f>
        <v>109.71</v>
      </c>
      <c r="E255" s="141">
        <f ca="1">IFERROR(__xludf.DUMMYFUNCTION("""COMPUTED_VALUE"""),109.42)</f>
        <v>109.42</v>
      </c>
      <c r="F255" s="141">
        <f ca="1">IFERROR(__xludf.DUMMYFUNCTION("""COMPUTED_VALUE"""),109.5)</f>
        <v>109.5</v>
      </c>
      <c r="G255" s="143">
        <f ca="1">IFERROR(__xludf.DUMMYFUNCTION("""COMPUTED_VALUE"""),33772519)</f>
        <v>33772519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IFERROR(__xludf.DUMMYFUNCTION("""COMPUTED_VALUE"""),109.29)</f>
        <v>109.29</v>
      </c>
      <c r="D256" s="141">
        <f ca="1">IFERROR(__xludf.DUMMYFUNCTION("""COMPUTED_VALUE"""),109.65)</f>
        <v>109.65</v>
      </c>
      <c r="E256" s="141">
        <f ca="1">IFERROR(__xludf.DUMMYFUNCTION("""COMPUTED_VALUE"""),109.26)</f>
        <v>109.26</v>
      </c>
      <c r="F256" s="141">
        <f ca="1">IFERROR(__xludf.DUMMYFUNCTION("""COMPUTED_VALUE"""),109.5)</f>
        <v>109.5</v>
      </c>
      <c r="G256" s="143">
        <f ca="1">IFERROR(__xludf.DUMMYFUNCTION("""COMPUTED_VALUE"""),26033529)</f>
        <v>26033529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IFERROR(__xludf.DUMMYFUNCTION("""COMPUTED_VALUE"""),109.62)</f>
        <v>109.62</v>
      </c>
      <c r="D257" s="141">
        <f ca="1">IFERROR(__xludf.DUMMYFUNCTION("""COMPUTED_VALUE"""),109.74)</f>
        <v>109.74</v>
      </c>
      <c r="E257" s="141">
        <f ca="1">IFERROR(__xludf.DUMMYFUNCTION("""COMPUTED_VALUE"""),109.54)</f>
        <v>109.54</v>
      </c>
      <c r="F257" s="141">
        <f ca="1">IFERROR(__xludf.DUMMYFUNCTION("""COMPUTED_VALUE"""),109.7)</f>
        <v>109.7</v>
      </c>
      <c r="G257" s="143">
        <f ca="1">IFERROR(__xludf.DUMMYFUNCTION("""COMPUTED_VALUE"""),43883335)</f>
        <v>43883335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IFERROR(__xludf.DUMMYFUNCTION("""COMPUTED_VALUE"""),109.5)</f>
        <v>109.5</v>
      </c>
      <c r="D258" s="141">
        <f ca="1">IFERROR(__xludf.DUMMYFUNCTION("""COMPUTED_VALUE"""),109.56)</f>
        <v>109.56</v>
      </c>
      <c r="E258" s="141">
        <f ca="1">IFERROR(__xludf.DUMMYFUNCTION("""COMPUTED_VALUE"""),109.05)</f>
        <v>109.05</v>
      </c>
      <c r="F258" s="141">
        <f ca="1">IFERROR(__xludf.DUMMYFUNCTION("""COMPUTED_VALUE"""),109.07)</f>
        <v>109.07</v>
      </c>
      <c r="G258" s="143">
        <f ca="1">IFERROR(__xludf.DUMMYFUNCTION("""COMPUTED_VALUE"""),32665352)</f>
        <v>32665352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IFERROR(__xludf.DUMMYFUNCTION("""COMPUTED_VALUE"""),108.34)</f>
        <v>108.34</v>
      </c>
      <c r="D259" s="141">
        <f ca="1">IFERROR(__xludf.DUMMYFUNCTION("""COMPUTED_VALUE"""),108.66)</f>
        <v>108.66</v>
      </c>
      <c r="E259" s="141">
        <f ca="1">IFERROR(__xludf.DUMMYFUNCTION("""COMPUTED_VALUE"""),108.26)</f>
        <v>108.26</v>
      </c>
      <c r="F259" s="141">
        <f ca="1">IFERROR(__xludf.DUMMYFUNCTION("""COMPUTED_VALUE"""),108.46)</f>
        <v>108.46</v>
      </c>
      <c r="G259" s="143">
        <f ca="1">IFERROR(__xludf.DUMMYFUNCTION("""COMPUTED_VALUE"""),25563179)</f>
        <v>25563179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IFERROR(__xludf.DUMMYFUNCTION("""COMPUTED_VALUE"""),108.57)</f>
        <v>108.57</v>
      </c>
      <c r="D260" s="141">
        <f ca="1">IFERROR(__xludf.DUMMYFUNCTION("""COMPUTED_VALUE"""),108.72)</f>
        <v>108.72</v>
      </c>
      <c r="E260" s="141">
        <f ca="1">IFERROR(__xludf.DUMMYFUNCTION("""COMPUTED_VALUE"""),108.42)</f>
        <v>108.42</v>
      </c>
      <c r="F260" s="141">
        <f ca="1">IFERROR(__xludf.DUMMYFUNCTION("""COMPUTED_VALUE"""),108.64)</f>
        <v>108.64</v>
      </c>
      <c r="G260" s="143">
        <f ca="1">IFERROR(__xludf.DUMMYFUNCTION("""COMPUTED_VALUE"""),18405993)</f>
        <v>18405993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IFERROR(__xludf.DUMMYFUNCTION("""COMPUTED_VALUE"""),108.61)</f>
        <v>108.61</v>
      </c>
      <c r="D261" s="141">
        <f ca="1">IFERROR(__xludf.DUMMYFUNCTION("""COMPUTED_VALUE"""),108.68)</f>
        <v>108.68</v>
      </c>
      <c r="E261" s="141">
        <f ca="1">IFERROR(__xludf.DUMMYFUNCTION("""COMPUTED_VALUE"""),108.44)</f>
        <v>108.44</v>
      </c>
      <c r="F261" s="141">
        <f ca="1">IFERROR(__xludf.DUMMYFUNCTION("""COMPUTED_VALUE"""),108.67)</f>
        <v>108.67</v>
      </c>
      <c r="G261" s="143">
        <f ca="1">IFERROR(__xludf.DUMMYFUNCTION("""COMPUTED_VALUE"""),17471586)</f>
        <v>17471586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IFERROR(__xludf.DUMMYFUNCTION("""COMPUTED_VALUE"""),108.29)</f>
        <v>108.29</v>
      </c>
      <c r="D262" s="141">
        <f ca="1">IFERROR(__xludf.DUMMYFUNCTION("""COMPUTED_VALUE"""),108.34)</f>
        <v>108.34</v>
      </c>
      <c r="E262" s="141">
        <f ca="1">IFERROR(__xludf.DUMMYFUNCTION("""COMPUTED_VALUE"""),107.77)</f>
        <v>107.77</v>
      </c>
      <c r="F262" s="141">
        <f ca="1">IFERROR(__xludf.DUMMYFUNCTION("""COMPUTED_VALUE"""),107.88)</f>
        <v>107.88</v>
      </c>
      <c r="G262" s="143">
        <f ca="1">IFERROR(__xludf.DUMMYFUNCTION("""COMPUTED_VALUE"""),32025024)</f>
        <v>32025024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IFERROR(__xludf.DUMMYFUNCTION("""COMPUTED_VALUE"""),107.68)</f>
        <v>107.68</v>
      </c>
      <c r="D263" s="141">
        <f ca="1">IFERROR(__xludf.DUMMYFUNCTION("""COMPUTED_VALUE"""),107.75)</f>
        <v>107.75</v>
      </c>
      <c r="E263" s="141">
        <f ca="1">IFERROR(__xludf.DUMMYFUNCTION("""COMPUTED_VALUE"""),107.39)</f>
        <v>107.39</v>
      </c>
      <c r="F263" s="141">
        <f ca="1">IFERROR(__xludf.DUMMYFUNCTION("""COMPUTED_VALUE"""),107.67)</f>
        <v>107.67</v>
      </c>
      <c r="G263" s="143">
        <f ca="1">IFERROR(__xludf.DUMMYFUNCTION("""COMPUTED_VALUE"""),31080903)</f>
        <v>31080903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IFERROR(__xludf.DUMMYFUNCTION("""COMPUTED_VALUE"""),107.71)</f>
        <v>107.71</v>
      </c>
      <c r="D264" s="141">
        <f ca="1">IFERROR(__xludf.DUMMYFUNCTION("""COMPUTED_VALUE"""),108.01)</f>
        <v>108.01</v>
      </c>
      <c r="E264" s="141">
        <f ca="1">IFERROR(__xludf.DUMMYFUNCTION("""COMPUTED_VALUE"""),107.64)</f>
        <v>107.64</v>
      </c>
      <c r="F264" s="141">
        <f ca="1">IFERROR(__xludf.DUMMYFUNCTION("""COMPUTED_VALUE"""),107.71)</f>
        <v>107.71</v>
      </c>
      <c r="G264" s="143">
        <f ca="1">IFERROR(__xludf.DUMMYFUNCTION("""COMPUTED_VALUE"""),24612725)</f>
        <v>24612725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IFERROR(__xludf.DUMMYFUNCTION("""COMPUTED_VALUE"""),107.72)</f>
        <v>107.72</v>
      </c>
      <c r="D265" s="141">
        <f ca="1">IFERROR(__xludf.DUMMYFUNCTION("""COMPUTED_VALUE"""),107.72)</f>
        <v>107.72</v>
      </c>
      <c r="E265" s="141">
        <f ca="1">IFERROR(__xludf.DUMMYFUNCTION("""COMPUTED_VALUE"""),107.32)</f>
        <v>107.32</v>
      </c>
      <c r="F265" s="141">
        <f ca="1">IFERROR(__xludf.DUMMYFUNCTION("""COMPUTED_VALUE"""),107.46)</f>
        <v>107.46</v>
      </c>
      <c r="G265" s="143">
        <f ca="1">IFERROR(__xludf.DUMMYFUNCTION("""COMPUTED_VALUE"""),34114023)</f>
        <v>34114023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IFERROR(__xludf.DUMMYFUNCTION("""COMPUTED_VALUE"""),107.35)</f>
        <v>107.35</v>
      </c>
      <c r="D266" s="141">
        <f ca="1">IFERROR(__xludf.DUMMYFUNCTION("""COMPUTED_VALUE"""),107.43)</f>
        <v>107.43</v>
      </c>
      <c r="E266" s="141">
        <f ca="1">IFERROR(__xludf.DUMMYFUNCTION("""COMPUTED_VALUE"""),106.94)</f>
        <v>106.94</v>
      </c>
      <c r="F266" s="141">
        <f ca="1">IFERROR(__xludf.DUMMYFUNCTION("""COMPUTED_VALUE"""),106.96)</f>
        <v>106.96</v>
      </c>
      <c r="G266" s="143">
        <f ca="1">IFERROR(__xludf.DUMMYFUNCTION("""COMPUTED_VALUE"""),29936141)</f>
        <v>29936141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IFERROR(__xludf.DUMMYFUNCTION("""COMPUTED_VALUE"""),107.16)</f>
        <v>107.16</v>
      </c>
      <c r="D267" s="141">
        <f ca="1">IFERROR(__xludf.DUMMYFUNCTION("""COMPUTED_VALUE"""),107.39)</f>
        <v>107.39</v>
      </c>
      <c r="E267" s="141">
        <f ca="1">IFERROR(__xludf.DUMMYFUNCTION("""COMPUTED_VALUE"""),107.02)</f>
        <v>107.02</v>
      </c>
      <c r="F267" s="141">
        <f ca="1">IFERROR(__xludf.DUMMYFUNCTION("""COMPUTED_VALUE"""),107.21)</f>
        <v>107.21</v>
      </c>
      <c r="G267" s="143">
        <f ca="1">IFERROR(__xludf.DUMMYFUNCTION("""COMPUTED_VALUE"""),33689075)</f>
        <v>33689075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IFERROR(__xludf.DUMMYFUNCTION("""COMPUTED_VALUE"""),107.27)</f>
        <v>107.27</v>
      </c>
      <c r="D268" s="141">
        <f ca="1">IFERROR(__xludf.DUMMYFUNCTION("""COMPUTED_VALUE"""),107.66)</f>
        <v>107.66</v>
      </c>
      <c r="E268" s="141">
        <f ca="1">IFERROR(__xludf.DUMMYFUNCTION("""COMPUTED_VALUE"""),107.27)</f>
        <v>107.27</v>
      </c>
      <c r="F268" s="141">
        <f ca="1">IFERROR(__xludf.DUMMYFUNCTION("""COMPUTED_VALUE"""),107.58)</f>
        <v>107.58</v>
      </c>
      <c r="G268" s="143">
        <f ca="1">IFERROR(__xludf.DUMMYFUNCTION("""COMPUTED_VALUE"""),27178734)</f>
        <v>27178734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IFERROR(__xludf.DUMMYFUNCTION("""COMPUTED_VALUE"""),107.35)</f>
        <v>107.35</v>
      </c>
      <c r="D269" s="141">
        <f ca="1">IFERROR(__xludf.DUMMYFUNCTION("""COMPUTED_VALUE"""),107.57)</f>
        <v>107.57</v>
      </c>
      <c r="E269" s="141">
        <f ca="1">IFERROR(__xludf.DUMMYFUNCTION("""COMPUTED_VALUE"""),107.26)</f>
        <v>107.26</v>
      </c>
      <c r="F269" s="141">
        <f ca="1">IFERROR(__xludf.DUMMYFUNCTION("""COMPUTED_VALUE"""),107.5)</f>
        <v>107.5</v>
      </c>
      <c r="G269" s="143">
        <f ca="1">IFERROR(__xludf.DUMMYFUNCTION("""COMPUTED_VALUE"""),33413184)</f>
        <v>33413184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IFERROR(__xludf.DUMMYFUNCTION("""COMPUTED_VALUE"""),107.65)</f>
        <v>107.65</v>
      </c>
      <c r="D270" s="141">
        <f ca="1">IFERROR(__xludf.DUMMYFUNCTION("""COMPUTED_VALUE"""),107.79)</f>
        <v>107.79</v>
      </c>
      <c r="E270" s="141">
        <f ca="1">IFERROR(__xludf.DUMMYFUNCTION("""COMPUTED_VALUE"""),107.53)</f>
        <v>107.53</v>
      </c>
      <c r="F270" s="141">
        <f ca="1">IFERROR(__xludf.DUMMYFUNCTION("""COMPUTED_VALUE"""),107.56)</f>
        <v>107.56</v>
      </c>
      <c r="G270" s="143">
        <f ca="1">IFERROR(__xludf.DUMMYFUNCTION("""COMPUTED_VALUE"""),25761550)</f>
        <v>25761550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IFERROR(__xludf.DUMMYFUNCTION("""COMPUTED_VALUE"""),107.53)</f>
        <v>107.53</v>
      </c>
      <c r="D271" s="141">
        <f ca="1">IFERROR(__xludf.DUMMYFUNCTION("""COMPUTED_VALUE"""),107.56)</f>
        <v>107.56</v>
      </c>
      <c r="E271" s="141">
        <f ca="1">IFERROR(__xludf.DUMMYFUNCTION("""COMPUTED_VALUE"""),107.11)</f>
        <v>107.11</v>
      </c>
      <c r="F271" s="141">
        <f ca="1">IFERROR(__xludf.DUMMYFUNCTION("""COMPUTED_VALUE"""),107.15)</f>
        <v>107.15</v>
      </c>
      <c r="G271" s="143">
        <f ca="1">IFERROR(__xludf.DUMMYFUNCTION("""COMPUTED_VALUE"""),29445753)</f>
        <v>29445753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IFERROR(__xludf.DUMMYFUNCTION("""COMPUTED_VALUE"""),107.01)</f>
        <v>107.01</v>
      </c>
      <c r="D272" s="141">
        <f ca="1">IFERROR(__xludf.DUMMYFUNCTION("""COMPUTED_VALUE"""),107.05)</f>
        <v>107.05</v>
      </c>
      <c r="E272" s="141">
        <f ca="1">IFERROR(__xludf.DUMMYFUNCTION("""COMPUTED_VALUE"""),106.77)</f>
        <v>106.77</v>
      </c>
      <c r="F272" s="141">
        <f ca="1">IFERROR(__xludf.DUMMYFUNCTION("""COMPUTED_VALUE"""),106.85)</f>
        <v>106.85</v>
      </c>
      <c r="G272" s="143">
        <f ca="1">IFERROR(__xludf.DUMMYFUNCTION("""COMPUTED_VALUE"""),26033364)</f>
        <v>26033364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IFERROR(__xludf.DUMMYFUNCTION("""COMPUTED_VALUE"""),106.76)</f>
        <v>106.76</v>
      </c>
      <c r="D273" s="141">
        <f ca="1">IFERROR(__xludf.DUMMYFUNCTION("""COMPUTED_VALUE"""),106.83)</f>
        <v>106.83</v>
      </c>
      <c r="E273" s="141">
        <f ca="1">IFERROR(__xludf.DUMMYFUNCTION("""COMPUTED_VALUE"""),106.62)</f>
        <v>106.62</v>
      </c>
      <c r="F273" s="141">
        <f ca="1">IFERROR(__xludf.DUMMYFUNCTION("""COMPUTED_VALUE"""),106.67)</f>
        <v>106.67</v>
      </c>
      <c r="G273" s="143">
        <f ca="1">IFERROR(__xludf.DUMMYFUNCTION("""COMPUTED_VALUE"""),20115554)</f>
        <v>20115554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IFERROR(__xludf.DUMMYFUNCTION("""COMPUTED_VALUE"""),106.13)</f>
        <v>106.13</v>
      </c>
      <c r="D274" s="141">
        <f ca="1">IFERROR(__xludf.DUMMYFUNCTION("""COMPUTED_VALUE"""),106.32)</f>
        <v>106.32</v>
      </c>
      <c r="E274" s="141">
        <f ca="1">IFERROR(__xludf.DUMMYFUNCTION("""COMPUTED_VALUE"""),106.07)</f>
        <v>106.07</v>
      </c>
      <c r="F274" s="141">
        <f ca="1">IFERROR(__xludf.DUMMYFUNCTION("""COMPUTED_VALUE"""),106.26)</f>
        <v>106.26</v>
      </c>
      <c r="G274" s="143">
        <f ca="1">IFERROR(__xludf.DUMMYFUNCTION("""COMPUTED_VALUE"""),35690741)</f>
        <v>35690741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IFERROR(__xludf.DUMMYFUNCTION("""COMPUTED_VALUE"""),106.08)</f>
        <v>106.08</v>
      </c>
      <c r="D275" s="141">
        <f ca="1">IFERROR(__xludf.DUMMYFUNCTION("""COMPUTED_VALUE"""),106.49)</f>
        <v>106.49</v>
      </c>
      <c r="E275" s="141">
        <f ca="1">IFERROR(__xludf.DUMMYFUNCTION("""COMPUTED_VALUE"""),106.08)</f>
        <v>106.08</v>
      </c>
      <c r="F275" s="141">
        <f ca="1">IFERROR(__xludf.DUMMYFUNCTION("""COMPUTED_VALUE"""),106.23)</f>
        <v>106.23</v>
      </c>
      <c r="G275" s="143">
        <f ca="1">IFERROR(__xludf.DUMMYFUNCTION("""COMPUTED_VALUE"""),27980051)</f>
        <v>27980051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IFERROR(__xludf.DUMMYFUNCTION("""COMPUTED_VALUE"""),106.56)</f>
        <v>106.56</v>
      </c>
      <c r="D276" s="141">
        <f ca="1">IFERROR(__xludf.DUMMYFUNCTION("""COMPUTED_VALUE"""),106.62)</f>
        <v>106.62</v>
      </c>
      <c r="E276" s="141">
        <f ca="1">IFERROR(__xludf.DUMMYFUNCTION("""COMPUTED_VALUE"""),106.43)</f>
        <v>106.43</v>
      </c>
      <c r="F276" s="141">
        <f ca="1">IFERROR(__xludf.DUMMYFUNCTION("""COMPUTED_VALUE"""),106.51)</f>
        <v>106.51</v>
      </c>
      <c r="G276" s="143">
        <f ca="1">IFERROR(__xludf.DUMMYFUNCTION("""COMPUTED_VALUE"""),33698062)</f>
        <v>33698062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IFERROR(__xludf.DUMMYFUNCTION("""COMPUTED_VALUE"""),106.62)</f>
        <v>106.62</v>
      </c>
      <c r="D277" s="141">
        <f ca="1">IFERROR(__xludf.DUMMYFUNCTION("""COMPUTED_VALUE"""),106.94)</f>
        <v>106.94</v>
      </c>
      <c r="E277" s="141">
        <f ca="1">IFERROR(__xludf.DUMMYFUNCTION("""COMPUTED_VALUE"""),106.57)</f>
        <v>106.57</v>
      </c>
      <c r="F277" s="141">
        <f ca="1">IFERROR(__xludf.DUMMYFUNCTION("""COMPUTED_VALUE"""),106.83)</f>
        <v>106.83</v>
      </c>
      <c r="G277" s="143">
        <f ca="1">IFERROR(__xludf.DUMMYFUNCTION("""COMPUTED_VALUE"""),23347609)</f>
        <v>23347609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IFERROR(__xludf.DUMMYFUNCTION("""COMPUTED_VALUE"""),106.72)</f>
        <v>106.72</v>
      </c>
      <c r="D278" s="141">
        <f ca="1">IFERROR(__xludf.DUMMYFUNCTION("""COMPUTED_VALUE"""),106.8)</f>
        <v>106.8</v>
      </c>
      <c r="E278" s="141">
        <f ca="1">IFERROR(__xludf.DUMMYFUNCTION("""COMPUTED_VALUE"""),106.15)</f>
        <v>106.15</v>
      </c>
      <c r="F278" s="141">
        <f ca="1">IFERROR(__xludf.DUMMYFUNCTION("""COMPUTED_VALUE"""),106.22)</f>
        <v>106.22</v>
      </c>
      <c r="G278" s="143">
        <f ca="1">IFERROR(__xludf.DUMMYFUNCTION("""COMPUTED_VALUE"""),44519405)</f>
        <v>44519405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35" priority="5" operator="lessThan">
      <formula>0</formula>
    </cfRule>
    <cfRule type="cellIs" dxfId="34" priority="6" operator="greaterThan">
      <formula>0</formula>
    </cfRule>
  </conditionalFormatting>
  <conditionalFormatting sqref="F28:F1000">
    <cfRule type="expression" dxfId="33" priority="1">
      <formula>AND(F28=MAX(F$28:F$1000),F28&gt;0)</formula>
    </cfRule>
    <cfRule type="expression" dxfId="32" priority="2">
      <formula>AND(F28=MIN(F$28:F$1000),F28&gt;0)</formula>
    </cfRule>
  </conditionalFormatting>
  <conditionalFormatting sqref="F29:F1000">
    <cfRule type="expression" dxfId="31" priority="3">
      <formula>F29&gt;F27</formula>
    </cfRule>
    <cfRule type="expression" dxfId="30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400-000000000000}">
      <formula1>"1 Month,3 Months,6 Months,12 Months,36 Months"</formula1>
    </dataValidation>
  </dataValidations>
  <hyperlinks>
    <hyperlink ref="G2" r:id="rId1" xr:uid="{00000000-0004-0000-1400-000000000000}"/>
  </hyperlinks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101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7-10 Year Treasury Bond ETF")</f>
        <v>iShares 7-10 Year Treasury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IFERROR(__xludf.DUMMYFUNCTION("GOOGLEFINANCE(B18,""price"")"),93.17)</f>
        <v>93.17</v>
      </c>
      <c r="C10" s="322"/>
      <c r="D10" s="100">
        <f ca="1">IFERROR(__xludf.DUMMYFUNCTION("IFERROR(GOOGLEFINANCE(B18,""change""),""-"")"),-0.39)</f>
        <v>-0.39</v>
      </c>
      <c r="E10" s="103">
        <f ca="1">IFERROR(__xludf.DUMMYFUNCTION("IFERROR(GOOGLEFINANCE(B18,""changepct"")/100,""-"")"),-0.0042)</f>
        <v>-4.1999999999999997E-3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IFERROR(__xludf.DUMMYFUNCTION("IFERROR(GOOGLEFINANCE(B18,""marketcap""),""-"")"),15913426370)</f>
        <v>15913426370</v>
      </c>
      <c r="C14" s="115" t="str">
        <f ca="1">IFERROR(__xludf.DUMMYFUNCTION("IFERROR(GOOGLEFINANCE(B18,""pe""),""-"")"),"-")</f>
        <v>-</v>
      </c>
      <c r="D14" s="115">
        <f ca="1">IFERROR(__xludf.DUMMYFUNCTION("IFERROR(GOOGLEFINANCE(B18,""beta""),""-"")"),0.26)</f>
        <v>0.26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IEF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IFERROR(__xludf.DUMMYFUNCTION("""COMPUTED_VALUE"""),94.82)</f>
        <v>94.82</v>
      </c>
      <c r="D28" s="141">
        <f ca="1">IFERROR(__xludf.DUMMYFUNCTION("""COMPUTED_VALUE"""),95.08)</f>
        <v>95.08</v>
      </c>
      <c r="E28" s="141">
        <f ca="1">IFERROR(__xludf.DUMMYFUNCTION("""COMPUTED_VALUE"""),94.75)</f>
        <v>94.75</v>
      </c>
      <c r="F28" s="141">
        <f ca="1">IFERROR(__xludf.DUMMYFUNCTION("""COMPUTED_VALUE"""),94.82)</f>
        <v>94.82</v>
      </c>
      <c r="G28" s="143">
        <f ca="1">IFERROR(__xludf.DUMMYFUNCTION("""COMPUTED_VALUE"""),7426036)</f>
        <v>7426036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IFERROR(__xludf.DUMMYFUNCTION("""COMPUTED_VALUE"""),94.97)</f>
        <v>94.97</v>
      </c>
      <c r="D29" s="141">
        <f ca="1">IFERROR(__xludf.DUMMYFUNCTION("""COMPUTED_VALUE"""),95.13)</f>
        <v>95.13</v>
      </c>
      <c r="E29" s="141">
        <f ca="1">IFERROR(__xludf.DUMMYFUNCTION("""COMPUTED_VALUE"""),94.86)</f>
        <v>94.86</v>
      </c>
      <c r="F29" s="141">
        <f ca="1">IFERROR(__xludf.DUMMYFUNCTION("""COMPUTED_VALUE"""),94.9)</f>
        <v>94.9</v>
      </c>
      <c r="G29" s="143">
        <f ca="1">IFERROR(__xludf.DUMMYFUNCTION("""COMPUTED_VALUE"""),10411774)</f>
        <v>10411774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IFERROR(__xludf.DUMMYFUNCTION("""COMPUTED_VALUE"""),95.36)</f>
        <v>95.36</v>
      </c>
      <c r="D30" s="141">
        <f ca="1">IFERROR(__xludf.DUMMYFUNCTION("""COMPUTED_VALUE"""),95.73)</f>
        <v>95.73</v>
      </c>
      <c r="E30" s="141">
        <f ca="1">IFERROR(__xludf.DUMMYFUNCTION("""COMPUTED_VALUE"""),95.34)</f>
        <v>95.34</v>
      </c>
      <c r="F30" s="141">
        <f ca="1">IFERROR(__xludf.DUMMYFUNCTION("""COMPUTED_VALUE"""),95.68)</f>
        <v>95.68</v>
      </c>
      <c r="G30" s="143">
        <f ca="1">IFERROR(__xludf.DUMMYFUNCTION("""COMPUTED_VALUE"""),11870207)</f>
        <v>11870207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IFERROR(__xludf.DUMMYFUNCTION("""COMPUTED_VALUE"""),95.77)</f>
        <v>95.77</v>
      </c>
      <c r="D31" s="141">
        <f ca="1">IFERROR(__xludf.DUMMYFUNCTION("""COMPUTED_VALUE"""),95.85)</f>
        <v>95.85</v>
      </c>
      <c r="E31" s="141">
        <f ca="1">IFERROR(__xludf.DUMMYFUNCTION("""COMPUTED_VALUE"""),95.53)</f>
        <v>95.53</v>
      </c>
      <c r="F31" s="141">
        <f ca="1">IFERROR(__xludf.DUMMYFUNCTION("""COMPUTED_VALUE"""),95.81)</f>
        <v>95.81</v>
      </c>
      <c r="G31" s="143">
        <f ca="1">IFERROR(__xludf.DUMMYFUNCTION("""COMPUTED_VALUE"""),8449488)</f>
        <v>8449488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IFERROR(__xludf.DUMMYFUNCTION("""COMPUTED_VALUE"""),95.64)</f>
        <v>95.64</v>
      </c>
      <c r="D32" s="141">
        <f ca="1">IFERROR(__xludf.DUMMYFUNCTION("""COMPUTED_VALUE"""),95.86)</f>
        <v>95.86</v>
      </c>
      <c r="E32" s="141">
        <f ca="1">IFERROR(__xludf.DUMMYFUNCTION("""COMPUTED_VALUE"""),95.62)</f>
        <v>95.62</v>
      </c>
      <c r="F32" s="141">
        <f ca="1">IFERROR(__xludf.DUMMYFUNCTION("""COMPUTED_VALUE"""),95.74)</f>
        <v>95.74</v>
      </c>
      <c r="G32" s="143">
        <f ca="1">IFERROR(__xludf.DUMMYFUNCTION("""COMPUTED_VALUE"""),8218754)</f>
        <v>8218754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IFERROR(__xludf.DUMMYFUNCTION("""COMPUTED_VALUE"""),95.6)</f>
        <v>95.6</v>
      </c>
      <c r="D33" s="141">
        <f ca="1">IFERROR(__xludf.DUMMYFUNCTION("""COMPUTED_VALUE"""),95.72)</f>
        <v>95.72</v>
      </c>
      <c r="E33" s="141">
        <f ca="1">IFERROR(__xludf.DUMMYFUNCTION("""COMPUTED_VALUE"""),95.26)</f>
        <v>95.26</v>
      </c>
      <c r="F33" s="141">
        <f ca="1">IFERROR(__xludf.DUMMYFUNCTION("""COMPUTED_VALUE"""),95.67)</f>
        <v>95.67</v>
      </c>
      <c r="G33" s="143">
        <f ca="1">IFERROR(__xludf.DUMMYFUNCTION("""COMPUTED_VALUE"""),10107474)</f>
        <v>10107474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IFERROR(__xludf.DUMMYFUNCTION("""COMPUTED_VALUE"""),95.67)</f>
        <v>95.67</v>
      </c>
      <c r="D34" s="141">
        <f ca="1">IFERROR(__xludf.DUMMYFUNCTION("""COMPUTED_VALUE"""),95.77)</f>
        <v>95.77</v>
      </c>
      <c r="E34" s="141">
        <f ca="1">IFERROR(__xludf.DUMMYFUNCTION("""COMPUTED_VALUE"""),95.53)</f>
        <v>95.53</v>
      </c>
      <c r="F34" s="141">
        <f ca="1">IFERROR(__xludf.DUMMYFUNCTION("""COMPUTED_VALUE"""),95.6)</f>
        <v>95.6</v>
      </c>
      <c r="G34" s="143">
        <f ca="1">IFERROR(__xludf.DUMMYFUNCTION("""COMPUTED_VALUE"""),5725876)</f>
        <v>5725876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IFERROR(__xludf.DUMMYFUNCTION("""COMPUTED_VALUE"""),95.47)</f>
        <v>95.47</v>
      </c>
      <c r="D35" s="141">
        <f ca="1">IFERROR(__xludf.DUMMYFUNCTION("""COMPUTED_VALUE"""),95.47)</f>
        <v>95.47</v>
      </c>
      <c r="E35" s="141">
        <f ca="1">IFERROR(__xludf.DUMMYFUNCTION("""COMPUTED_VALUE"""),95.33)</f>
        <v>95.33</v>
      </c>
      <c r="F35" s="141">
        <f ca="1">IFERROR(__xludf.DUMMYFUNCTION("""COMPUTED_VALUE"""),95.38)</f>
        <v>95.38</v>
      </c>
      <c r="G35" s="143">
        <f ca="1">IFERROR(__xludf.DUMMYFUNCTION("""COMPUTED_VALUE"""),5623800)</f>
        <v>5623800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IFERROR(__xludf.DUMMYFUNCTION("""COMPUTED_VALUE"""),95.45)</f>
        <v>95.45</v>
      </c>
      <c r="D36" s="141">
        <f ca="1">IFERROR(__xludf.DUMMYFUNCTION("""COMPUTED_VALUE"""),95.54)</f>
        <v>95.54</v>
      </c>
      <c r="E36" s="141">
        <f ca="1">IFERROR(__xludf.DUMMYFUNCTION("""COMPUTED_VALUE"""),95.36)</f>
        <v>95.36</v>
      </c>
      <c r="F36" s="141">
        <f ca="1">IFERROR(__xludf.DUMMYFUNCTION("""COMPUTED_VALUE"""),95.41)</f>
        <v>95.41</v>
      </c>
      <c r="G36" s="143">
        <f ca="1">IFERROR(__xludf.DUMMYFUNCTION("""COMPUTED_VALUE"""),4920182)</f>
        <v>4920182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IFERROR(__xludf.DUMMYFUNCTION("""COMPUTED_VALUE"""),95.29)</f>
        <v>95.29</v>
      </c>
      <c r="D37" s="141">
        <f ca="1">IFERROR(__xludf.DUMMYFUNCTION("""COMPUTED_VALUE"""),95.39)</f>
        <v>95.39</v>
      </c>
      <c r="E37" s="141">
        <f ca="1">IFERROR(__xludf.DUMMYFUNCTION("""COMPUTED_VALUE"""),95.18)</f>
        <v>95.18</v>
      </c>
      <c r="F37" s="141">
        <f ca="1">IFERROR(__xludf.DUMMYFUNCTION("""COMPUTED_VALUE"""),95.39)</f>
        <v>95.39</v>
      </c>
      <c r="G37" s="143">
        <f ca="1">IFERROR(__xludf.DUMMYFUNCTION("""COMPUTED_VALUE"""),6727029)</f>
        <v>6727029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IFERROR(__xludf.DUMMYFUNCTION("""COMPUTED_VALUE"""),95.66)</f>
        <v>95.66</v>
      </c>
      <c r="D38" s="141">
        <f ca="1">IFERROR(__xludf.DUMMYFUNCTION("""COMPUTED_VALUE"""),95.83)</f>
        <v>95.83</v>
      </c>
      <c r="E38" s="141">
        <f ca="1">IFERROR(__xludf.DUMMYFUNCTION("""COMPUTED_VALUE"""),95.64)</f>
        <v>95.64</v>
      </c>
      <c r="F38" s="141">
        <f ca="1">IFERROR(__xludf.DUMMYFUNCTION("""COMPUTED_VALUE"""),95.73)</f>
        <v>95.73</v>
      </c>
      <c r="G38" s="143">
        <f ca="1">IFERROR(__xludf.DUMMYFUNCTION("""COMPUTED_VALUE"""),5925164)</f>
        <v>5925164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IFERROR(__xludf.DUMMYFUNCTION("""COMPUTED_VALUE"""),95.57)</f>
        <v>95.57</v>
      </c>
      <c r="D39" s="141">
        <f ca="1">IFERROR(__xludf.DUMMYFUNCTION("""COMPUTED_VALUE"""),95.6)</f>
        <v>95.6</v>
      </c>
      <c r="E39" s="141">
        <f ca="1">IFERROR(__xludf.DUMMYFUNCTION("""COMPUTED_VALUE"""),95.35)</f>
        <v>95.35</v>
      </c>
      <c r="F39" s="141">
        <f ca="1">IFERROR(__xludf.DUMMYFUNCTION("""COMPUTED_VALUE"""),95.42)</f>
        <v>95.42</v>
      </c>
      <c r="G39" s="143">
        <f ca="1">IFERROR(__xludf.DUMMYFUNCTION("""COMPUTED_VALUE"""),5527457)</f>
        <v>5527457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IFERROR(__xludf.DUMMYFUNCTION("""COMPUTED_VALUE"""),95.38)</f>
        <v>95.38</v>
      </c>
      <c r="D40" s="141">
        <f ca="1">IFERROR(__xludf.DUMMYFUNCTION("""COMPUTED_VALUE"""),95.44)</f>
        <v>95.44</v>
      </c>
      <c r="E40" s="141">
        <f ca="1">IFERROR(__xludf.DUMMYFUNCTION("""COMPUTED_VALUE"""),95.17)</f>
        <v>95.17</v>
      </c>
      <c r="F40" s="141">
        <f ca="1">IFERROR(__xludf.DUMMYFUNCTION("""COMPUTED_VALUE"""),95.23)</f>
        <v>95.23</v>
      </c>
      <c r="G40" s="143">
        <f ca="1">IFERROR(__xludf.DUMMYFUNCTION("""COMPUTED_VALUE"""),7428568)</f>
        <v>7428568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IFERROR(__xludf.DUMMYFUNCTION("""COMPUTED_VALUE"""),95.3)</f>
        <v>95.3</v>
      </c>
      <c r="D41" s="141">
        <f ca="1">IFERROR(__xludf.DUMMYFUNCTION("""COMPUTED_VALUE"""),95.31)</f>
        <v>95.31</v>
      </c>
      <c r="E41" s="141">
        <f ca="1">IFERROR(__xludf.DUMMYFUNCTION("""COMPUTED_VALUE"""),95.05)</f>
        <v>95.05</v>
      </c>
      <c r="F41" s="141">
        <f ca="1">IFERROR(__xludf.DUMMYFUNCTION("""COMPUTED_VALUE"""),95.14)</f>
        <v>95.14</v>
      </c>
      <c r="G41" s="143">
        <f ca="1">IFERROR(__xludf.DUMMYFUNCTION("""COMPUTED_VALUE"""),9669701)</f>
        <v>9669701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IFERROR(__xludf.DUMMYFUNCTION("""COMPUTED_VALUE"""),95.28)</f>
        <v>95.28</v>
      </c>
      <c r="D42" s="141">
        <f ca="1">IFERROR(__xludf.DUMMYFUNCTION("""COMPUTED_VALUE"""),95.42)</f>
        <v>95.42</v>
      </c>
      <c r="E42" s="141">
        <f ca="1">IFERROR(__xludf.DUMMYFUNCTION("""COMPUTED_VALUE"""),95.27)</f>
        <v>95.27</v>
      </c>
      <c r="F42" s="141">
        <f ca="1">IFERROR(__xludf.DUMMYFUNCTION("""COMPUTED_VALUE"""),95.38)</f>
        <v>95.38</v>
      </c>
      <c r="G42" s="143">
        <f ca="1">IFERROR(__xludf.DUMMYFUNCTION("""COMPUTED_VALUE"""),6499330)</f>
        <v>6499330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IFERROR(__xludf.DUMMYFUNCTION("""COMPUTED_VALUE"""),95.38)</f>
        <v>95.38</v>
      </c>
      <c r="D43" s="141">
        <f ca="1">IFERROR(__xludf.DUMMYFUNCTION("""COMPUTED_VALUE"""),95.61)</f>
        <v>95.61</v>
      </c>
      <c r="E43" s="141">
        <f ca="1">IFERROR(__xludf.DUMMYFUNCTION("""COMPUTED_VALUE"""),95.36)</f>
        <v>95.36</v>
      </c>
      <c r="F43" s="141">
        <f ca="1">IFERROR(__xludf.DUMMYFUNCTION("""COMPUTED_VALUE"""),95.52)</f>
        <v>95.52</v>
      </c>
      <c r="G43" s="143">
        <f ca="1">IFERROR(__xludf.DUMMYFUNCTION("""COMPUTED_VALUE"""),6270926)</f>
        <v>6270926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IFERROR(__xludf.DUMMYFUNCTION("""COMPUTED_VALUE"""),95.39)</f>
        <v>95.39</v>
      </c>
      <c r="D44" s="141">
        <f ca="1">IFERROR(__xludf.DUMMYFUNCTION("""COMPUTED_VALUE"""),95.44)</f>
        <v>95.44</v>
      </c>
      <c r="E44" s="141">
        <f ca="1">IFERROR(__xludf.DUMMYFUNCTION("""COMPUTED_VALUE"""),95.11)</f>
        <v>95.11</v>
      </c>
      <c r="F44" s="141">
        <f ca="1">IFERROR(__xludf.DUMMYFUNCTION("""COMPUTED_VALUE"""),95.24)</f>
        <v>95.24</v>
      </c>
      <c r="G44" s="143">
        <f ca="1">IFERROR(__xludf.DUMMYFUNCTION("""COMPUTED_VALUE"""),5351542)</f>
        <v>5351542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IFERROR(__xludf.DUMMYFUNCTION("""COMPUTED_VALUE"""),95.4)</f>
        <v>95.4</v>
      </c>
      <c r="D45" s="141">
        <f ca="1">IFERROR(__xludf.DUMMYFUNCTION("""COMPUTED_VALUE"""),95.88)</f>
        <v>95.88</v>
      </c>
      <c r="E45" s="141">
        <f ca="1">IFERROR(__xludf.DUMMYFUNCTION("""COMPUTED_VALUE"""),95.37)</f>
        <v>95.37</v>
      </c>
      <c r="F45" s="141">
        <f ca="1">IFERROR(__xludf.DUMMYFUNCTION("""COMPUTED_VALUE"""),95.77)</f>
        <v>95.77</v>
      </c>
      <c r="G45" s="143">
        <f ca="1">IFERROR(__xludf.DUMMYFUNCTION("""COMPUTED_VALUE"""),10867816)</f>
        <v>10867816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IFERROR(__xludf.DUMMYFUNCTION("""COMPUTED_VALUE"""),95.6)</f>
        <v>95.6</v>
      </c>
      <c r="D46" s="141">
        <f ca="1">IFERROR(__xludf.DUMMYFUNCTION("""COMPUTED_VALUE"""),95.71)</f>
        <v>95.71</v>
      </c>
      <c r="E46" s="141">
        <f ca="1">IFERROR(__xludf.DUMMYFUNCTION("""COMPUTED_VALUE"""),95.53)</f>
        <v>95.53</v>
      </c>
      <c r="F46" s="141">
        <f ca="1">IFERROR(__xludf.DUMMYFUNCTION("""COMPUTED_VALUE"""),95.58)</f>
        <v>95.58</v>
      </c>
      <c r="G46" s="143">
        <f ca="1">IFERROR(__xludf.DUMMYFUNCTION("""COMPUTED_VALUE"""),9936718)</f>
        <v>9936718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IFERROR(__xludf.DUMMYFUNCTION("""COMPUTED_VALUE"""),95.66)</f>
        <v>95.66</v>
      </c>
      <c r="D47" s="141">
        <f ca="1">IFERROR(__xludf.DUMMYFUNCTION("""COMPUTED_VALUE"""),95.86)</f>
        <v>95.86</v>
      </c>
      <c r="E47" s="141">
        <f ca="1">IFERROR(__xludf.DUMMYFUNCTION("""COMPUTED_VALUE"""),95.6)</f>
        <v>95.6</v>
      </c>
      <c r="F47" s="141">
        <f ca="1">IFERROR(__xludf.DUMMYFUNCTION("""COMPUTED_VALUE"""),95.83)</f>
        <v>95.83</v>
      </c>
      <c r="G47" s="143">
        <f ca="1">IFERROR(__xludf.DUMMYFUNCTION("""COMPUTED_VALUE"""),5871259)</f>
        <v>5871259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IFERROR(__xludf.DUMMYFUNCTION("""COMPUTED_VALUE"""),95.7)</f>
        <v>95.7</v>
      </c>
      <c r="D48" s="141">
        <f ca="1">IFERROR(__xludf.DUMMYFUNCTION("""COMPUTED_VALUE"""),96.01)</f>
        <v>96.01</v>
      </c>
      <c r="E48" s="141">
        <f ca="1">IFERROR(__xludf.DUMMYFUNCTION("""COMPUTED_VALUE"""),95.64)</f>
        <v>95.64</v>
      </c>
      <c r="F48" s="141">
        <f ca="1">IFERROR(__xludf.DUMMYFUNCTION("""COMPUTED_VALUE"""),96.01)</f>
        <v>96.01</v>
      </c>
      <c r="G48" s="143">
        <f ca="1">IFERROR(__xludf.DUMMYFUNCTION("""COMPUTED_VALUE"""),5223249)</f>
        <v>5223249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IFERROR(__xludf.DUMMYFUNCTION("""COMPUTED_VALUE"""),95.98)</f>
        <v>95.98</v>
      </c>
      <c r="D49" s="141">
        <f ca="1">IFERROR(__xludf.DUMMYFUNCTION("""COMPUTED_VALUE"""),96.23)</f>
        <v>96.23</v>
      </c>
      <c r="E49" s="141">
        <f ca="1">IFERROR(__xludf.DUMMYFUNCTION("""COMPUTED_VALUE"""),95.94)</f>
        <v>95.94</v>
      </c>
      <c r="F49" s="141">
        <f ca="1">IFERROR(__xludf.DUMMYFUNCTION("""COMPUTED_VALUE"""),96.23)</f>
        <v>96.23</v>
      </c>
      <c r="G49" s="143">
        <f ca="1">IFERROR(__xludf.DUMMYFUNCTION("""COMPUTED_VALUE"""),6545073)</f>
        <v>6545073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IFERROR(__xludf.DUMMYFUNCTION("""COMPUTED_VALUE"""),96.12)</f>
        <v>96.12</v>
      </c>
      <c r="D50" s="141">
        <f ca="1">IFERROR(__xludf.DUMMYFUNCTION("""COMPUTED_VALUE"""),96.23)</f>
        <v>96.23</v>
      </c>
      <c r="E50" s="141">
        <f ca="1">IFERROR(__xludf.DUMMYFUNCTION("""COMPUTED_VALUE"""),96.03)</f>
        <v>96.03</v>
      </c>
      <c r="F50" s="141">
        <f ca="1">IFERROR(__xludf.DUMMYFUNCTION("""COMPUTED_VALUE"""),96.15)</f>
        <v>96.15</v>
      </c>
      <c r="G50" s="143">
        <f ca="1">IFERROR(__xludf.DUMMYFUNCTION("""COMPUTED_VALUE"""),6818939)</f>
        <v>6818939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IFERROR(__xludf.DUMMYFUNCTION("""COMPUTED_VALUE"""),95.46)</f>
        <v>95.46</v>
      </c>
      <c r="D51" s="141">
        <f ca="1">IFERROR(__xludf.DUMMYFUNCTION("""COMPUTED_VALUE"""),95.63)</f>
        <v>95.63</v>
      </c>
      <c r="E51" s="141">
        <f ca="1">IFERROR(__xludf.DUMMYFUNCTION("""COMPUTED_VALUE"""),95.43)</f>
        <v>95.43</v>
      </c>
      <c r="F51" s="141">
        <f ca="1">IFERROR(__xludf.DUMMYFUNCTION("""COMPUTED_VALUE"""),95.55)</f>
        <v>95.55</v>
      </c>
      <c r="G51" s="143">
        <f ca="1">IFERROR(__xludf.DUMMYFUNCTION("""COMPUTED_VALUE"""),8623225)</f>
        <v>8623225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IFERROR(__xludf.DUMMYFUNCTION("""COMPUTED_VALUE"""),95.56)</f>
        <v>95.56</v>
      </c>
      <c r="D52" s="141">
        <f ca="1">IFERROR(__xludf.DUMMYFUNCTION("""COMPUTED_VALUE"""),96.02)</f>
        <v>96.02</v>
      </c>
      <c r="E52" s="141">
        <f ca="1">IFERROR(__xludf.DUMMYFUNCTION("""COMPUTED_VALUE"""),95.56)</f>
        <v>95.56</v>
      </c>
      <c r="F52" s="141">
        <f ca="1">IFERROR(__xludf.DUMMYFUNCTION("""COMPUTED_VALUE"""),95.88)</f>
        <v>95.88</v>
      </c>
      <c r="G52" s="143">
        <f ca="1">IFERROR(__xludf.DUMMYFUNCTION("""COMPUTED_VALUE"""),7586121)</f>
        <v>7586121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IFERROR(__xludf.DUMMYFUNCTION("""COMPUTED_VALUE"""),96.12)</f>
        <v>96.12</v>
      </c>
      <c r="D53" s="141">
        <f ca="1">IFERROR(__xludf.DUMMYFUNCTION("""COMPUTED_VALUE"""),96.31)</f>
        <v>96.31</v>
      </c>
      <c r="E53" s="141">
        <f ca="1">IFERROR(__xludf.DUMMYFUNCTION("""COMPUTED_VALUE"""),96)</f>
        <v>96</v>
      </c>
      <c r="F53" s="141">
        <f ca="1">IFERROR(__xludf.DUMMYFUNCTION("""COMPUTED_VALUE"""),96.31)</f>
        <v>96.31</v>
      </c>
      <c r="G53" s="143">
        <f ca="1">IFERROR(__xludf.DUMMYFUNCTION("""COMPUTED_VALUE"""),6395264)</f>
        <v>6395264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IFERROR(__xludf.DUMMYFUNCTION("""COMPUTED_VALUE"""),96.91)</f>
        <v>96.91</v>
      </c>
      <c r="D54" s="141">
        <f ca="1">IFERROR(__xludf.DUMMYFUNCTION("""COMPUTED_VALUE"""),97.02)</f>
        <v>97.02</v>
      </c>
      <c r="E54" s="141">
        <f ca="1">IFERROR(__xludf.DUMMYFUNCTION("""COMPUTED_VALUE"""),96.78)</f>
        <v>96.78</v>
      </c>
      <c r="F54" s="141">
        <f ca="1">IFERROR(__xludf.DUMMYFUNCTION("""COMPUTED_VALUE"""),96.78)</f>
        <v>96.78</v>
      </c>
      <c r="G54" s="143">
        <f ca="1">IFERROR(__xludf.DUMMYFUNCTION("""COMPUTED_VALUE"""),9566288)</f>
        <v>9566288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IFERROR(__xludf.DUMMYFUNCTION("""COMPUTED_VALUE"""),97.02)</f>
        <v>97.02</v>
      </c>
      <c r="D55" s="141">
        <f ca="1">IFERROR(__xludf.DUMMYFUNCTION("""COMPUTED_VALUE"""),97.09)</f>
        <v>97.09</v>
      </c>
      <c r="E55" s="141">
        <f ca="1">IFERROR(__xludf.DUMMYFUNCTION("""COMPUTED_VALUE"""),96.92)</f>
        <v>96.92</v>
      </c>
      <c r="F55" s="141">
        <f ca="1">IFERROR(__xludf.DUMMYFUNCTION("""COMPUTED_VALUE"""),97.08)</f>
        <v>97.08</v>
      </c>
      <c r="G55" s="143">
        <f ca="1">IFERROR(__xludf.DUMMYFUNCTION("""COMPUTED_VALUE"""),7599723)</f>
        <v>7599723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IFERROR(__xludf.DUMMYFUNCTION("""COMPUTED_VALUE"""),97.03)</f>
        <v>97.03</v>
      </c>
      <c r="D56" s="141">
        <f ca="1">IFERROR(__xludf.DUMMYFUNCTION("""COMPUTED_VALUE"""),97.14)</f>
        <v>97.14</v>
      </c>
      <c r="E56" s="141">
        <f ca="1">IFERROR(__xludf.DUMMYFUNCTION("""COMPUTED_VALUE"""),96.76)</f>
        <v>96.76</v>
      </c>
      <c r="F56" s="141">
        <f ca="1">IFERROR(__xludf.DUMMYFUNCTION("""COMPUTED_VALUE"""),96.85)</f>
        <v>96.85</v>
      </c>
      <c r="G56" s="143">
        <f ca="1">IFERROR(__xludf.DUMMYFUNCTION("""COMPUTED_VALUE"""),8223260)</f>
        <v>8223260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IFERROR(__xludf.DUMMYFUNCTION("""COMPUTED_VALUE"""),97.05)</f>
        <v>97.05</v>
      </c>
      <c r="D57" s="141">
        <f ca="1">IFERROR(__xludf.DUMMYFUNCTION("""COMPUTED_VALUE"""),97.23)</f>
        <v>97.23</v>
      </c>
      <c r="E57" s="141">
        <f ca="1">IFERROR(__xludf.DUMMYFUNCTION("""COMPUTED_VALUE"""),96.96)</f>
        <v>96.96</v>
      </c>
      <c r="F57" s="141">
        <f ca="1">IFERROR(__xludf.DUMMYFUNCTION("""COMPUTED_VALUE"""),97.11)</f>
        <v>97.11</v>
      </c>
      <c r="G57" s="143">
        <f ca="1">IFERROR(__xludf.DUMMYFUNCTION("""COMPUTED_VALUE"""),8864493)</f>
        <v>8864493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IFERROR(__xludf.DUMMYFUNCTION("""COMPUTED_VALUE"""),97.24)</f>
        <v>97.24</v>
      </c>
      <c r="D58" s="141">
        <f ca="1">IFERROR(__xludf.DUMMYFUNCTION("""COMPUTED_VALUE"""),97.46)</f>
        <v>97.46</v>
      </c>
      <c r="E58" s="141">
        <f ca="1">IFERROR(__xludf.DUMMYFUNCTION("""COMPUTED_VALUE"""),97.23)</f>
        <v>97.23</v>
      </c>
      <c r="F58" s="141">
        <f ca="1">IFERROR(__xludf.DUMMYFUNCTION("""COMPUTED_VALUE"""),97.26)</f>
        <v>97.26</v>
      </c>
      <c r="G58" s="143">
        <f ca="1">IFERROR(__xludf.DUMMYFUNCTION("""COMPUTED_VALUE"""),8554434)</f>
        <v>8554434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IFERROR(__xludf.DUMMYFUNCTION("""COMPUTED_VALUE"""),97.03)</f>
        <v>97.03</v>
      </c>
      <c r="D59" s="141">
        <f ca="1">IFERROR(__xludf.DUMMYFUNCTION("""COMPUTED_VALUE"""),97.04)</f>
        <v>97.04</v>
      </c>
      <c r="E59" s="141">
        <f ca="1">IFERROR(__xludf.DUMMYFUNCTION("""COMPUTED_VALUE"""),96.84)</f>
        <v>96.84</v>
      </c>
      <c r="F59" s="141">
        <f ca="1">IFERROR(__xludf.DUMMYFUNCTION("""COMPUTED_VALUE"""),96.98)</f>
        <v>96.98</v>
      </c>
      <c r="G59" s="143">
        <f ca="1">IFERROR(__xludf.DUMMYFUNCTION("""COMPUTED_VALUE"""),36502976)</f>
        <v>36502976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IFERROR(__xludf.DUMMYFUNCTION("""COMPUTED_VALUE"""),97.15)</f>
        <v>97.15</v>
      </c>
      <c r="D60" s="141">
        <f ca="1">IFERROR(__xludf.DUMMYFUNCTION("""COMPUTED_VALUE"""),97.22)</f>
        <v>97.22</v>
      </c>
      <c r="E60" s="141">
        <f ca="1">IFERROR(__xludf.DUMMYFUNCTION("""COMPUTED_VALUE"""),97.1)</f>
        <v>97.1</v>
      </c>
      <c r="F60" s="141">
        <f ca="1">IFERROR(__xludf.DUMMYFUNCTION("""COMPUTED_VALUE"""),97.14)</f>
        <v>97.14</v>
      </c>
      <c r="G60" s="143">
        <f ca="1">IFERROR(__xludf.DUMMYFUNCTION("""COMPUTED_VALUE"""),4990170)</f>
        <v>4990170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IFERROR(__xludf.DUMMYFUNCTION("""COMPUTED_VALUE"""),97.15)</f>
        <v>97.15</v>
      </c>
      <c r="D61" s="141">
        <f ca="1">IFERROR(__xludf.DUMMYFUNCTION("""COMPUTED_VALUE"""),97.29)</f>
        <v>97.29</v>
      </c>
      <c r="E61" s="141">
        <f ca="1">IFERROR(__xludf.DUMMYFUNCTION("""COMPUTED_VALUE"""),97.11)</f>
        <v>97.11</v>
      </c>
      <c r="F61" s="141">
        <f ca="1">IFERROR(__xludf.DUMMYFUNCTION("""COMPUTED_VALUE"""),97.2)</f>
        <v>97.2</v>
      </c>
      <c r="G61" s="143">
        <f ca="1">IFERROR(__xludf.DUMMYFUNCTION("""COMPUTED_VALUE"""),5848078)</f>
        <v>5848078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IFERROR(__xludf.DUMMYFUNCTION("""COMPUTED_VALUE"""),97.3)</f>
        <v>97.3</v>
      </c>
      <c r="D62" s="141">
        <f ca="1">IFERROR(__xludf.DUMMYFUNCTION("""COMPUTED_VALUE"""),97.52)</f>
        <v>97.52</v>
      </c>
      <c r="E62" s="141">
        <f ca="1">IFERROR(__xludf.DUMMYFUNCTION("""COMPUTED_VALUE"""),96.87)</f>
        <v>96.87</v>
      </c>
      <c r="F62" s="141">
        <f ca="1">IFERROR(__xludf.DUMMYFUNCTION("""COMPUTED_VALUE"""),96.99)</f>
        <v>96.99</v>
      </c>
      <c r="G62" s="143">
        <f ca="1">IFERROR(__xludf.DUMMYFUNCTION("""COMPUTED_VALUE"""),10701673)</f>
        <v>10701673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IFERROR(__xludf.DUMMYFUNCTION("""COMPUTED_VALUE"""),96.65)</f>
        <v>96.65</v>
      </c>
      <c r="D63" s="141">
        <f ca="1">IFERROR(__xludf.DUMMYFUNCTION("""COMPUTED_VALUE"""),96.81)</f>
        <v>96.81</v>
      </c>
      <c r="E63" s="141">
        <f ca="1">IFERROR(__xludf.DUMMYFUNCTION("""COMPUTED_VALUE"""),96.51)</f>
        <v>96.51</v>
      </c>
      <c r="F63" s="141">
        <f ca="1">IFERROR(__xludf.DUMMYFUNCTION("""COMPUTED_VALUE"""),96.67)</f>
        <v>96.67</v>
      </c>
      <c r="G63" s="143">
        <f ca="1">IFERROR(__xludf.DUMMYFUNCTION("""COMPUTED_VALUE"""),7589507)</f>
        <v>7589507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IFERROR(__xludf.DUMMYFUNCTION("""COMPUTED_VALUE"""),96.62)</f>
        <v>96.62</v>
      </c>
      <c r="D64" s="141">
        <f ca="1">IFERROR(__xludf.DUMMYFUNCTION("""COMPUTED_VALUE"""),96.7)</f>
        <v>96.7</v>
      </c>
      <c r="E64" s="141">
        <f ca="1">IFERROR(__xludf.DUMMYFUNCTION("""COMPUTED_VALUE"""),96.5)</f>
        <v>96.5</v>
      </c>
      <c r="F64" s="141">
        <f ca="1">IFERROR(__xludf.DUMMYFUNCTION("""COMPUTED_VALUE"""),96.63)</f>
        <v>96.63</v>
      </c>
      <c r="G64" s="143">
        <f ca="1">IFERROR(__xludf.DUMMYFUNCTION("""COMPUTED_VALUE"""),5528784)</f>
        <v>5528784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IFERROR(__xludf.DUMMYFUNCTION("""COMPUTED_VALUE"""),96.63)</f>
        <v>96.63</v>
      </c>
      <c r="D65" s="141">
        <f ca="1">IFERROR(__xludf.DUMMYFUNCTION("""COMPUTED_VALUE"""),96.66)</f>
        <v>96.66</v>
      </c>
      <c r="E65" s="141">
        <f ca="1">IFERROR(__xludf.DUMMYFUNCTION("""COMPUTED_VALUE"""),96.46)</f>
        <v>96.46</v>
      </c>
      <c r="F65" s="141">
        <f ca="1">IFERROR(__xludf.DUMMYFUNCTION("""COMPUTED_VALUE"""),96.47)</f>
        <v>96.47</v>
      </c>
      <c r="G65" s="143">
        <f ca="1">IFERROR(__xludf.DUMMYFUNCTION("""COMPUTED_VALUE"""),5282779)</f>
        <v>5282779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IFERROR(__xludf.DUMMYFUNCTION("""COMPUTED_VALUE"""),96.61)</f>
        <v>96.61</v>
      </c>
      <c r="D66" s="141">
        <f ca="1">IFERROR(__xludf.DUMMYFUNCTION("""COMPUTED_VALUE"""),96.75)</f>
        <v>96.75</v>
      </c>
      <c r="E66" s="141">
        <f ca="1">IFERROR(__xludf.DUMMYFUNCTION("""COMPUTED_VALUE"""),96.49)</f>
        <v>96.49</v>
      </c>
      <c r="F66" s="141">
        <f ca="1">IFERROR(__xludf.DUMMYFUNCTION("""COMPUTED_VALUE"""),96.74)</f>
        <v>96.74</v>
      </c>
      <c r="G66" s="143">
        <f ca="1">IFERROR(__xludf.DUMMYFUNCTION("""COMPUTED_VALUE"""),7077910)</f>
        <v>7077910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IFERROR(__xludf.DUMMYFUNCTION("""COMPUTED_VALUE"""),96.62)</f>
        <v>96.62</v>
      </c>
      <c r="D67" s="141">
        <f ca="1">IFERROR(__xludf.DUMMYFUNCTION("""COMPUTED_VALUE"""),96.63)</f>
        <v>96.63</v>
      </c>
      <c r="E67" s="141">
        <f ca="1">IFERROR(__xludf.DUMMYFUNCTION("""COMPUTED_VALUE"""),96.44)</f>
        <v>96.44</v>
      </c>
      <c r="F67" s="141">
        <f ca="1">IFERROR(__xludf.DUMMYFUNCTION("""COMPUTED_VALUE"""),96.48)</f>
        <v>96.48</v>
      </c>
      <c r="G67" s="143">
        <f ca="1">IFERROR(__xludf.DUMMYFUNCTION("""COMPUTED_VALUE"""),5419806)</f>
        <v>5419806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IFERROR(__xludf.DUMMYFUNCTION("""COMPUTED_VALUE"""),96.26)</f>
        <v>96.26</v>
      </c>
      <c r="D68" s="141">
        <f ca="1">IFERROR(__xludf.DUMMYFUNCTION("""COMPUTED_VALUE"""),96.32)</f>
        <v>96.32</v>
      </c>
      <c r="E68" s="141">
        <f ca="1">IFERROR(__xludf.DUMMYFUNCTION("""COMPUTED_VALUE"""),96.1)</f>
        <v>96.1</v>
      </c>
      <c r="F68" s="141">
        <f ca="1">IFERROR(__xludf.DUMMYFUNCTION("""COMPUTED_VALUE"""),96.27)</f>
        <v>96.27</v>
      </c>
      <c r="G68" s="143">
        <f ca="1">IFERROR(__xludf.DUMMYFUNCTION("""COMPUTED_VALUE"""),6517524)</f>
        <v>6517524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IFERROR(__xludf.DUMMYFUNCTION("""COMPUTED_VALUE"""),96.25)</f>
        <v>96.25</v>
      </c>
      <c r="D69" s="141">
        <f ca="1">IFERROR(__xludf.DUMMYFUNCTION("""COMPUTED_VALUE"""),96.43)</f>
        <v>96.43</v>
      </c>
      <c r="E69" s="141">
        <f ca="1">IFERROR(__xludf.DUMMYFUNCTION("""COMPUTED_VALUE"""),96.13)</f>
        <v>96.13</v>
      </c>
      <c r="F69" s="141">
        <f ca="1">IFERROR(__xludf.DUMMYFUNCTION("""COMPUTED_VALUE"""),96.22)</f>
        <v>96.22</v>
      </c>
      <c r="G69" s="143">
        <f ca="1">IFERROR(__xludf.DUMMYFUNCTION("""COMPUTED_VALUE"""),7295442)</f>
        <v>7295442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IFERROR(__xludf.DUMMYFUNCTION("""COMPUTED_VALUE"""),96.34)</f>
        <v>96.34</v>
      </c>
      <c r="D70" s="141">
        <f ca="1">IFERROR(__xludf.DUMMYFUNCTION("""COMPUTED_VALUE"""),96.55)</f>
        <v>96.55</v>
      </c>
      <c r="E70" s="141">
        <f ca="1">IFERROR(__xludf.DUMMYFUNCTION("""COMPUTED_VALUE"""),96.33)</f>
        <v>96.33</v>
      </c>
      <c r="F70" s="141">
        <f ca="1">IFERROR(__xludf.DUMMYFUNCTION("""COMPUTED_VALUE"""),96.5)</f>
        <v>96.5</v>
      </c>
      <c r="G70" s="143">
        <f ca="1">IFERROR(__xludf.DUMMYFUNCTION("""COMPUTED_VALUE"""),6357833)</f>
        <v>6357833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IFERROR(__xludf.DUMMYFUNCTION("""COMPUTED_VALUE"""),96.58)</f>
        <v>96.58</v>
      </c>
      <c r="D71" s="141">
        <f ca="1">IFERROR(__xludf.DUMMYFUNCTION("""COMPUTED_VALUE"""),96.76)</f>
        <v>96.76</v>
      </c>
      <c r="E71" s="141">
        <f ca="1">IFERROR(__xludf.DUMMYFUNCTION("""COMPUTED_VALUE"""),96.42)</f>
        <v>96.42</v>
      </c>
      <c r="F71" s="141">
        <f ca="1">IFERROR(__xludf.DUMMYFUNCTION("""COMPUTED_VALUE"""),96.46)</f>
        <v>96.46</v>
      </c>
      <c r="G71" s="143">
        <f ca="1">IFERROR(__xludf.DUMMYFUNCTION("""COMPUTED_VALUE"""),9257812)</f>
        <v>9257812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IFERROR(__xludf.DUMMYFUNCTION("""COMPUTED_VALUE"""),96.56)</f>
        <v>96.56</v>
      </c>
      <c r="D72" s="141">
        <f ca="1">IFERROR(__xludf.DUMMYFUNCTION("""COMPUTED_VALUE"""),96.63)</f>
        <v>96.63</v>
      </c>
      <c r="E72" s="141">
        <f ca="1">IFERROR(__xludf.DUMMYFUNCTION("""COMPUTED_VALUE"""),96.34)</f>
        <v>96.34</v>
      </c>
      <c r="F72" s="141">
        <f ca="1">IFERROR(__xludf.DUMMYFUNCTION("""COMPUTED_VALUE"""),96.49)</f>
        <v>96.49</v>
      </c>
      <c r="G72" s="143">
        <f ca="1">IFERROR(__xludf.DUMMYFUNCTION("""COMPUTED_VALUE"""),8347312)</f>
        <v>8347312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IFERROR(__xludf.DUMMYFUNCTION("""COMPUTED_VALUE"""),96.45)</f>
        <v>96.45</v>
      </c>
      <c r="D73" s="141">
        <f ca="1">IFERROR(__xludf.DUMMYFUNCTION("""COMPUTED_VALUE"""),96.65)</f>
        <v>96.65</v>
      </c>
      <c r="E73" s="141">
        <f ca="1">IFERROR(__xludf.DUMMYFUNCTION("""COMPUTED_VALUE"""),96.39)</f>
        <v>96.39</v>
      </c>
      <c r="F73" s="141">
        <f ca="1">IFERROR(__xludf.DUMMYFUNCTION("""COMPUTED_VALUE"""),96.59)</f>
        <v>96.59</v>
      </c>
      <c r="G73" s="143">
        <f ca="1">IFERROR(__xludf.DUMMYFUNCTION("""COMPUTED_VALUE"""),9420929)</f>
        <v>9420929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IFERROR(__xludf.DUMMYFUNCTION("""COMPUTED_VALUE"""),96.6)</f>
        <v>96.6</v>
      </c>
      <c r="D74" s="141">
        <f ca="1">IFERROR(__xludf.DUMMYFUNCTION("""COMPUTED_VALUE"""),96.64)</f>
        <v>96.64</v>
      </c>
      <c r="E74" s="141">
        <f ca="1">IFERROR(__xludf.DUMMYFUNCTION("""COMPUTED_VALUE"""),96.38)</f>
        <v>96.38</v>
      </c>
      <c r="F74" s="141">
        <f ca="1">IFERROR(__xludf.DUMMYFUNCTION("""COMPUTED_VALUE"""),96.4)</f>
        <v>96.4</v>
      </c>
      <c r="G74" s="143">
        <f ca="1">IFERROR(__xludf.DUMMYFUNCTION("""COMPUTED_VALUE"""),5154346)</f>
        <v>5154346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IFERROR(__xludf.DUMMYFUNCTION("""COMPUTED_VALUE"""),96.17)</f>
        <v>96.17</v>
      </c>
      <c r="D75" s="141">
        <f ca="1">IFERROR(__xludf.DUMMYFUNCTION("""COMPUTED_VALUE"""),96.34)</f>
        <v>96.34</v>
      </c>
      <c r="E75" s="141">
        <f ca="1">IFERROR(__xludf.DUMMYFUNCTION("""COMPUTED_VALUE"""),96.11)</f>
        <v>96.11</v>
      </c>
      <c r="F75" s="141">
        <f ca="1">IFERROR(__xludf.DUMMYFUNCTION("""COMPUTED_VALUE"""),96.12)</f>
        <v>96.12</v>
      </c>
      <c r="G75" s="143">
        <f ca="1">IFERROR(__xludf.DUMMYFUNCTION("""COMPUTED_VALUE"""),6319630)</f>
        <v>6319630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IFERROR(__xludf.DUMMYFUNCTION("""COMPUTED_VALUE"""),96.24)</f>
        <v>96.24</v>
      </c>
      <c r="D76" s="141">
        <f ca="1">IFERROR(__xludf.DUMMYFUNCTION("""COMPUTED_VALUE"""),96.49)</f>
        <v>96.49</v>
      </c>
      <c r="E76" s="141">
        <f ca="1">IFERROR(__xludf.DUMMYFUNCTION("""COMPUTED_VALUE"""),96.18)</f>
        <v>96.18</v>
      </c>
      <c r="F76" s="141">
        <f ca="1">IFERROR(__xludf.DUMMYFUNCTION("""COMPUTED_VALUE"""),96.36)</f>
        <v>96.36</v>
      </c>
      <c r="G76" s="143">
        <f ca="1">IFERROR(__xludf.DUMMYFUNCTION("""COMPUTED_VALUE"""),5120243)</f>
        <v>5120243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IFERROR(__xludf.DUMMYFUNCTION("""COMPUTED_VALUE"""),96.54)</f>
        <v>96.54</v>
      </c>
      <c r="D77" s="141">
        <f ca="1">IFERROR(__xludf.DUMMYFUNCTION("""COMPUTED_VALUE"""),96.56)</f>
        <v>96.56</v>
      </c>
      <c r="E77" s="141">
        <f ca="1">IFERROR(__xludf.DUMMYFUNCTION("""COMPUTED_VALUE"""),96.32)</f>
        <v>96.32</v>
      </c>
      <c r="F77" s="141">
        <f ca="1">IFERROR(__xludf.DUMMYFUNCTION("""COMPUTED_VALUE"""),96.38)</f>
        <v>96.38</v>
      </c>
      <c r="G77" s="143">
        <f ca="1">IFERROR(__xludf.DUMMYFUNCTION("""COMPUTED_VALUE"""),5141866)</f>
        <v>5141866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IFERROR(__xludf.DUMMYFUNCTION("""COMPUTED_VALUE"""),96.29)</f>
        <v>96.29</v>
      </c>
      <c r="D78" s="141">
        <f ca="1">IFERROR(__xludf.DUMMYFUNCTION("""COMPUTED_VALUE"""),96.36)</f>
        <v>96.36</v>
      </c>
      <c r="E78" s="141">
        <f ca="1">IFERROR(__xludf.DUMMYFUNCTION("""COMPUTED_VALUE"""),96.23)</f>
        <v>96.23</v>
      </c>
      <c r="F78" s="141">
        <f ca="1">IFERROR(__xludf.DUMMYFUNCTION("""COMPUTED_VALUE"""),96.31)</f>
        <v>96.31</v>
      </c>
      <c r="G78" s="143">
        <f ca="1">IFERROR(__xludf.DUMMYFUNCTION("""COMPUTED_VALUE"""),7130649)</f>
        <v>7130649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IFERROR(__xludf.DUMMYFUNCTION("""COMPUTED_VALUE"""),96.65)</f>
        <v>96.65</v>
      </c>
      <c r="D79" s="141">
        <f ca="1">IFERROR(__xludf.DUMMYFUNCTION("""COMPUTED_VALUE"""),97.02)</f>
        <v>97.02</v>
      </c>
      <c r="E79" s="141">
        <f ca="1">IFERROR(__xludf.DUMMYFUNCTION("""COMPUTED_VALUE"""),96.57)</f>
        <v>96.57</v>
      </c>
      <c r="F79" s="141">
        <f ca="1">IFERROR(__xludf.DUMMYFUNCTION("""COMPUTED_VALUE"""),96.91)</f>
        <v>96.91</v>
      </c>
      <c r="G79" s="143">
        <f ca="1">IFERROR(__xludf.DUMMYFUNCTION("""COMPUTED_VALUE"""),10417700)</f>
        <v>10417700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IFERROR(__xludf.DUMMYFUNCTION("""COMPUTED_VALUE"""),96.9)</f>
        <v>96.9</v>
      </c>
      <c r="D80" s="141">
        <f ca="1">IFERROR(__xludf.DUMMYFUNCTION("""COMPUTED_VALUE"""),96.99)</f>
        <v>96.99</v>
      </c>
      <c r="E80" s="141">
        <f ca="1">IFERROR(__xludf.DUMMYFUNCTION("""COMPUTED_VALUE"""),96.78)</f>
        <v>96.78</v>
      </c>
      <c r="F80" s="141">
        <f ca="1">IFERROR(__xludf.DUMMYFUNCTION("""COMPUTED_VALUE"""),96.96)</f>
        <v>96.96</v>
      </c>
      <c r="G80" s="143">
        <f ca="1">IFERROR(__xludf.DUMMYFUNCTION("""COMPUTED_VALUE"""),5607641)</f>
        <v>5607641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IFERROR(__xludf.DUMMYFUNCTION("""COMPUTED_VALUE"""),97.06)</f>
        <v>97.06</v>
      </c>
      <c r="D81" s="141">
        <f ca="1">IFERROR(__xludf.DUMMYFUNCTION("""COMPUTED_VALUE"""),97.24)</f>
        <v>97.24</v>
      </c>
      <c r="E81" s="141">
        <f ca="1">IFERROR(__xludf.DUMMYFUNCTION("""COMPUTED_VALUE"""),96.98)</f>
        <v>96.98</v>
      </c>
      <c r="F81" s="141">
        <f ca="1">IFERROR(__xludf.DUMMYFUNCTION("""COMPUTED_VALUE"""),97.21)</f>
        <v>97.21</v>
      </c>
      <c r="G81" s="143">
        <f ca="1">IFERROR(__xludf.DUMMYFUNCTION("""COMPUTED_VALUE"""),7650640)</f>
        <v>7650640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IFERROR(__xludf.DUMMYFUNCTION("""COMPUTED_VALUE"""),97.21)</f>
        <v>97.21</v>
      </c>
      <c r="D82" s="141">
        <f ca="1">IFERROR(__xludf.DUMMYFUNCTION("""COMPUTED_VALUE"""),97.33)</f>
        <v>97.33</v>
      </c>
      <c r="E82" s="141">
        <f ca="1">IFERROR(__xludf.DUMMYFUNCTION("""COMPUTED_VALUE"""),97.02)</f>
        <v>97.02</v>
      </c>
      <c r="F82" s="141">
        <f ca="1">IFERROR(__xludf.DUMMYFUNCTION("""COMPUTED_VALUE"""),97.1)</f>
        <v>97.1</v>
      </c>
      <c r="G82" s="143">
        <f ca="1">IFERROR(__xludf.DUMMYFUNCTION("""COMPUTED_VALUE"""),7769455)</f>
        <v>7769455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IFERROR(__xludf.DUMMYFUNCTION("""COMPUTED_VALUE"""),97.02)</f>
        <v>97.02</v>
      </c>
      <c r="D83" s="141">
        <f ca="1">IFERROR(__xludf.DUMMYFUNCTION("""COMPUTED_VALUE"""),97.59)</f>
        <v>97.59</v>
      </c>
      <c r="E83" s="141">
        <f ca="1">IFERROR(__xludf.DUMMYFUNCTION("""COMPUTED_VALUE"""),97)</f>
        <v>97</v>
      </c>
      <c r="F83" s="141">
        <f ca="1">IFERROR(__xludf.DUMMYFUNCTION("""COMPUTED_VALUE"""),97.55)</f>
        <v>97.55</v>
      </c>
      <c r="G83" s="143">
        <f ca="1">IFERROR(__xludf.DUMMYFUNCTION("""COMPUTED_VALUE"""),11627164)</f>
        <v>11627164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IFERROR(__xludf.DUMMYFUNCTION("""COMPUTED_VALUE"""),97.46)</f>
        <v>97.46</v>
      </c>
      <c r="D84" s="141">
        <f ca="1">IFERROR(__xludf.DUMMYFUNCTION("""COMPUTED_VALUE"""),97.48)</f>
        <v>97.48</v>
      </c>
      <c r="E84" s="141">
        <f ca="1">IFERROR(__xludf.DUMMYFUNCTION("""COMPUTED_VALUE"""),97.27)</f>
        <v>97.27</v>
      </c>
      <c r="F84" s="141">
        <f ca="1">IFERROR(__xludf.DUMMYFUNCTION("""COMPUTED_VALUE"""),97.39)</f>
        <v>97.39</v>
      </c>
      <c r="G84" s="143">
        <f ca="1">IFERROR(__xludf.DUMMYFUNCTION("""COMPUTED_VALUE"""),12491024)</f>
        <v>12491024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IFERROR(__xludf.DUMMYFUNCTION("""COMPUTED_VALUE"""),97.45)</f>
        <v>97.45</v>
      </c>
      <c r="D85" s="141">
        <f ca="1">IFERROR(__xludf.DUMMYFUNCTION("""COMPUTED_VALUE"""),97.53)</f>
        <v>97.53</v>
      </c>
      <c r="E85" s="141">
        <f ca="1">IFERROR(__xludf.DUMMYFUNCTION("""COMPUTED_VALUE"""),97.37)</f>
        <v>97.37</v>
      </c>
      <c r="F85" s="141">
        <f ca="1">IFERROR(__xludf.DUMMYFUNCTION("""COMPUTED_VALUE"""),97.52)</f>
        <v>97.52</v>
      </c>
      <c r="G85" s="143">
        <f ca="1">IFERROR(__xludf.DUMMYFUNCTION("""COMPUTED_VALUE"""),10437930)</f>
        <v>10437930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IFERROR(__xludf.DUMMYFUNCTION("""COMPUTED_VALUE"""),97.69)</f>
        <v>97.69</v>
      </c>
      <c r="D86" s="141">
        <f ca="1">IFERROR(__xludf.DUMMYFUNCTION("""COMPUTED_VALUE"""),97.77)</f>
        <v>97.77</v>
      </c>
      <c r="E86" s="141">
        <f ca="1">IFERROR(__xludf.DUMMYFUNCTION("""COMPUTED_VALUE"""),97.63)</f>
        <v>97.63</v>
      </c>
      <c r="F86" s="141">
        <f ca="1">IFERROR(__xludf.DUMMYFUNCTION("""COMPUTED_VALUE"""),97.7)</f>
        <v>97.7</v>
      </c>
      <c r="G86" s="143">
        <f ca="1">IFERROR(__xludf.DUMMYFUNCTION("""COMPUTED_VALUE"""),7641969)</f>
        <v>7641969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IFERROR(__xludf.DUMMYFUNCTION("""COMPUTED_VALUE"""),97.65)</f>
        <v>97.65</v>
      </c>
      <c r="D87" s="141">
        <f ca="1">IFERROR(__xludf.DUMMYFUNCTION("""COMPUTED_VALUE"""),97.77)</f>
        <v>97.77</v>
      </c>
      <c r="E87" s="141">
        <f ca="1">IFERROR(__xludf.DUMMYFUNCTION("""COMPUTED_VALUE"""),97.56)</f>
        <v>97.56</v>
      </c>
      <c r="F87" s="141">
        <f ca="1">IFERROR(__xludf.DUMMYFUNCTION("""COMPUTED_VALUE"""),97.72)</f>
        <v>97.72</v>
      </c>
      <c r="G87" s="143">
        <f ca="1">IFERROR(__xludf.DUMMYFUNCTION("""COMPUTED_VALUE"""),6523872)</f>
        <v>6523872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IFERROR(__xludf.DUMMYFUNCTION("""COMPUTED_VALUE"""),97.52)</f>
        <v>97.52</v>
      </c>
      <c r="D88" s="141">
        <f ca="1">IFERROR(__xludf.DUMMYFUNCTION("""COMPUTED_VALUE"""),97.58)</f>
        <v>97.58</v>
      </c>
      <c r="E88" s="141">
        <f ca="1">IFERROR(__xludf.DUMMYFUNCTION("""COMPUTED_VALUE"""),97.38)</f>
        <v>97.38</v>
      </c>
      <c r="F88" s="141">
        <f ca="1">IFERROR(__xludf.DUMMYFUNCTION("""COMPUTED_VALUE"""),97.4)</f>
        <v>97.4</v>
      </c>
      <c r="G88" s="143">
        <f ca="1">IFERROR(__xludf.DUMMYFUNCTION("""COMPUTED_VALUE"""),6138339)</f>
        <v>6138339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IFERROR(__xludf.DUMMYFUNCTION("""COMPUTED_VALUE"""),97.52)</f>
        <v>97.52</v>
      </c>
      <c r="D89" s="141">
        <f ca="1">IFERROR(__xludf.DUMMYFUNCTION("""COMPUTED_VALUE"""),97.54)</f>
        <v>97.54</v>
      </c>
      <c r="E89" s="141">
        <f ca="1">IFERROR(__xludf.DUMMYFUNCTION("""COMPUTED_VALUE"""),97.33)</f>
        <v>97.33</v>
      </c>
      <c r="F89" s="141">
        <f ca="1">IFERROR(__xludf.DUMMYFUNCTION("""COMPUTED_VALUE"""),97.49)</f>
        <v>97.49</v>
      </c>
      <c r="G89" s="143">
        <f ca="1">IFERROR(__xludf.DUMMYFUNCTION("""COMPUTED_VALUE"""),7555376)</f>
        <v>7555376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IFERROR(__xludf.DUMMYFUNCTION("""COMPUTED_VALUE"""),97.34)</f>
        <v>97.34</v>
      </c>
      <c r="D90" s="141">
        <f ca="1">IFERROR(__xludf.DUMMYFUNCTION("""COMPUTED_VALUE"""),97.49)</f>
        <v>97.49</v>
      </c>
      <c r="E90" s="141">
        <f ca="1">IFERROR(__xludf.DUMMYFUNCTION("""COMPUTED_VALUE"""),97.21)</f>
        <v>97.21</v>
      </c>
      <c r="F90" s="141">
        <f ca="1">IFERROR(__xludf.DUMMYFUNCTION("""COMPUTED_VALUE"""),97.49)</f>
        <v>97.49</v>
      </c>
      <c r="G90" s="143">
        <f ca="1">IFERROR(__xludf.DUMMYFUNCTION("""COMPUTED_VALUE"""),7272562)</f>
        <v>7272562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IFERROR(__xludf.DUMMYFUNCTION("""COMPUTED_VALUE"""),97.43)</f>
        <v>97.43</v>
      </c>
      <c r="D91" s="141">
        <f ca="1">IFERROR(__xludf.DUMMYFUNCTION("""COMPUTED_VALUE"""),97.63)</f>
        <v>97.63</v>
      </c>
      <c r="E91" s="141">
        <f ca="1">IFERROR(__xludf.DUMMYFUNCTION("""COMPUTED_VALUE"""),97.43)</f>
        <v>97.43</v>
      </c>
      <c r="F91" s="141">
        <f ca="1">IFERROR(__xludf.DUMMYFUNCTION("""COMPUTED_VALUE"""),97.58)</f>
        <v>97.58</v>
      </c>
      <c r="G91" s="143">
        <f ca="1">IFERROR(__xludf.DUMMYFUNCTION("""COMPUTED_VALUE"""),5539644)</f>
        <v>5539644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IFERROR(__xludf.DUMMYFUNCTION("""COMPUTED_VALUE"""),97.53)</f>
        <v>97.53</v>
      </c>
      <c r="D92" s="141">
        <f ca="1">IFERROR(__xludf.DUMMYFUNCTION("""COMPUTED_VALUE"""),97.53)</f>
        <v>97.53</v>
      </c>
      <c r="E92" s="141">
        <f ca="1">IFERROR(__xludf.DUMMYFUNCTION("""COMPUTED_VALUE"""),96.9)</f>
        <v>96.9</v>
      </c>
      <c r="F92" s="141">
        <f ca="1">IFERROR(__xludf.DUMMYFUNCTION("""COMPUTED_VALUE"""),96.95)</f>
        <v>96.95</v>
      </c>
      <c r="G92" s="143">
        <f ca="1">IFERROR(__xludf.DUMMYFUNCTION("""COMPUTED_VALUE"""),11223261)</f>
        <v>11223261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IFERROR(__xludf.DUMMYFUNCTION("""COMPUTED_VALUE"""),96.67)</f>
        <v>96.67</v>
      </c>
      <c r="D93" s="141">
        <f ca="1">IFERROR(__xludf.DUMMYFUNCTION("""COMPUTED_VALUE"""),96.96)</f>
        <v>96.96</v>
      </c>
      <c r="E93" s="141">
        <f ca="1">IFERROR(__xludf.DUMMYFUNCTION("""COMPUTED_VALUE"""),96.65)</f>
        <v>96.65</v>
      </c>
      <c r="F93" s="141">
        <f ca="1">IFERROR(__xludf.DUMMYFUNCTION("""COMPUTED_VALUE"""),96.81)</f>
        <v>96.81</v>
      </c>
      <c r="G93" s="143">
        <f ca="1">IFERROR(__xludf.DUMMYFUNCTION("""COMPUTED_VALUE"""),8958961)</f>
        <v>8958961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IFERROR(__xludf.DUMMYFUNCTION("""COMPUTED_VALUE"""),96.87)</f>
        <v>96.87</v>
      </c>
      <c r="D94" s="141">
        <f ca="1">IFERROR(__xludf.DUMMYFUNCTION("""COMPUTED_VALUE"""),96.95)</f>
        <v>96.95</v>
      </c>
      <c r="E94" s="141">
        <f ca="1">IFERROR(__xludf.DUMMYFUNCTION("""COMPUTED_VALUE"""),96.79)</f>
        <v>96.79</v>
      </c>
      <c r="F94" s="141">
        <f ca="1">IFERROR(__xludf.DUMMYFUNCTION("""COMPUTED_VALUE"""),96.85)</f>
        <v>96.85</v>
      </c>
      <c r="G94" s="143">
        <f ca="1">IFERROR(__xludf.DUMMYFUNCTION("""COMPUTED_VALUE"""),9739897)</f>
        <v>9739897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IFERROR(__xludf.DUMMYFUNCTION("""COMPUTED_VALUE"""),96.42)</f>
        <v>96.42</v>
      </c>
      <c r="D95" s="141">
        <f ca="1">IFERROR(__xludf.DUMMYFUNCTION("""COMPUTED_VALUE"""),96.56)</f>
        <v>96.56</v>
      </c>
      <c r="E95" s="141">
        <f ca="1">IFERROR(__xludf.DUMMYFUNCTION("""COMPUTED_VALUE"""),96.37)</f>
        <v>96.37</v>
      </c>
      <c r="F95" s="141">
        <f ca="1">IFERROR(__xludf.DUMMYFUNCTION("""COMPUTED_VALUE"""),96.5)</f>
        <v>96.5</v>
      </c>
      <c r="G95" s="143">
        <f ca="1">IFERROR(__xludf.DUMMYFUNCTION("""COMPUTED_VALUE"""),8012728)</f>
        <v>8012728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IFERROR(__xludf.DUMMYFUNCTION("""COMPUTED_VALUE"""),96.57)</f>
        <v>96.57</v>
      </c>
      <c r="D96" s="141">
        <f ca="1">IFERROR(__xludf.DUMMYFUNCTION("""COMPUTED_VALUE"""),96.67)</f>
        <v>96.67</v>
      </c>
      <c r="E96" s="141">
        <f ca="1">IFERROR(__xludf.DUMMYFUNCTION("""COMPUTED_VALUE"""),96.55)</f>
        <v>96.55</v>
      </c>
      <c r="F96" s="141">
        <f ca="1">IFERROR(__xludf.DUMMYFUNCTION("""COMPUTED_VALUE"""),96.62)</f>
        <v>96.62</v>
      </c>
      <c r="G96" s="143">
        <f ca="1">IFERROR(__xludf.DUMMYFUNCTION("""COMPUTED_VALUE"""),6118993)</f>
        <v>6118993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IFERROR(__xludf.DUMMYFUNCTION("""COMPUTED_VALUE"""),96.45)</f>
        <v>96.45</v>
      </c>
      <c r="D97" s="141">
        <f ca="1">IFERROR(__xludf.DUMMYFUNCTION("""COMPUTED_VALUE"""),96.47)</f>
        <v>96.47</v>
      </c>
      <c r="E97" s="141">
        <f ca="1">IFERROR(__xludf.DUMMYFUNCTION("""COMPUTED_VALUE"""),96.13)</f>
        <v>96.13</v>
      </c>
      <c r="F97" s="141">
        <f ca="1">IFERROR(__xludf.DUMMYFUNCTION("""COMPUTED_VALUE"""),96.16)</f>
        <v>96.16</v>
      </c>
      <c r="G97" s="143">
        <f ca="1">IFERROR(__xludf.DUMMYFUNCTION("""COMPUTED_VALUE"""),11749244)</f>
        <v>11749244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IFERROR(__xludf.DUMMYFUNCTION("""COMPUTED_VALUE"""),96.52)</f>
        <v>96.52</v>
      </c>
      <c r="D98" s="141">
        <f ca="1">IFERROR(__xludf.DUMMYFUNCTION("""COMPUTED_VALUE"""),96.72)</f>
        <v>96.72</v>
      </c>
      <c r="E98" s="141">
        <f ca="1">IFERROR(__xludf.DUMMYFUNCTION("""COMPUTED_VALUE"""),96.51)</f>
        <v>96.51</v>
      </c>
      <c r="F98" s="141">
        <f ca="1">IFERROR(__xludf.DUMMYFUNCTION("""COMPUTED_VALUE"""),96.65)</f>
        <v>96.65</v>
      </c>
      <c r="G98" s="143">
        <f ca="1">IFERROR(__xludf.DUMMYFUNCTION("""COMPUTED_VALUE"""),7665059)</f>
        <v>7665059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IFERROR(__xludf.DUMMYFUNCTION("""COMPUTED_VALUE"""),96.56)</f>
        <v>96.56</v>
      </c>
      <c r="D99" s="141">
        <f ca="1">IFERROR(__xludf.DUMMYFUNCTION("""COMPUTED_VALUE"""),96.86)</f>
        <v>96.86</v>
      </c>
      <c r="E99" s="141">
        <f ca="1">IFERROR(__xludf.DUMMYFUNCTION("""COMPUTED_VALUE"""),96.55)</f>
        <v>96.55</v>
      </c>
      <c r="F99" s="141">
        <f ca="1">IFERROR(__xludf.DUMMYFUNCTION("""COMPUTED_VALUE"""),96.69)</f>
        <v>96.69</v>
      </c>
      <c r="G99" s="143">
        <f ca="1">IFERROR(__xludf.DUMMYFUNCTION("""COMPUTED_VALUE"""),11460285)</f>
        <v>11460285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IFERROR(__xludf.DUMMYFUNCTION("""COMPUTED_VALUE"""),96.57)</f>
        <v>96.57</v>
      </c>
      <c r="D100" s="141">
        <f ca="1">IFERROR(__xludf.DUMMYFUNCTION("""COMPUTED_VALUE"""),96.65)</f>
        <v>96.65</v>
      </c>
      <c r="E100" s="141">
        <f ca="1">IFERROR(__xludf.DUMMYFUNCTION("""COMPUTED_VALUE"""),96.51)</f>
        <v>96.51</v>
      </c>
      <c r="F100" s="141">
        <f ca="1">IFERROR(__xludf.DUMMYFUNCTION("""COMPUTED_VALUE"""),96.56)</f>
        <v>96.56</v>
      </c>
      <c r="G100" s="143">
        <f ca="1">IFERROR(__xludf.DUMMYFUNCTION("""COMPUTED_VALUE"""),9097469)</f>
        <v>9097469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IFERROR(__xludf.DUMMYFUNCTION("""COMPUTED_VALUE"""),96.81)</f>
        <v>96.81</v>
      </c>
      <c r="D101" s="141">
        <f ca="1">IFERROR(__xludf.DUMMYFUNCTION("""COMPUTED_VALUE"""),96.89)</f>
        <v>96.89</v>
      </c>
      <c r="E101" s="141">
        <f ca="1">IFERROR(__xludf.DUMMYFUNCTION("""COMPUTED_VALUE"""),96.73)</f>
        <v>96.73</v>
      </c>
      <c r="F101" s="141">
        <f ca="1">IFERROR(__xludf.DUMMYFUNCTION("""COMPUTED_VALUE"""),96.86)</f>
        <v>96.86</v>
      </c>
      <c r="G101" s="143">
        <f ca="1">IFERROR(__xludf.DUMMYFUNCTION("""COMPUTED_VALUE"""),4937742)</f>
        <v>4937742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IFERROR(__xludf.DUMMYFUNCTION("""COMPUTED_VALUE"""),96.81)</f>
        <v>96.81</v>
      </c>
      <c r="D102" s="141">
        <f ca="1">IFERROR(__xludf.DUMMYFUNCTION("""COMPUTED_VALUE"""),96.95)</f>
        <v>96.95</v>
      </c>
      <c r="E102" s="141">
        <f ca="1">IFERROR(__xludf.DUMMYFUNCTION("""COMPUTED_VALUE"""),96.78)</f>
        <v>96.78</v>
      </c>
      <c r="F102" s="141">
        <f ca="1">IFERROR(__xludf.DUMMYFUNCTION("""COMPUTED_VALUE"""),96.88)</f>
        <v>96.88</v>
      </c>
      <c r="G102" s="143">
        <f ca="1">IFERROR(__xludf.DUMMYFUNCTION("""COMPUTED_VALUE"""),7188206)</f>
        <v>7188206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IFERROR(__xludf.DUMMYFUNCTION("""COMPUTED_VALUE"""),96.65)</f>
        <v>96.65</v>
      </c>
      <c r="D103" s="141">
        <f ca="1">IFERROR(__xludf.DUMMYFUNCTION("""COMPUTED_VALUE"""),96.8)</f>
        <v>96.8</v>
      </c>
      <c r="E103" s="141">
        <f ca="1">IFERROR(__xludf.DUMMYFUNCTION("""COMPUTED_VALUE"""),96.6)</f>
        <v>96.6</v>
      </c>
      <c r="F103" s="141">
        <f ca="1">IFERROR(__xludf.DUMMYFUNCTION("""COMPUTED_VALUE"""),96.6)</f>
        <v>96.6</v>
      </c>
      <c r="G103" s="143">
        <f ca="1">IFERROR(__xludf.DUMMYFUNCTION("""COMPUTED_VALUE"""),46965594)</f>
        <v>46965594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IFERROR(__xludf.DUMMYFUNCTION("""COMPUTED_VALUE"""),96.88)</f>
        <v>96.88</v>
      </c>
      <c r="D104" s="141">
        <f ca="1">IFERROR(__xludf.DUMMYFUNCTION("""COMPUTED_VALUE"""),96.93)</f>
        <v>96.93</v>
      </c>
      <c r="E104" s="141">
        <f ca="1">IFERROR(__xludf.DUMMYFUNCTION("""COMPUTED_VALUE"""),96.42)</f>
        <v>96.42</v>
      </c>
      <c r="F104" s="141">
        <f ca="1">IFERROR(__xludf.DUMMYFUNCTION("""COMPUTED_VALUE"""),96.44)</f>
        <v>96.44</v>
      </c>
      <c r="G104" s="143">
        <f ca="1">IFERROR(__xludf.DUMMYFUNCTION("""COMPUTED_VALUE"""),11288457)</f>
        <v>11288457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IFERROR(__xludf.DUMMYFUNCTION("""COMPUTED_VALUE"""),96.54)</f>
        <v>96.54</v>
      </c>
      <c r="D105" s="141">
        <f ca="1">IFERROR(__xludf.DUMMYFUNCTION("""COMPUTED_VALUE"""),96.62)</f>
        <v>96.62</v>
      </c>
      <c r="E105" s="141">
        <f ca="1">IFERROR(__xludf.DUMMYFUNCTION("""COMPUTED_VALUE"""),96.49)</f>
        <v>96.49</v>
      </c>
      <c r="F105" s="141">
        <f ca="1">IFERROR(__xludf.DUMMYFUNCTION("""COMPUTED_VALUE"""),96.55)</f>
        <v>96.55</v>
      </c>
      <c r="G105" s="143">
        <f ca="1">IFERROR(__xludf.DUMMYFUNCTION("""COMPUTED_VALUE"""),6648754)</f>
        <v>6648754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IFERROR(__xludf.DUMMYFUNCTION("""COMPUTED_VALUE"""),96.84)</f>
        <v>96.84</v>
      </c>
      <c r="D106" s="141">
        <f ca="1">IFERROR(__xludf.DUMMYFUNCTION("""COMPUTED_VALUE"""),96.93)</f>
        <v>96.93</v>
      </c>
      <c r="E106" s="141">
        <f ca="1">IFERROR(__xludf.DUMMYFUNCTION("""COMPUTED_VALUE"""),96.57)</f>
        <v>96.57</v>
      </c>
      <c r="F106" s="141">
        <f ca="1">IFERROR(__xludf.DUMMYFUNCTION("""COMPUTED_VALUE"""),96.71)</f>
        <v>96.71</v>
      </c>
      <c r="G106" s="143">
        <f ca="1">IFERROR(__xludf.DUMMYFUNCTION("""COMPUTED_VALUE"""),8769024)</f>
        <v>8769024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IFERROR(__xludf.DUMMYFUNCTION("""COMPUTED_VALUE"""),96.81)</f>
        <v>96.81</v>
      </c>
      <c r="D107" s="141">
        <f ca="1">IFERROR(__xludf.DUMMYFUNCTION("""COMPUTED_VALUE"""),96.86)</f>
        <v>96.86</v>
      </c>
      <c r="E107" s="141">
        <f ca="1">IFERROR(__xludf.DUMMYFUNCTION("""COMPUTED_VALUE"""),96.6)</f>
        <v>96.6</v>
      </c>
      <c r="F107" s="141">
        <f ca="1">IFERROR(__xludf.DUMMYFUNCTION("""COMPUTED_VALUE"""),96.64)</f>
        <v>96.64</v>
      </c>
      <c r="G107" s="143">
        <f ca="1">IFERROR(__xludf.DUMMYFUNCTION("""COMPUTED_VALUE"""),13075930)</f>
        <v>13075930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IFERROR(__xludf.DUMMYFUNCTION("""COMPUTED_VALUE"""),96.74)</f>
        <v>96.74</v>
      </c>
      <c r="D108" s="141">
        <f ca="1">IFERROR(__xludf.DUMMYFUNCTION("""COMPUTED_VALUE"""),96.95)</f>
        <v>96.95</v>
      </c>
      <c r="E108" s="141">
        <f ca="1">IFERROR(__xludf.DUMMYFUNCTION("""COMPUTED_VALUE"""),96.7)</f>
        <v>96.7</v>
      </c>
      <c r="F108" s="141">
        <f ca="1">IFERROR(__xludf.DUMMYFUNCTION("""COMPUTED_VALUE"""),96.87)</f>
        <v>96.87</v>
      </c>
      <c r="G108" s="143">
        <f ca="1">IFERROR(__xludf.DUMMYFUNCTION("""COMPUTED_VALUE"""),9076414)</f>
        <v>9076414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IFERROR(__xludf.DUMMYFUNCTION("""COMPUTED_VALUE"""),97.19)</f>
        <v>97.19</v>
      </c>
      <c r="D109" s="141">
        <f ca="1">IFERROR(__xludf.DUMMYFUNCTION("""COMPUTED_VALUE"""),97.23)</f>
        <v>97.23</v>
      </c>
      <c r="E109" s="141">
        <f ca="1">IFERROR(__xludf.DUMMYFUNCTION("""COMPUTED_VALUE"""),97)</f>
        <v>97</v>
      </c>
      <c r="F109" s="141">
        <f ca="1">IFERROR(__xludf.DUMMYFUNCTION("""COMPUTED_VALUE"""),97.19)</f>
        <v>97.19</v>
      </c>
      <c r="G109" s="143">
        <f ca="1">IFERROR(__xludf.DUMMYFUNCTION("""COMPUTED_VALUE"""),12551122)</f>
        <v>12551122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IFERROR(__xludf.DUMMYFUNCTION("""COMPUTED_VALUE"""),97.29)</f>
        <v>97.29</v>
      </c>
      <c r="D110" s="141">
        <f ca="1">IFERROR(__xludf.DUMMYFUNCTION("""COMPUTED_VALUE"""),97.36)</f>
        <v>97.36</v>
      </c>
      <c r="E110" s="141">
        <f ca="1">IFERROR(__xludf.DUMMYFUNCTION("""COMPUTED_VALUE"""),97.18)</f>
        <v>97.18</v>
      </c>
      <c r="F110" s="141">
        <f ca="1">IFERROR(__xludf.DUMMYFUNCTION("""COMPUTED_VALUE"""),97.34)</f>
        <v>97.34</v>
      </c>
      <c r="G110" s="143">
        <f ca="1">IFERROR(__xludf.DUMMYFUNCTION("""COMPUTED_VALUE"""),6903895)</f>
        <v>6903895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IFERROR(__xludf.DUMMYFUNCTION("""COMPUTED_VALUE"""),97.44)</f>
        <v>97.44</v>
      </c>
      <c r="D111" s="141">
        <f ca="1">IFERROR(__xludf.DUMMYFUNCTION("""COMPUTED_VALUE"""),97.7)</f>
        <v>97.7</v>
      </c>
      <c r="E111" s="141">
        <f ca="1">IFERROR(__xludf.DUMMYFUNCTION("""COMPUTED_VALUE"""),97.43)</f>
        <v>97.43</v>
      </c>
      <c r="F111" s="141">
        <f ca="1">IFERROR(__xludf.DUMMYFUNCTION("""COMPUTED_VALUE"""),97.59)</f>
        <v>97.59</v>
      </c>
      <c r="G111" s="143">
        <f ca="1">IFERROR(__xludf.DUMMYFUNCTION("""COMPUTED_VALUE"""),9193433)</f>
        <v>9193433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IFERROR(__xludf.DUMMYFUNCTION("""COMPUTED_VALUE"""),97.48)</f>
        <v>97.48</v>
      </c>
      <c r="D112" s="141">
        <f ca="1">IFERROR(__xludf.DUMMYFUNCTION("""COMPUTED_VALUE"""),97.67)</f>
        <v>97.67</v>
      </c>
      <c r="E112" s="141">
        <f ca="1">IFERROR(__xludf.DUMMYFUNCTION("""COMPUTED_VALUE"""),97.33)</f>
        <v>97.33</v>
      </c>
      <c r="F112" s="141">
        <f ca="1">IFERROR(__xludf.DUMMYFUNCTION("""COMPUTED_VALUE"""),97.67)</f>
        <v>97.67</v>
      </c>
      <c r="G112" s="143">
        <f ca="1">IFERROR(__xludf.DUMMYFUNCTION("""COMPUTED_VALUE"""),7747109)</f>
        <v>7747109</v>
      </c>
      <c r="H112" s="26"/>
    </row>
    <row r="113" spans="1:8" ht="17.25" customHeight="1" x14ac:dyDescent="0.2">
      <c r="A113" s="26"/>
      <c r="B113" s="139">
        <f ca="1">IFERROR(__xludf.DUMMYFUNCTION("""COMPUTED_VALUE"""),45989.5451388888)</f>
        <v>45989.545138888803</v>
      </c>
      <c r="C113" s="141">
        <f ca="1">IFERROR(__xludf.DUMMYFUNCTION("""COMPUTED_VALUE"""),97.63)</f>
        <v>97.63</v>
      </c>
      <c r="D113" s="141">
        <f ca="1">IFERROR(__xludf.DUMMYFUNCTION("""COMPUTED_VALUE"""),97.65)</f>
        <v>97.65</v>
      </c>
      <c r="E113" s="141">
        <f ca="1">IFERROR(__xludf.DUMMYFUNCTION("""COMPUTED_VALUE"""),97.39)</f>
        <v>97.39</v>
      </c>
      <c r="F113" s="141">
        <f ca="1">IFERROR(__xludf.DUMMYFUNCTION("""COMPUTED_VALUE"""),97.5)</f>
        <v>97.5</v>
      </c>
      <c r="G113" s="143">
        <f ca="1">IFERROR(__xludf.DUMMYFUNCTION("""COMPUTED_VALUE"""),7798022)</f>
        <v>7798022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IFERROR(__xludf.DUMMYFUNCTION("""COMPUTED_VALUE"""),96.77)</f>
        <v>96.77</v>
      </c>
      <c r="D114" s="141">
        <f ca="1">IFERROR(__xludf.DUMMYFUNCTION("""COMPUTED_VALUE"""),96.84)</f>
        <v>96.84</v>
      </c>
      <c r="E114" s="141">
        <f ca="1">IFERROR(__xludf.DUMMYFUNCTION("""COMPUTED_VALUE"""),96.68)</f>
        <v>96.68</v>
      </c>
      <c r="F114" s="141">
        <f ca="1">IFERROR(__xludf.DUMMYFUNCTION("""COMPUTED_VALUE"""),96.69)</f>
        <v>96.69</v>
      </c>
      <c r="G114" s="143">
        <f ca="1">IFERROR(__xludf.DUMMYFUNCTION("""COMPUTED_VALUE"""),9898164)</f>
        <v>9898164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IFERROR(__xludf.DUMMYFUNCTION("""COMPUTED_VALUE"""),96.66)</f>
        <v>96.66</v>
      </c>
      <c r="D115" s="141">
        <f ca="1">IFERROR(__xludf.DUMMYFUNCTION("""COMPUTED_VALUE"""),96.82)</f>
        <v>96.82</v>
      </c>
      <c r="E115" s="141">
        <f ca="1">IFERROR(__xludf.DUMMYFUNCTION("""COMPUTED_VALUE"""),96.6)</f>
        <v>96.6</v>
      </c>
      <c r="F115" s="141">
        <f ca="1">IFERROR(__xludf.DUMMYFUNCTION("""COMPUTED_VALUE"""),96.77)</f>
        <v>96.77</v>
      </c>
      <c r="G115" s="143">
        <f ca="1">IFERROR(__xludf.DUMMYFUNCTION("""COMPUTED_VALUE"""),7317320)</f>
        <v>7317320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IFERROR(__xludf.DUMMYFUNCTION("""COMPUTED_VALUE"""),96.93)</f>
        <v>96.93</v>
      </c>
      <c r="D116" s="141">
        <f ca="1">IFERROR(__xludf.DUMMYFUNCTION("""COMPUTED_VALUE"""),97.03)</f>
        <v>97.03</v>
      </c>
      <c r="E116" s="141">
        <f ca="1">IFERROR(__xludf.DUMMYFUNCTION("""COMPUTED_VALUE"""),96.81)</f>
        <v>96.81</v>
      </c>
      <c r="F116" s="141">
        <f ca="1">IFERROR(__xludf.DUMMYFUNCTION("""COMPUTED_VALUE"""),96.97)</f>
        <v>96.97</v>
      </c>
      <c r="G116" s="143">
        <f ca="1">IFERROR(__xludf.DUMMYFUNCTION("""COMPUTED_VALUE"""),6855103)</f>
        <v>6855103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IFERROR(__xludf.DUMMYFUNCTION("""COMPUTED_VALUE"""),96.82)</f>
        <v>96.82</v>
      </c>
      <c r="D117" s="141">
        <f ca="1">IFERROR(__xludf.DUMMYFUNCTION("""COMPUTED_VALUE"""),96.83)</f>
        <v>96.83</v>
      </c>
      <c r="E117" s="141">
        <f ca="1">IFERROR(__xludf.DUMMYFUNCTION("""COMPUTED_VALUE"""),96.62)</f>
        <v>96.62</v>
      </c>
      <c r="F117" s="141">
        <f ca="1">IFERROR(__xludf.DUMMYFUNCTION("""COMPUTED_VALUE"""),96.67)</f>
        <v>96.67</v>
      </c>
      <c r="G117" s="143">
        <f ca="1">IFERROR(__xludf.DUMMYFUNCTION("""COMPUTED_VALUE"""),8929096)</f>
        <v>8929096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IFERROR(__xludf.DUMMYFUNCTION("""COMPUTED_VALUE"""),96.69)</f>
        <v>96.69</v>
      </c>
      <c r="D118" s="141">
        <f ca="1">IFERROR(__xludf.DUMMYFUNCTION("""COMPUTED_VALUE"""),96.7)</f>
        <v>96.7</v>
      </c>
      <c r="E118" s="141">
        <f ca="1">IFERROR(__xludf.DUMMYFUNCTION("""COMPUTED_VALUE"""),96.42)</f>
        <v>96.42</v>
      </c>
      <c r="F118" s="141">
        <f ca="1">IFERROR(__xludf.DUMMYFUNCTION("""COMPUTED_VALUE"""),96.47)</f>
        <v>96.47</v>
      </c>
      <c r="G118" s="143">
        <f ca="1">IFERROR(__xludf.DUMMYFUNCTION("""COMPUTED_VALUE"""),9118800)</f>
        <v>9118800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IFERROR(__xludf.DUMMYFUNCTION("""COMPUTED_VALUE"""),96.41)</f>
        <v>96.41</v>
      </c>
      <c r="D119" s="141">
        <f ca="1">IFERROR(__xludf.DUMMYFUNCTION("""COMPUTED_VALUE"""),96.42)</f>
        <v>96.42</v>
      </c>
      <c r="E119" s="141">
        <f ca="1">IFERROR(__xludf.DUMMYFUNCTION("""COMPUTED_VALUE"""),96.09)</f>
        <v>96.09</v>
      </c>
      <c r="F119" s="141">
        <f ca="1">IFERROR(__xludf.DUMMYFUNCTION("""COMPUTED_VALUE"""),96.27)</f>
        <v>96.27</v>
      </c>
      <c r="G119" s="143">
        <f ca="1">IFERROR(__xludf.DUMMYFUNCTION("""COMPUTED_VALUE"""),14728577)</f>
        <v>14728577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IFERROR(__xludf.DUMMYFUNCTION("""COMPUTED_VALUE"""),96.41)</f>
        <v>96.41</v>
      </c>
      <c r="D120" s="141">
        <f ca="1">IFERROR(__xludf.DUMMYFUNCTION("""COMPUTED_VALUE"""),96.41)</f>
        <v>96.41</v>
      </c>
      <c r="E120" s="141">
        <f ca="1">IFERROR(__xludf.DUMMYFUNCTION("""COMPUTED_VALUE"""),96.11)</f>
        <v>96.11</v>
      </c>
      <c r="F120" s="141">
        <f ca="1">IFERROR(__xludf.DUMMYFUNCTION("""COMPUTED_VALUE"""),96.13)</f>
        <v>96.13</v>
      </c>
      <c r="G120" s="143">
        <f ca="1">IFERROR(__xludf.DUMMYFUNCTION("""COMPUTED_VALUE"""),8509228)</f>
        <v>8509228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IFERROR(__xludf.DUMMYFUNCTION("""COMPUTED_VALUE"""),96.09)</f>
        <v>96.09</v>
      </c>
      <c r="D121" s="141">
        <f ca="1">IFERROR(__xludf.DUMMYFUNCTION("""COMPUTED_VALUE"""),96.47)</f>
        <v>96.47</v>
      </c>
      <c r="E121" s="141">
        <f ca="1">IFERROR(__xludf.DUMMYFUNCTION("""COMPUTED_VALUE"""),96.08)</f>
        <v>96.08</v>
      </c>
      <c r="F121" s="141">
        <f ca="1">IFERROR(__xludf.DUMMYFUNCTION("""COMPUTED_VALUE"""),96.44)</f>
        <v>96.44</v>
      </c>
      <c r="G121" s="143">
        <f ca="1">IFERROR(__xludf.DUMMYFUNCTION("""COMPUTED_VALUE"""),13356897)</f>
        <v>13356897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IFERROR(__xludf.DUMMYFUNCTION("""COMPUTED_VALUE"""),96.68)</f>
        <v>96.68</v>
      </c>
      <c r="D122" s="141">
        <f ca="1">IFERROR(__xludf.DUMMYFUNCTION("""COMPUTED_VALUE"""),96.73)</f>
        <v>96.73</v>
      </c>
      <c r="E122" s="141">
        <f ca="1">IFERROR(__xludf.DUMMYFUNCTION("""COMPUTED_VALUE"""),96.42)</f>
        <v>96.42</v>
      </c>
      <c r="F122" s="141">
        <f ca="1">IFERROR(__xludf.DUMMYFUNCTION("""COMPUTED_VALUE"""),96.45)</f>
        <v>96.45</v>
      </c>
      <c r="G122" s="143">
        <f ca="1">IFERROR(__xludf.DUMMYFUNCTION("""COMPUTED_VALUE"""),8673034)</f>
        <v>8673034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IFERROR(__xludf.DUMMYFUNCTION("""COMPUTED_VALUE"""),96.19)</f>
        <v>96.19</v>
      </c>
      <c r="D123" s="141">
        <f ca="1">IFERROR(__xludf.DUMMYFUNCTION("""COMPUTED_VALUE"""),96.27)</f>
        <v>96.27</v>
      </c>
      <c r="E123" s="141">
        <f ca="1">IFERROR(__xludf.DUMMYFUNCTION("""COMPUTED_VALUE"""),96.17)</f>
        <v>96.17</v>
      </c>
      <c r="F123" s="141">
        <f ca="1">IFERROR(__xludf.DUMMYFUNCTION("""COMPUTED_VALUE"""),96.19)</f>
        <v>96.19</v>
      </c>
      <c r="G123" s="143">
        <f ca="1">IFERROR(__xludf.DUMMYFUNCTION("""COMPUTED_VALUE"""),8348936)</f>
        <v>8348936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IFERROR(__xludf.DUMMYFUNCTION("""COMPUTED_VALUE"""),96.41)</f>
        <v>96.41</v>
      </c>
      <c r="D124" s="141">
        <f ca="1">IFERROR(__xludf.DUMMYFUNCTION("""COMPUTED_VALUE"""),96.51)</f>
        <v>96.51</v>
      </c>
      <c r="E124" s="141">
        <f ca="1">IFERROR(__xludf.DUMMYFUNCTION("""COMPUTED_VALUE"""),96.25)</f>
        <v>96.25</v>
      </c>
      <c r="F124" s="141">
        <f ca="1">IFERROR(__xludf.DUMMYFUNCTION("""COMPUTED_VALUE"""),96.27)</f>
        <v>96.27</v>
      </c>
      <c r="G124" s="143">
        <f ca="1">IFERROR(__xludf.DUMMYFUNCTION("""COMPUTED_VALUE"""),6117094)</f>
        <v>6117094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IFERROR(__xludf.DUMMYFUNCTION("""COMPUTED_VALUE"""),96.24)</f>
        <v>96.24</v>
      </c>
      <c r="D125" s="141">
        <f ca="1">IFERROR(__xludf.DUMMYFUNCTION("""COMPUTED_VALUE"""),96.56)</f>
        <v>96.56</v>
      </c>
      <c r="E125" s="141">
        <f ca="1">IFERROR(__xludf.DUMMYFUNCTION("""COMPUTED_VALUE"""),96.23)</f>
        <v>96.23</v>
      </c>
      <c r="F125" s="141">
        <f ca="1">IFERROR(__xludf.DUMMYFUNCTION("""COMPUTED_VALUE"""),96.54)</f>
        <v>96.54</v>
      </c>
      <c r="G125" s="143">
        <f ca="1">IFERROR(__xludf.DUMMYFUNCTION("""COMPUTED_VALUE"""),7456521)</f>
        <v>7456521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IFERROR(__xludf.DUMMYFUNCTION("""COMPUTED_VALUE"""),96.42)</f>
        <v>96.42</v>
      </c>
      <c r="D126" s="141">
        <f ca="1">IFERROR(__xludf.DUMMYFUNCTION("""COMPUTED_VALUE"""),96.57)</f>
        <v>96.57</v>
      </c>
      <c r="E126" s="141">
        <f ca="1">IFERROR(__xludf.DUMMYFUNCTION("""COMPUTED_VALUE"""),96.4)</f>
        <v>96.4</v>
      </c>
      <c r="F126" s="141">
        <f ca="1">IFERROR(__xludf.DUMMYFUNCTION("""COMPUTED_VALUE"""),96.52)</f>
        <v>96.52</v>
      </c>
      <c r="G126" s="143">
        <f ca="1">IFERROR(__xludf.DUMMYFUNCTION("""COMPUTED_VALUE"""),5673211)</f>
        <v>5673211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IFERROR(__xludf.DUMMYFUNCTION("""COMPUTED_VALUE"""),96.77)</f>
        <v>96.77</v>
      </c>
      <c r="D127" s="141">
        <f ca="1">IFERROR(__xludf.DUMMYFUNCTION("""COMPUTED_VALUE"""),96.83)</f>
        <v>96.83</v>
      </c>
      <c r="E127" s="141">
        <f ca="1">IFERROR(__xludf.DUMMYFUNCTION("""COMPUTED_VALUE"""),96.64)</f>
        <v>96.64</v>
      </c>
      <c r="F127" s="141">
        <f ca="1">IFERROR(__xludf.DUMMYFUNCTION("""COMPUTED_VALUE"""),96.77)</f>
        <v>96.77</v>
      </c>
      <c r="G127" s="143">
        <f ca="1">IFERROR(__xludf.DUMMYFUNCTION("""COMPUTED_VALUE"""),7357582)</f>
        <v>7357582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IFERROR(__xludf.DUMMYFUNCTION("""COMPUTED_VALUE"""),96.3)</f>
        <v>96.3</v>
      </c>
      <c r="D128" s="141">
        <f ca="1">IFERROR(__xludf.DUMMYFUNCTION("""COMPUTED_VALUE"""),96.39)</f>
        <v>96.39</v>
      </c>
      <c r="E128" s="141">
        <f ca="1">IFERROR(__xludf.DUMMYFUNCTION("""COMPUTED_VALUE"""),96.2)</f>
        <v>96.2</v>
      </c>
      <c r="F128" s="141">
        <f ca="1">IFERROR(__xludf.DUMMYFUNCTION("""COMPUTED_VALUE"""),96.24)</f>
        <v>96.24</v>
      </c>
      <c r="G128" s="143">
        <f ca="1">IFERROR(__xludf.DUMMYFUNCTION("""COMPUTED_VALUE"""),5806622)</f>
        <v>5806622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IFERROR(__xludf.DUMMYFUNCTION("""COMPUTED_VALUE"""),96.16)</f>
        <v>96.16</v>
      </c>
      <c r="D129" s="141">
        <f ca="1">IFERROR(__xludf.DUMMYFUNCTION("""COMPUTED_VALUE"""),96.19)</f>
        <v>96.19</v>
      </c>
      <c r="E129" s="141">
        <f ca="1">IFERROR(__xludf.DUMMYFUNCTION("""COMPUTED_VALUE"""),96.08)</f>
        <v>96.08</v>
      </c>
      <c r="F129" s="141">
        <f ca="1">IFERROR(__xludf.DUMMYFUNCTION("""COMPUTED_VALUE"""),96.14)</f>
        <v>96.14</v>
      </c>
      <c r="G129" s="143">
        <f ca="1">IFERROR(__xludf.DUMMYFUNCTION("""COMPUTED_VALUE"""),4672875)</f>
        <v>4672875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IFERROR(__xludf.DUMMYFUNCTION("""COMPUTED_VALUE"""),95.93)</f>
        <v>95.93</v>
      </c>
      <c r="D130" s="141">
        <f ca="1">IFERROR(__xludf.DUMMYFUNCTION("""COMPUTED_VALUE"""),96.13)</f>
        <v>96.13</v>
      </c>
      <c r="E130" s="141">
        <f ca="1">IFERROR(__xludf.DUMMYFUNCTION("""COMPUTED_VALUE"""),95.88)</f>
        <v>95.88</v>
      </c>
      <c r="F130" s="141">
        <f ca="1">IFERROR(__xludf.DUMMYFUNCTION("""COMPUTED_VALUE"""),96.1)</f>
        <v>96.1</v>
      </c>
      <c r="G130" s="143">
        <f ca="1">IFERROR(__xludf.DUMMYFUNCTION("""COMPUTED_VALUE"""),5094032)</f>
        <v>5094032</v>
      </c>
      <c r="H130" s="26"/>
    </row>
    <row r="131" spans="1:8" ht="17.25" customHeight="1" x14ac:dyDescent="0.2">
      <c r="A131" s="26"/>
      <c r="B131" s="139">
        <f ca="1">IFERROR(__xludf.DUMMYFUNCTION("""COMPUTED_VALUE"""),46015.5451388888)</f>
        <v>46015.545138888803</v>
      </c>
      <c r="C131" s="141">
        <f ca="1">IFERROR(__xludf.DUMMYFUNCTION("""COMPUTED_VALUE"""),96.22)</f>
        <v>96.22</v>
      </c>
      <c r="D131" s="141">
        <f ca="1">IFERROR(__xludf.DUMMYFUNCTION("""COMPUTED_VALUE"""),96.37)</f>
        <v>96.37</v>
      </c>
      <c r="E131" s="141">
        <f ca="1">IFERROR(__xludf.DUMMYFUNCTION("""COMPUTED_VALUE"""),96.17)</f>
        <v>96.17</v>
      </c>
      <c r="F131" s="141">
        <f ca="1">IFERROR(__xludf.DUMMYFUNCTION("""COMPUTED_VALUE"""),96.35)</f>
        <v>96.35</v>
      </c>
      <c r="G131" s="143">
        <f ca="1">IFERROR(__xludf.DUMMYFUNCTION("""COMPUTED_VALUE"""),3967720)</f>
        <v>3967720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IFERROR(__xludf.DUMMYFUNCTION("""COMPUTED_VALUE"""),96.49)</f>
        <v>96.49</v>
      </c>
      <c r="D132" s="141">
        <f ca="1">IFERROR(__xludf.DUMMYFUNCTION("""COMPUTED_VALUE"""),96.51)</f>
        <v>96.51</v>
      </c>
      <c r="E132" s="141">
        <f ca="1">IFERROR(__xludf.DUMMYFUNCTION("""COMPUTED_VALUE"""),96.33)</f>
        <v>96.33</v>
      </c>
      <c r="F132" s="141">
        <f ca="1">IFERROR(__xludf.DUMMYFUNCTION("""COMPUTED_VALUE"""),96.44)</f>
        <v>96.44</v>
      </c>
      <c r="G132" s="143">
        <f ca="1">IFERROR(__xludf.DUMMYFUNCTION("""COMPUTED_VALUE"""),3491560)</f>
        <v>3491560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IFERROR(__xludf.DUMMYFUNCTION("""COMPUTED_VALUE"""),96.55)</f>
        <v>96.55</v>
      </c>
      <c r="D133" s="141">
        <f ca="1">IFERROR(__xludf.DUMMYFUNCTION("""COMPUTED_VALUE"""),96.6)</f>
        <v>96.6</v>
      </c>
      <c r="E133" s="141">
        <f ca="1">IFERROR(__xludf.DUMMYFUNCTION("""COMPUTED_VALUE"""),96.45)</f>
        <v>96.45</v>
      </c>
      <c r="F133" s="141">
        <f ca="1">IFERROR(__xludf.DUMMYFUNCTION("""COMPUTED_VALUE"""),96.58)</f>
        <v>96.58</v>
      </c>
      <c r="G133" s="143">
        <f ca="1">IFERROR(__xludf.DUMMYFUNCTION("""COMPUTED_VALUE"""),5034750)</f>
        <v>5034750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IFERROR(__xludf.DUMMYFUNCTION("""COMPUTED_VALUE"""),96.44)</f>
        <v>96.44</v>
      </c>
      <c r="D134" s="141">
        <f ca="1">IFERROR(__xludf.DUMMYFUNCTION("""COMPUTED_VALUE"""),96.56)</f>
        <v>96.56</v>
      </c>
      <c r="E134" s="141">
        <f ca="1">IFERROR(__xludf.DUMMYFUNCTION("""COMPUTED_VALUE"""),96.4)</f>
        <v>96.4</v>
      </c>
      <c r="F134" s="141">
        <f ca="1">IFERROR(__xludf.DUMMYFUNCTION("""COMPUTED_VALUE"""),96.48)</f>
        <v>96.48</v>
      </c>
      <c r="G134" s="143">
        <f ca="1">IFERROR(__xludf.DUMMYFUNCTION("""COMPUTED_VALUE"""),4108645)</f>
        <v>4108645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IFERROR(__xludf.DUMMYFUNCTION("""COMPUTED_VALUE"""),96.34)</f>
        <v>96.34</v>
      </c>
      <c r="D135" s="141">
        <f ca="1">IFERROR(__xludf.DUMMYFUNCTION("""COMPUTED_VALUE"""),96.47)</f>
        <v>96.47</v>
      </c>
      <c r="E135" s="141">
        <f ca="1">IFERROR(__xludf.DUMMYFUNCTION("""COMPUTED_VALUE"""),96.15)</f>
        <v>96.15</v>
      </c>
      <c r="F135" s="141">
        <f ca="1">IFERROR(__xludf.DUMMYFUNCTION("""COMPUTED_VALUE"""),96.16)</f>
        <v>96.16</v>
      </c>
      <c r="G135" s="143">
        <f ca="1">IFERROR(__xludf.DUMMYFUNCTION("""COMPUTED_VALUE"""),6802186)</f>
        <v>6802186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IFERROR(__xludf.DUMMYFUNCTION("""COMPUTED_VALUE"""),96.29)</f>
        <v>96.29</v>
      </c>
      <c r="D136" s="141">
        <f ca="1">IFERROR(__xludf.DUMMYFUNCTION("""COMPUTED_VALUE"""),96.29)</f>
        <v>96.29</v>
      </c>
      <c r="E136" s="141">
        <f ca="1">IFERROR(__xludf.DUMMYFUNCTION("""COMPUTED_VALUE"""),96.07)</f>
        <v>96.07</v>
      </c>
      <c r="F136" s="141">
        <f ca="1">IFERROR(__xludf.DUMMYFUNCTION("""COMPUTED_VALUE"""),96.08)</f>
        <v>96.08</v>
      </c>
      <c r="G136" s="143">
        <f ca="1">IFERROR(__xludf.DUMMYFUNCTION("""COMPUTED_VALUE"""),6611758)</f>
        <v>6611758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IFERROR(__xludf.DUMMYFUNCTION("""COMPUTED_VALUE"""),96.23)</f>
        <v>96.23</v>
      </c>
      <c r="D137" s="141">
        <f ca="1">IFERROR(__xludf.DUMMYFUNCTION("""COMPUTED_VALUE"""),96.38)</f>
        <v>96.38</v>
      </c>
      <c r="E137" s="141">
        <f ca="1">IFERROR(__xludf.DUMMYFUNCTION("""COMPUTED_VALUE"""),96.17)</f>
        <v>96.17</v>
      </c>
      <c r="F137" s="141">
        <f ca="1">IFERROR(__xludf.DUMMYFUNCTION("""COMPUTED_VALUE"""),96.37)</f>
        <v>96.37</v>
      </c>
      <c r="G137" s="143">
        <f ca="1">IFERROR(__xludf.DUMMYFUNCTION("""COMPUTED_VALUE"""),8693438)</f>
        <v>8693438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IFERROR(__xludf.DUMMYFUNCTION("""COMPUTED_VALUE"""),96.25)</f>
        <v>96.25</v>
      </c>
      <c r="D138" s="141">
        <f ca="1">IFERROR(__xludf.DUMMYFUNCTION("""COMPUTED_VALUE"""),96.32)</f>
        <v>96.32</v>
      </c>
      <c r="E138" s="141">
        <f ca="1">IFERROR(__xludf.DUMMYFUNCTION("""COMPUTED_VALUE"""),96.1)</f>
        <v>96.1</v>
      </c>
      <c r="F138" s="141">
        <f ca="1">IFERROR(__xludf.DUMMYFUNCTION("""COMPUTED_VALUE"""),96.3)</f>
        <v>96.3</v>
      </c>
      <c r="G138" s="143">
        <f ca="1">IFERROR(__xludf.DUMMYFUNCTION("""COMPUTED_VALUE"""),12834157)</f>
        <v>12834157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IFERROR(__xludf.DUMMYFUNCTION("""COMPUTED_VALUE"""),96.52)</f>
        <v>96.52</v>
      </c>
      <c r="D139" s="141">
        <f ca="1">IFERROR(__xludf.DUMMYFUNCTION("""COMPUTED_VALUE"""),96.55)</f>
        <v>96.55</v>
      </c>
      <c r="E139" s="141">
        <f ca="1">IFERROR(__xludf.DUMMYFUNCTION("""COMPUTED_VALUE"""),96.34)</f>
        <v>96.34</v>
      </c>
      <c r="F139" s="141">
        <f ca="1">IFERROR(__xludf.DUMMYFUNCTION("""COMPUTED_VALUE"""),96.48)</f>
        <v>96.48</v>
      </c>
      <c r="G139" s="143">
        <f ca="1">IFERROR(__xludf.DUMMYFUNCTION("""COMPUTED_VALUE"""),7990996)</f>
        <v>7990996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IFERROR(__xludf.DUMMYFUNCTION("""COMPUTED_VALUE"""),96.23)</f>
        <v>96.23</v>
      </c>
      <c r="D140" s="141">
        <f ca="1">IFERROR(__xludf.DUMMYFUNCTION("""COMPUTED_VALUE"""),96.31)</f>
        <v>96.31</v>
      </c>
      <c r="E140" s="141">
        <f ca="1">IFERROR(__xludf.DUMMYFUNCTION("""COMPUTED_VALUE"""),96.18)</f>
        <v>96.18</v>
      </c>
      <c r="F140" s="141">
        <f ca="1">IFERROR(__xludf.DUMMYFUNCTION("""COMPUTED_VALUE"""),96.19)</f>
        <v>96.19</v>
      </c>
      <c r="G140" s="143">
        <f ca="1">IFERROR(__xludf.DUMMYFUNCTION("""COMPUTED_VALUE"""),6931841)</f>
        <v>6931841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IFERROR(__xludf.DUMMYFUNCTION("""COMPUTED_VALUE"""),96.16)</f>
        <v>96.16</v>
      </c>
      <c r="D141" s="141">
        <f ca="1">IFERROR(__xludf.DUMMYFUNCTION("""COMPUTED_VALUE"""),96.38)</f>
        <v>96.38</v>
      </c>
      <c r="E141" s="141">
        <f ca="1">IFERROR(__xludf.DUMMYFUNCTION("""COMPUTED_VALUE"""),96.07)</f>
        <v>96.07</v>
      </c>
      <c r="F141" s="141">
        <f ca="1">IFERROR(__xludf.DUMMYFUNCTION("""COMPUTED_VALUE"""),96.3)</f>
        <v>96.3</v>
      </c>
      <c r="G141" s="143">
        <f ca="1">IFERROR(__xludf.DUMMYFUNCTION("""COMPUTED_VALUE"""),10277468)</f>
        <v>10277468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IFERROR(__xludf.DUMMYFUNCTION("""COMPUTED_VALUE"""),96.15)</f>
        <v>96.15</v>
      </c>
      <c r="D142" s="141">
        <f ca="1">IFERROR(__xludf.DUMMYFUNCTION("""COMPUTED_VALUE"""),96.3)</f>
        <v>96.3</v>
      </c>
      <c r="E142" s="141">
        <f ca="1">IFERROR(__xludf.DUMMYFUNCTION("""COMPUTED_VALUE"""),96.12)</f>
        <v>96.12</v>
      </c>
      <c r="F142" s="141">
        <f ca="1">IFERROR(__xludf.DUMMYFUNCTION("""COMPUTED_VALUE"""),96.18)</f>
        <v>96.18</v>
      </c>
      <c r="G142" s="143">
        <f ca="1">IFERROR(__xludf.DUMMYFUNCTION("""COMPUTED_VALUE"""),6360965)</f>
        <v>6360965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IFERROR(__xludf.DUMMYFUNCTION("""COMPUTED_VALUE"""),96.34)</f>
        <v>96.34</v>
      </c>
      <c r="D143" s="141">
        <f ca="1">IFERROR(__xludf.DUMMYFUNCTION("""COMPUTED_VALUE"""),96.37)</f>
        <v>96.37</v>
      </c>
      <c r="E143" s="141">
        <f ca="1">IFERROR(__xludf.DUMMYFUNCTION("""COMPUTED_VALUE"""),96.2)</f>
        <v>96.2</v>
      </c>
      <c r="F143" s="141">
        <f ca="1">IFERROR(__xludf.DUMMYFUNCTION("""COMPUTED_VALUE"""),96.3)</f>
        <v>96.3</v>
      </c>
      <c r="G143" s="143">
        <f ca="1">IFERROR(__xludf.DUMMYFUNCTION("""COMPUTED_VALUE"""),7622552)</f>
        <v>7622552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IFERROR(__xludf.DUMMYFUNCTION("""COMPUTED_VALUE"""),96.38)</f>
        <v>96.38</v>
      </c>
      <c r="D144" s="141">
        <f ca="1">IFERROR(__xludf.DUMMYFUNCTION("""COMPUTED_VALUE"""),96.6)</f>
        <v>96.6</v>
      </c>
      <c r="E144" s="141">
        <f ca="1">IFERROR(__xludf.DUMMYFUNCTION("""COMPUTED_VALUE"""),96.37)</f>
        <v>96.37</v>
      </c>
      <c r="F144" s="141">
        <f ca="1">IFERROR(__xludf.DUMMYFUNCTION("""COMPUTED_VALUE"""),96.5)</f>
        <v>96.5</v>
      </c>
      <c r="G144" s="143">
        <f ca="1">IFERROR(__xludf.DUMMYFUNCTION("""COMPUTED_VALUE"""),7331256)</f>
        <v>7331256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IFERROR(__xludf.DUMMYFUNCTION("""COMPUTED_VALUE"""),96.51)</f>
        <v>96.51</v>
      </c>
      <c r="D145" s="141">
        <f ca="1">IFERROR(__xludf.DUMMYFUNCTION("""COMPUTED_VALUE"""),96.52)</f>
        <v>96.52</v>
      </c>
      <c r="E145" s="141">
        <f ca="1">IFERROR(__xludf.DUMMYFUNCTION("""COMPUTED_VALUE"""),96.28)</f>
        <v>96.28</v>
      </c>
      <c r="F145" s="141">
        <f ca="1">IFERROR(__xludf.DUMMYFUNCTION("""COMPUTED_VALUE"""),96.3)</f>
        <v>96.3</v>
      </c>
      <c r="G145" s="143">
        <f ca="1">IFERROR(__xludf.DUMMYFUNCTION("""COMPUTED_VALUE"""),6172797)</f>
        <v>6172797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IFERROR(__xludf.DUMMYFUNCTION("""COMPUTED_VALUE"""),96.23)</f>
        <v>96.23</v>
      </c>
      <c r="D146" s="141">
        <f ca="1">IFERROR(__xludf.DUMMYFUNCTION("""COMPUTED_VALUE"""),96.26)</f>
        <v>96.26</v>
      </c>
      <c r="E146" s="141">
        <f ca="1">IFERROR(__xludf.DUMMYFUNCTION("""COMPUTED_VALUE"""),95.91)</f>
        <v>95.91</v>
      </c>
      <c r="F146" s="141">
        <f ca="1">IFERROR(__xludf.DUMMYFUNCTION("""COMPUTED_VALUE"""),95.93)</f>
        <v>95.93</v>
      </c>
      <c r="G146" s="143">
        <f ca="1">IFERROR(__xludf.DUMMYFUNCTION("""COMPUTED_VALUE"""),11979391)</f>
        <v>11979391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IFERROR(__xludf.DUMMYFUNCTION("""COMPUTED_VALUE"""),95.6)</f>
        <v>95.6</v>
      </c>
      <c r="D147" s="141">
        <f ca="1">IFERROR(__xludf.DUMMYFUNCTION("""COMPUTED_VALUE"""),95.72)</f>
        <v>95.72</v>
      </c>
      <c r="E147" s="141">
        <f ca="1">IFERROR(__xludf.DUMMYFUNCTION("""COMPUTED_VALUE"""),95.53)</f>
        <v>95.53</v>
      </c>
      <c r="F147" s="141">
        <f ca="1">IFERROR(__xludf.DUMMYFUNCTION("""COMPUTED_VALUE"""),95.55)</f>
        <v>95.55</v>
      </c>
      <c r="G147" s="143">
        <f ca="1">IFERROR(__xludf.DUMMYFUNCTION("""COMPUTED_VALUE"""),13607731)</f>
        <v>13607731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IFERROR(__xludf.DUMMYFUNCTION("""COMPUTED_VALUE"""),95.66)</f>
        <v>95.66</v>
      </c>
      <c r="D148" s="141">
        <f ca="1">IFERROR(__xludf.DUMMYFUNCTION("""COMPUTED_VALUE"""),95.84)</f>
        <v>95.84</v>
      </c>
      <c r="E148" s="141">
        <f ca="1">IFERROR(__xludf.DUMMYFUNCTION("""COMPUTED_VALUE"""),95.56)</f>
        <v>95.56</v>
      </c>
      <c r="F148" s="141">
        <f ca="1">IFERROR(__xludf.DUMMYFUNCTION("""COMPUTED_VALUE"""),95.8)</f>
        <v>95.8</v>
      </c>
      <c r="G148" s="143">
        <f ca="1">IFERROR(__xludf.DUMMYFUNCTION("""COMPUTED_VALUE"""),11969124)</f>
        <v>11969124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IFERROR(__xludf.DUMMYFUNCTION("""COMPUTED_VALUE"""),95.7)</f>
        <v>95.7</v>
      </c>
      <c r="D149" s="141">
        <f ca="1">IFERROR(__xludf.DUMMYFUNCTION("""COMPUTED_VALUE"""),95.86)</f>
        <v>95.86</v>
      </c>
      <c r="E149" s="141">
        <f ca="1">IFERROR(__xludf.DUMMYFUNCTION("""COMPUTED_VALUE"""),95.65)</f>
        <v>95.65</v>
      </c>
      <c r="F149" s="141">
        <f ca="1">IFERROR(__xludf.DUMMYFUNCTION("""COMPUTED_VALUE"""),95.79)</f>
        <v>95.79</v>
      </c>
      <c r="G149" s="143">
        <f ca="1">IFERROR(__xludf.DUMMYFUNCTION("""COMPUTED_VALUE"""),10209497)</f>
        <v>10209497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IFERROR(__xludf.DUMMYFUNCTION("""COMPUTED_VALUE"""),95.83)</f>
        <v>95.83</v>
      </c>
      <c r="D150" s="141">
        <f ca="1">IFERROR(__xludf.DUMMYFUNCTION("""COMPUTED_VALUE"""),95.97)</f>
        <v>95.97</v>
      </c>
      <c r="E150" s="141">
        <f ca="1">IFERROR(__xludf.DUMMYFUNCTION("""COMPUTED_VALUE"""),95.75)</f>
        <v>95.75</v>
      </c>
      <c r="F150" s="141">
        <f ca="1">IFERROR(__xludf.DUMMYFUNCTION("""COMPUTED_VALUE"""),95.95)</f>
        <v>95.95</v>
      </c>
      <c r="G150" s="143">
        <f ca="1">IFERROR(__xludf.DUMMYFUNCTION("""COMPUTED_VALUE"""),8147517)</f>
        <v>8147517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IFERROR(__xludf.DUMMYFUNCTION("""COMPUTED_VALUE"""),96.1)</f>
        <v>96.1</v>
      </c>
      <c r="D151" s="141">
        <f ca="1">IFERROR(__xludf.DUMMYFUNCTION("""COMPUTED_VALUE"""),96.16)</f>
        <v>96.16</v>
      </c>
      <c r="E151" s="141">
        <f ca="1">IFERROR(__xludf.DUMMYFUNCTION("""COMPUTED_VALUE"""),96.04)</f>
        <v>96.04</v>
      </c>
      <c r="F151" s="141">
        <f ca="1">IFERROR(__xludf.DUMMYFUNCTION("""COMPUTED_VALUE"""),96.09)</f>
        <v>96.09</v>
      </c>
      <c r="G151" s="143">
        <f ca="1">IFERROR(__xludf.DUMMYFUNCTION("""COMPUTED_VALUE"""),6803869)</f>
        <v>6803869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IFERROR(__xludf.DUMMYFUNCTION("""COMPUTED_VALUE"""),96.03)</f>
        <v>96.03</v>
      </c>
      <c r="D152" s="141">
        <f ca="1">IFERROR(__xludf.DUMMYFUNCTION("""COMPUTED_VALUE"""),96.15)</f>
        <v>96.15</v>
      </c>
      <c r="E152" s="141">
        <f ca="1">IFERROR(__xludf.DUMMYFUNCTION("""COMPUTED_VALUE"""),95.95)</f>
        <v>95.95</v>
      </c>
      <c r="F152" s="141">
        <f ca="1">IFERROR(__xludf.DUMMYFUNCTION("""COMPUTED_VALUE"""),95.98)</f>
        <v>95.98</v>
      </c>
      <c r="G152" s="143">
        <f ca="1">IFERROR(__xludf.DUMMYFUNCTION("""COMPUTED_VALUE"""),9857199)</f>
        <v>9857199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IFERROR(__xludf.DUMMYFUNCTION("""COMPUTED_VALUE"""),95.92)</f>
        <v>95.92</v>
      </c>
      <c r="D153" s="141">
        <f ca="1">IFERROR(__xludf.DUMMYFUNCTION("""COMPUTED_VALUE"""),95.95)</f>
        <v>95.95</v>
      </c>
      <c r="E153" s="141">
        <f ca="1">IFERROR(__xludf.DUMMYFUNCTION("""COMPUTED_VALUE"""),95.73)</f>
        <v>95.73</v>
      </c>
      <c r="F153" s="141">
        <f ca="1">IFERROR(__xludf.DUMMYFUNCTION("""COMPUTED_VALUE"""),95.9)</f>
        <v>95.9</v>
      </c>
      <c r="G153" s="143">
        <f ca="1">IFERROR(__xludf.DUMMYFUNCTION("""COMPUTED_VALUE"""),17032404)</f>
        <v>17032404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IFERROR(__xludf.DUMMYFUNCTION("""COMPUTED_VALUE"""),95.8)</f>
        <v>95.8</v>
      </c>
      <c r="D154" s="141">
        <f ca="1">IFERROR(__xludf.DUMMYFUNCTION("""COMPUTED_VALUE"""),96.09)</f>
        <v>96.09</v>
      </c>
      <c r="E154" s="141">
        <f ca="1">IFERROR(__xludf.DUMMYFUNCTION("""COMPUTED_VALUE"""),95.78)</f>
        <v>95.78</v>
      </c>
      <c r="F154" s="141">
        <f ca="1">IFERROR(__xludf.DUMMYFUNCTION("""COMPUTED_VALUE"""),96)</f>
        <v>96</v>
      </c>
      <c r="G154" s="143">
        <f ca="1">IFERROR(__xludf.DUMMYFUNCTION("""COMPUTED_VALUE"""),11049404)</f>
        <v>11049404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IFERROR(__xludf.DUMMYFUNCTION("""COMPUTED_VALUE"""),95.99)</f>
        <v>95.99</v>
      </c>
      <c r="D155" s="141">
        <f ca="1">IFERROR(__xludf.DUMMYFUNCTION("""COMPUTED_VALUE"""),96.06)</f>
        <v>96.06</v>
      </c>
      <c r="E155" s="141">
        <f ca="1">IFERROR(__xludf.DUMMYFUNCTION("""COMPUTED_VALUE"""),95.91)</f>
        <v>95.91</v>
      </c>
      <c r="F155" s="141">
        <f ca="1">IFERROR(__xludf.DUMMYFUNCTION("""COMPUTED_VALUE"""),95.94)</f>
        <v>95.94</v>
      </c>
      <c r="G155" s="143">
        <f ca="1">IFERROR(__xludf.DUMMYFUNCTION("""COMPUTED_VALUE"""),8238456)</f>
        <v>8238456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IFERROR(__xludf.DUMMYFUNCTION("""COMPUTED_VALUE"""),95.67)</f>
        <v>95.67</v>
      </c>
      <c r="D156" s="141">
        <f ca="1">IFERROR(__xludf.DUMMYFUNCTION("""COMPUTED_VALUE"""),95.7)</f>
        <v>95.7</v>
      </c>
      <c r="E156" s="141">
        <f ca="1">IFERROR(__xludf.DUMMYFUNCTION("""COMPUTED_VALUE"""),95.44)</f>
        <v>95.44</v>
      </c>
      <c r="F156" s="141">
        <f ca="1">IFERROR(__xludf.DUMMYFUNCTION("""COMPUTED_VALUE"""),95.44)</f>
        <v>95.44</v>
      </c>
      <c r="G156" s="143">
        <f ca="1">IFERROR(__xludf.DUMMYFUNCTION("""COMPUTED_VALUE"""),8987366)</f>
        <v>8987366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IFERROR(__xludf.DUMMYFUNCTION("""COMPUTED_VALUE"""),95.39)</f>
        <v>95.39</v>
      </c>
      <c r="D157" s="141">
        <f ca="1">IFERROR(__xludf.DUMMYFUNCTION("""COMPUTED_VALUE"""),95.57)</f>
        <v>95.57</v>
      </c>
      <c r="E157" s="141">
        <f ca="1">IFERROR(__xludf.DUMMYFUNCTION("""COMPUTED_VALUE"""),95.37)</f>
        <v>95.37</v>
      </c>
      <c r="F157" s="141">
        <f ca="1">IFERROR(__xludf.DUMMYFUNCTION("""COMPUTED_VALUE"""),95.53)</f>
        <v>95.53</v>
      </c>
      <c r="G157" s="143">
        <f ca="1">IFERROR(__xludf.DUMMYFUNCTION("""COMPUTED_VALUE"""),7314131)</f>
        <v>7314131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IFERROR(__xludf.DUMMYFUNCTION("""COMPUTED_VALUE"""),95.45)</f>
        <v>95.45</v>
      </c>
      <c r="D158" s="141">
        <f ca="1">IFERROR(__xludf.DUMMYFUNCTION("""COMPUTED_VALUE"""),95.61)</f>
        <v>95.61</v>
      </c>
      <c r="E158" s="141">
        <f ca="1">IFERROR(__xludf.DUMMYFUNCTION("""COMPUTED_VALUE"""),95.41)</f>
        <v>95.41</v>
      </c>
      <c r="F158" s="141">
        <f ca="1">IFERROR(__xludf.DUMMYFUNCTION("""COMPUTED_VALUE"""),95.51)</f>
        <v>95.51</v>
      </c>
      <c r="G158" s="143">
        <f ca="1">IFERROR(__xludf.DUMMYFUNCTION("""COMPUTED_VALUE"""),7268703)</f>
        <v>7268703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IFERROR(__xludf.DUMMYFUNCTION("""COMPUTED_VALUE"""),95.8)</f>
        <v>95.8</v>
      </c>
      <c r="D159" s="141">
        <f ca="1">IFERROR(__xludf.DUMMYFUNCTION("""COMPUTED_VALUE"""),96.1)</f>
        <v>96.1</v>
      </c>
      <c r="E159" s="141">
        <f ca="1">IFERROR(__xludf.DUMMYFUNCTION("""COMPUTED_VALUE"""),95.71)</f>
        <v>95.71</v>
      </c>
      <c r="F159" s="141">
        <f ca="1">IFERROR(__xludf.DUMMYFUNCTION("""COMPUTED_VALUE"""),96.07)</f>
        <v>96.07</v>
      </c>
      <c r="G159" s="143">
        <f ca="1">IFERROR(__xludf.DUMMYFUNCTION("""COMPUTED_VALUE"""),12086792)</f>
        <v>12086792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IFERROR(__xludf.DUMMYFUNCTION("""COMPUTED_VALUE"""),96.12)</f>
        <v>96.12</v>
      </c>
      <c r="D160" s="141">
        <f ca="1">IFERROR(__xludf.DUMMYFUNCTION("""COMPUTED_VALUE"""),96.13)</f>
        <v>96.13</v>
      </c>
      <c r="E160" s="141">
        <f ca="1">IFERROR(__xludf.DUMMYFUNCTION("""COMPUTED_VALUE"""),95.92)</f>
        <v>95.92</v>
      </c>
      <c r="F160" s="141">
        <f ca="1">IFERROR(__xludf.DUMMYFUNCTION("""COMPUTED_VALUE"""),96.07)</f>
        <v>96.07</v>
      </c>
      <c r="G160" s="143">
        <f ca="1">IFERROR(__xludf.DUMMYFUNCTION("""COMPUTED_VALUE"""),7759939)</f>
        <v>7759939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IFERROR(__xludf.DUMMYFUNCTION("""COMPUTED_VALUE"""),96.01)</f>
        <v>96.01</v>
      </c>
      <c r="D161" s="141">
        <f ca="1">IFERROR(__xludf.DUMMYFUNCTION("""COMPUTED_VALUE"""),96.13)</f>
        <v>96.13</v>
      </c>
      <c r="E161" s="141">
        <f ca="1">IFERROR(__xludf.DUMMYFUNCTION("""COMPUTED_VALUE"""),95.93)</f>
        <v>95.93</v>
      </c>
      <c r="F161" s="141">
        <f ca="1">IFERROR(__xludf.DUMMYFUNCTION("""COMPUTED_VALUE"""),96.09)</f>
        <v>96.09</v>
      </c>
      <c r="G161" s="143">
        <f ca="1">IFERROR(__xludf.DUMMYFUNCTION("""COMPUTED_VALUE"""),8165177)</f>
        <v>8165177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IFERROR(__xludf.DUMMYFUNCTION("""COMPUTED_VALUE"""),96.43)</f>
        <v>96.43</v>
      </c>
      <c r="D162" s="141">
        <f ca="1">IFERROR(__xludf.DUMMYFUNCTION("""COMPUTED_VALUE"""),96.55)</f>
        <v>96.55</v>
      </c>
      <c r="E162" s="141">
        <f ca="1">IFERROR(__xludf.DUMMYFUNCTION("""COMPUTED_VALUE"""),96.41)</f>
        <v>96.41</v>
      </c>
      <c r="F162" s="141">
        <f ca="1">IFERROR(__xludf.DUMMYFUNCTION("""COMPUTED_VALUE"""),96.51)</f>
        <v>96.51</v>
      </c>
      <c r="G162" s="143">
        <f ca="1">IFERROR(__xludf.DUMMYFUNCTION("""COMPUTED_VALUE"""),9752387)</f>
        <v>9752387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IFERROR(__xludf.DUMMYFUNCTION("""COMPUTED_VALUE"""),96.18)</f>
        <v>96.18</v>
      </c>
      <c r="D163" s="141">
        <f ca="1">IFERROR(__xludf.DUMMYFUNCTION("""COMPUTED_VALUE"""),96.45)</f>
        <v>96.45</v>
      </c>
      <c r="E163" s="141">
        <f ca="1">IFERROR(__xludf.DUMMYFUNCTION("""COMPUTED_VALUE"""),96.16)</f>
        <v>96.16</v>
      </c>
      <c r="F163" s="141">
        <f ca="1">IFERROR(__xludf.DUMMYFUNCTION("""COMPUTED_VALUE"""),96.24)</f>
        <v>96.24</v>
      </c>
      <c r="G163" s="143">
        <f ca="1">IFERROR(__xludf.DUMMYFUNCTION("""COMPUTED_VALUE"""),9106648)</f>
        <v>9106648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IFERROR(__xludf.DUMMYFUNCTION("""COMPUTED_VALUE"""),96.4)</f>
        <v>96.4</v>
      </c>
      <c r="D164" s="141">
        <f ca="1">IFERROR(__xludf.DUMMYFUNCTION("""COMPUTED_VALUE"""),96.85)</f>
        <v>96.85</v>
      </c>
      <c r="E164" s="141">
        <f ca="1">IFERROR(__xludf.DUMMYFUNCTION("""COMPUTED_VALUE"""),96.39)</f>
        <v>96.39</v>
      </c>
      <c r="F164" s="141">
        <f ca="1">IFERROR(__xludf.DUMMYFUNCTION("""COMPUTED_VALUE"""),96.83)</f>
        <v>96.83</v>
      </c>
      <c r="G164" s="143">
        <f ca="1">IFERROR(__xludf.DUMMYFUNCTION("""COMPUTED_VALUE"""),13099865)</f>
        <v>13099865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IFERROR(__xludf.DUMMYFUNCTION("""COMPUTED_VALUE"""),97.12)</f>
        <v>97.12</v>
      </c>
      <c r="D165" s="141">
        <f ca="1">IFERROR(__xludf.DUMMYFUNCTION("""COMPUTED_VALUE"""),97.26)</f>
        <v>97.26</v>
      </c>
      <c r="E165" s="141">
        <f ca="1">IFERROR(__xludf.DUMMYFUNCTION("""COMPUTED_VALUE"""),97.09)</f>
        <v>97.09</v>
      </c>
      <c r="F165" s="141">
        <f ca="1">IFERROR(__xludf.DUMMYFUNCTION("""COMPUTED_VALUE"""),97.21)</f>
        <v>97.21</v>
      </c>
      <c r="G165" s="143">
        <f ca="1">IFERROR(__xludf.DUMMYFUNCTION("""COMPUTED_VALUE"""),11681536)</f>
        <v>11681536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IFERROR(__xludf.DUMMYFUNCTION("""COMPUTED_VALUE"""),97.25)</f>
        <v>97.25</v>
      </c>
      <c r="D166" s="141">
        <f ca="1">IFERROR(__xludf.DUMMYFUNCTION("""COMPUTED_VALUE"""),97.31)</f>
        <v>97.31</v>
      </c>
      <c r="E166" s="141">
        <f ca="1">IFERROR(__xludf.DUMMYFUNCTION("""COMPUTED_VALUE"""),97.15)</f>
        <v>97.15</v>
      </c>
      <c r="F166" s="141">
        <f ca="1">IFERROR(__xludf.DUMMYFUNCTION("""COMPUTED_VALUE"""),97.2)</f>
        <v>97.2</v>
      </c>
      <c r="G166" s="143">
        <f ca="1">IFERROR(__xludf.DUMMYFUNCTION("""COMPUTED_VALUE"""),8623799)</f>
        <v>8623799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IFERROR(__xludf.DUMMYFUNCTION("""COMPUTED_VALUE"""),97.03)</f>
        <v>97.03</v>
      </c>
      <c r="D167" s="141">
        <f ca="1">IFERROR(__xludf.DUMMYFUNCTION("""COMPUTED_VALUE"""),97.09)</f>
        <v>97.09</v>
      </c>
      <c r="E167" s="141">
        <f ca="1">IFERROR(__xludf.DUMMYFUNCTION("""COMPUTED_VALUE"""),96.97)</f>
        <v>96.97</v>
      </c>
      <c r="F167" s="141">
        <f ca="1">IFERROR(__xludf.DUMMYFUNCTION("""COMPUTED_VALUE"""),97)</f>
        <v>97</v>
      </c>
      <c r="G167" s="143">
        <f ca="1">IFERROR(__xludf.DUMMYFUNCTION("""COMPUTED_VALUE"""),7779172)</f>
        <v>7779172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IFERROR(__xludf.DUMMYFUNCTION("""COMPUTED_VALUE"""),96.96)</f>
        <v>96.96</v>
      </c>
      <c r="D168" s="141">
        <f ca="1">IFERROR(__xludf.DUMMYFUNCTION("""COMPUTED_VALUE"""),97.14)</f>
        <v>97.14</v>
      </c>
      <c r="E168" s="141">
        <f ca="1">IFERROR(__xludf.DUMMYFUNCTION("""COMPUTED_VALUE"""),96.94)</f>
        <v>96.94</v>
      </c>
      <c r="F168" s="141">
        <f ca="1">IFERROR(__xludf.DUMMYFUNCTION("""COMPUTED_VALUE"""),97.09)</f>
        <v>97.09</v>
      </c>
      <c r="G168" s="143">
        <f ca="1">IFERROR(__xludf.DUMMYFUNCTION("""COMPUTED_VALUE"""),4993144)</f>
        <v>4993144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IFERROR(__xludf.DUMMYFUNCTION("""COMPUTED_VALUE"""),97.13)</f>
        <v>97.13</v>
      </c>
      <c r="D169" s="141">
        <f ca="1">IFERROR(__xludf.DUMMYFUNCTION("""COMPUTED_VALUE"""),97.14)</f>
        <v>97.14</v>
      </c>
      <c r="E169" s="141">
        <f ca="1">IFERROR(__xludf.DUMMYFUNCTION("""COMPUTED_VALUE"""),96.89)</f>
        <v>96.89</v>
      </c>
      <c r="F169" s="141">
        <f ca="1">IFERROR(__xludf.DUMMYFUNCTION("""COMPUTED_VALUE"""),97.09)</f>
        <v>97.09</v>
      </c>
      <c r="G169" s="143">
        <f ca="1">IFERROR(__xludf.DUMMYFUNCTION("""COMPUTED_VALUE"""),11200201)</f>
        <v>11200201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IFERROR(__xludf.DUMMYFUNCTION("""COMPUTED_VALUE"""),97.17)</f>
        <v>97.17</v>
      </c>
      <c r="D170" s="141">
        <f ca="1">IFERROR(__xludf.DUMMYFUNCTION("""COMPUTED_VALUE"""),97.53)</f>
        <v>97.53</v>
      </c>
      <c r="E170" s="141">
        <f ca="1">IFERROR(__xludf.DUMMYFUNCTION("""COMPUTED_VALUE"""),97.17)</f>
        <v>97.17</v>
      </c>
      <c r="F170" s="141">
        <f ca="1">IFERROR(__xludf.DUMMYFUNCTION("""COMPUTED_VALUE"""),97.44)</f>
        <v>97.44</v>
      </c>
      <c r="G170" s="143">
        <f ca="1">IFERROR(__xludf.DUMMYFUNCTION("""COMPUTED_VALUE"""),9771236)</f>
        <v>9771236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IFERROR(__xludf.DUMMYFUNCTION("""COMPUTED_VALUE"""),97.44)</f>
        <v>97.44</v>
      </c>
      <c r="D171" s="141">
        <f ca="1">IFERROR(__xludf.DUMMYFUNCTION("""COMPUTED_VALUE"""),97.48)</f>
        <v>97.48</v>
      </c>
      <c r="E171" s="141">
        <f ca="1">IFERROR(__xludf.DUMMYFUNCTION("""COMPUTED_VALUE"""),97.33)</f>
        <v>97.33</v>
      </c>
      <c r="F171" s="141">
        <f ca="1">IFERROR(__xludf.DUMMYFUNCTION("""COMPUTED_VALUE"""),97.42)</f>
        <v>97.42</v>
      </c>
      <c r="G171" s="143">
        <f ca="1">IFERROR(__xludf.DUMMYFUNCTION("""COMPUTED_VALUE"""),9461386)</f>
        <v>9461386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IFERROR(__xludf.DUMMYFUNCTION("""COMPUTED_VALUE"""),97.27)</f>
        <v>97.27</v>
      </c>
      <c r="D172" s="141">
        <f ca="1">IFERROR(__xludf.DUMMYFUNCTION("""COMPUTED_VALUE"""),97.42)</f>
        <v>97.42</v>
      </c>
      <c r="E172" s="141">
        <f ca="1">IFERROR(__xludf.DUMMYFUNCTION("""COMPUTED_VALUE"""),97.27)</f>
        <v>97.27</v>
      </c>
      <c r="F172" s="141">
        <f ca="1">IFERROR(__xludf.DUMMYFUNCTION("""COMPUTED_VALUE"""),97.34)</f>
        <v>97.34</v>
      </c>
      <c r="G172" s="143">
        <f ca="1">IFERROR(__xludf.DUMMYFUNCTION("""COMPUTED_VALUE"""),8627357)</f>
        <v>8627357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IFERROR(__xludf.DUMMYFUNCTION("""COMPUTED_VALUE"""),97.42)</f>
        <v>97.42</v>
      </c>
      <c r="D173" s="141">
        <f ca="1">IFERROR(__xludf.DUMMYFUNCTION("""COMPUTED_VALUE"""),97.6)</f>
        <v>97.6</v>
      </c>
      <c r="E173" s="141">
        <f ca="1">IFERROR(__xludf.DUMMYFUNCTION("""COMPUTED_VALUE"""),97.42)</f>
        <v>97.42</v>
      </c>
      <c r="F173" s="141">
        <f ca="1">IFERROR(__xludf.DUMMYFUNCTION("""COMPUTED_VALUE"""),97.6)</f>
        <v>97.6</v>
      </c>
      <c r="G173" s="143">
        <f ca="1">IFERROR(__xludf.DUMMYFUNCTION("""COMPUTED_VALUE"""),8164748)</f>
        <v>8164748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IFERROR(__xludf.DUMMYFUNCTION("""COMPUTED_VALUE"""),97.88)</f>
        <v>97.88</v>
      </c>
      <c r="D174" s="141">
        <f ca="1">IFERROR(__xludf.DUMMYFUNCTION("""COMPUTED_VALUE"""),98.05)</f>
        <v>98.05</v>
      </c>
      <c r="E174" s="141">
        <f ca="1">IFERROR(__xludf.DUMMYFUNCTION("""COMPUTED_VALUE"""),97.83)</f>
        <v>97.83</v>
      </c>
      <c r="F174" s="141">
        <f ca="1">IFERROR(__xludf.DUMMYFUNCTION("""COMPUTED_VALUE"""),97.99)</f>
        <v>97.99</v>
      </c>
      <c r="G174" s="143">
        <f ca="1">IFERROR(__xludf.DUMMYFUNCTION("""COMPUTED_VALUE"""),9944946)</f>
        <v>9944946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IFERROR(__xludf.DUMMYFUNCTION("""COMPUTED_VALUE"""),97.38)</f>
        <v>97.38</v>
      </c>
      <c r="D175" s="141">
        <f ca="1">IFERROR(__xludf.DUMMYFUNCTION("""COMPUTED_VALUE"""),97.39)</f>
        <v>97.39</v>
      </c>
      <c r="E175" s="141">
        <f ca="1">IFERROR(__xludf.DUMMYFUNCTION("""COMPUTED_VALUE"""),96.95)</f>
        <v>96.95</v>
      </c>
      <c r="F175" s="141">
        <f ca="1">IFERROR(__xludf.DUMMYFUNCTION("""COMPUTED_VALUE"""),97.12)</f>
        <v>97.12</v>
      </c>
      <c r="G175" s="143">
        <f ca="1">IFERROR(__xludf.DUMMYFUNCTION("""COMPUTED_VALUE"""),17708053)</f>
        <v>17708053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IFERROR(__xludf.DUMMYFUNCTION("""COMPUTED_VALUE"""),96.67)</f>
        <v>96.67</v>
      </c>
      <c r="D176" s="141">
        <f ca="1">IFERROR(__xludf.DUMMYFUNCTION("""COMPUTED_VALUE"""),97.15)</f>
        <v>97.15</v>
      </c>
      <c r="E176" s="141">
        <f ca="1">IFERROR(__xludf.DUMMYFUNCTION("""COMPUTED_VALUE"""),96.64)</f>
        <v>96.64</v>
      </c>
      <c r="F176" s="141">
        <f ca="1">IFERROR(__xludf.DUMMYFUNCTION("""COMPUTED_VALUE"""),97.01)</f>
        <v>97.01</v>
      </c>
      <c r="G176" s="143">
        <f ca="1">IFERROR(__xludf.DUMMYFUNCTION("""COMPUTED_VALUE"""),13581020)</f>
        <v>13581020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IFERROR(__xludf.DUMMYFUNCTION("""COMPUTED_VALUE"""),96.97)</f>
        <v>96.97</v>
      </c>
      <c r="D177" s="141">
        <f ca="1">IFERROR(__xludf.DUMMYFUNCTION("""COMPUTED_VALUE"""),96.99)</f>
        <v>96.99</v>
      </c>
      <c r="E177" s="141">
        <f ca="1">IFERROR(__xludf.DUMMYFUNCTION("""COMPUTED_VALUE"""),96.79)</f>
        <v>96.79</v>
      </c>
      <c r="F177" s="141">
        <f ca="1">IFERROR(__xludf.DUMMYFUNCTION("""COMPUTED_VALUE"""),96.81)</f>
        <v>96.81</v>
      </c>
      <c r="G177" s="143">
        <f ca="1">IFERROR(__xludf.DUMMYFUNCTION("""COMPUTED_VALUE"""),12500434)</f>
        <v>12500434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IFERROR(__xludf.DUMMYFUNCTION("""COMPUTED_VALUE"""),96.45)</f>
        <v>96.45</v>
      </c>
      <c r="D178" s="141">
        <f ca="1">IFERROR(__xludf.DUMMYFUNCTION("""COMPUTED_VALUE"""),96.58)</f>
        <v>96.58</v>
      </c>
      <c r="E178" s="141">
        <f ca="1">IFERROR(__xludf.DUMMYFUNCTION("""COMPUTED_VALUE"""),96.39)</f>
        <v>96.39</v>
      </c>
      <c r="F178" s="141">
        <f ca="1">IFERROR(__xludf.DUMMYFUNCTION("""COMPUTED_VALUE"""),96.51)</f>
        <v>96.51</v>
      </c>
      <c r="G178" s="143">
        <f ca="1">IFERROR(__xludf.DUMMYFUNCTION("""COMPUTED_VALUE"""),12594885)</f>
        <v>12594885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IFERROR(__xludf.DUMMYFUNCTION("""COMPUTED_VALUE"""),96.22)</f>
        <v>96.22</v>
      </c>
      <c r="D179" s="141">
        <f ca="1">IFERROR(__xludf.DUMMYFUNCTION("""COMPUTED_VALUE"""),96.74)</f>
        <v>96.74</v>
      </c>
      <c r="E179" s="141">
        <f ca="1">IFERROR(__xludf.DUMMYFUNCTION("""COMPUTED_VALUE"""),96.17)</f>
        <v>96.17</v>
      </c>
      <c r="F179" s="141">
        <f ca="1">IFERROR(__xludf.DUMMYFUNCTION("""COMPUTED_VALUE"""),96.45)</f>
        <v>96.45</v>
      </c>
      <c r="G179" s="143">
        <f ca="1">IFERROR(__xludf.DUMMYFUNCTION("""COMPUTED_VALUE"""),12749791)</f>
        <v>12749791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IFERROR(__xludf.DUMMYFUNCTION("""COMPUTED_VALUE"""),96.36)</f>
        <v>96.36</v>
      </c>
      <c r="D180" s="141">
        <f ca="1">IFERROR(__xludf.DUMMYFUNCTION("""COMPUTED_VALUE"""),96.8)</f>
        <v>96.8</v>
      </c>
      <c r="E180" s="141">
        <f ca="1">IFERROR(__xludf.DUMMYFUNCTION("""COMPUTED_VALUE"""),96.25)</f>
        <v>96.25</v>
      </c>
      <c r="F180" s="141">
        <f ca="1">IFERROR(__xludf.DUMMYFUNCTION("""COMPUTED_VALUE"""),96.75)</f>
        <v>96.75</v>
      </c>
      <c r="G180" s="143">
        <f ca="1">IFERROR(__xludf.DUMMYFUNCTION("""COMPUTED_VALUE"""),12097945)</f>
        <v>12097945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IFERROR(__xludf.DUMMYFUNCTION("""COMPUTED_VALUE"""),96.7)</f>
        <v>96.7</v>
      </c>
      <c r="D181" s="141">
        <f ca="1">IFERROR(__xludf.DUMMYFUNCTION("""COMPUTED_VALUE"""),96.77)</f>
        <v>96.77</v>
      </c>
      <c r="E181" s="141">
        <f ca="1">IFERROR(__xludf.DUMMYFUNCTION("""COMPUTED_VALUE"""),96.41)</f>
        <v>96.41</v>
      </c>
      <c r="F181" s="141">
        <f ca="1">IFERROR(__xludf.DUMMYFUNCTION("""COMPUTED_VALUE"""),96.44)</f>
        <v>96.44</v>
      </c>
      <c r="G181" s="143">
        <f ca="1">IFERROR(__xludf.DUMMYFUNCTION("""COMPUTED_VALUE"""),10548145)</f>
        <v>10548145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IFERROR(__xludf.DUMMYFUNCTION("""COMPUTED_VALUE"""),96.26)</f>
        <v>96.26</v>
      </c>
      <c r="D182" s="141">
        <f ca="1">IFERROR(__xludf.DUMMYFUNCTION("""COMPUTED_VALUE"""),96.31)</f>
        <v>96.31</v>
      </c>
      <c r="E182" s="141">
        <f ca="1">IFERROR(__xludf.DUMMYFUNCTION("""COMPUTED_VALUE"""),95.98)</f>
        <v>95.98</v>
      </c>
      <c r="F182" s="141">
        <f ca="1">IFERROR(__xludf.DUMMYFUNCTION("""COMPUTED_VALUE"""),96)</f>
        <v>96</v>
      </c>
      <c r="G182" s="143">
        <f ca="1">IFERROR(__xludf.DUMMYFUNCTION("""COMPUTED_VALUE"""),12198450)</f>
        <v>12198450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IFERROR(__xludf.DUMMYFUNCTION("""COMPUTED_VALUE"""),95.85)</f>
        <v>95.85</v>
      </c>
      <c r="D183" s="141">
        <f ca="1">IFERROR(__xludf.DUMMYFUNCTION("""COMPUTED_VALUE"""),95.98)</f>
        <v>95.98</v>
      </c>
      <c r="E183" s="141">
        <f ca="1">IFERROR(__xludf.DUMMYFUNCTION("""COMPUTED_VALUE"""),95.59)</f>
        <v>95.59</v>
      </c>
      <c r="F183" s="141">
        <f ca="1">IFERROR(__xludf.DUMMYFUNCTION("""COMPUTED_VALUE"""),95.69)</f>
        <v>95.69</v>
      </c>
      <c r="G183" s="143">
        <f ca="1">IFERROR(__xludf.DUMMYFUNCTION("""COMPUTED_VALUE"""),11401448)</f>
        <v>11401448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IFERROR(__xludf.DUMMYFUNCTION("""COMPUTED_VALUE"""),95.84)</f>
        <v>95.84</v>
      </c>
      <c r="D184" s="141">
        <f ca="1">IFERROR(__xludf.DUMMYFUNCTION("""COMPUTED_VALUE"""),95.93)</f>
        <v>95.93</v>
      </c>
      <c r="E184" s="141">
        <f ca="1">IFERROR(__xludf.DUMMYFUNCTION("""COMPUTED_VALUE"""),95.55)</f>
        <v>95.55</v>
      </c>
      <c r="F184" s="141">
        <f ca="1">IFERROR(__xludf.DUMMYFUNCTION("""COMPUTED_VALUE"""),95.59)</f>
        <v>95.59</v>
      </c>
      <c r="G184" s="143">
        <f ca="1">IFERROR(__xludf.DUMMYFUNCTION("""COMPUTED_VALUE"""),11839932)</f>
        <v>11839932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IFERROR(__xludf.DUMMYFUNCTION("""COMPUTED_VALUE"""),95.98)</f>
        <v>95.98</v>
      </c>
      <c r="D185" s="141">
        <f ca="1">IFERROR(__xludf.DUMMYFUNCTION("""COMPUTED_VALUE"""),96.06)</f>
        <v>96.06</v>
      </c>
      <c r="E185" s="141">
        <f ca="1">IFERROR(__xludf.DUMMYFUNCTION("""COMPUTED_VALUE"""),95.87)</f>
        <v>95.87</v>
      </c>
      <c r="F185" s="141">
        <f ca="1">IFERROR(__xludf.DUMMYFUNCTION("""COMPUTED_VALUE"""),96.02)</f>
        <v>96.02</v>
      </c>
      <c r="G185" s="143">
        <f ca="1">IFERROR(__xludf.DUMMYFUNCTION("""COMPUTED_VALUE"""),9092149)</f>
        <v>9092149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IFERROR(__xludf.DUMMYFUNCTION("""COMPUTED_VALUE"""),96.17)</f>
        <v>96.17</v>
      </c>
      <c r="D186" s="141">
        <f ca="1">IFERROR(__xludf.DUMMYFUNCTION("""COMPUTED_VALUE"""),96.28)</f>
        <v>96.28</v>
      </c>
      <c r="E186" s="141">
        <f ca="1">IFERROR(__xludf.DUMMYFUNCTION("""COMPUTED_VALUE"""),96.13)</f>
        <v>96.13</v>
      </c>
      <c r="F186" s="141">
        <f ca="1">IFERROR(__xludf.DUMMYFUNCTION("""COMPUTED_VALUE"""),96.19)</f>
        <v>96.19</v>
      </c>
      <c r="G186" s="143">
        <f ca="1">IFERROR(__xludf.DUMMYFUNCTION("""COMPUTED_VALUE"""),7209667)</f>
        <v>7209667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IFERROR(__xludf.DUMMYFUNCTION("""COMPUTED_VALUE"""),96.05)</f>
        <v>96.05</v>
      </c>
      <c r="D187" s="141">
        <f ca="1">IFERROR(__xludf.DUMMYFUNCTION("""COMPUTED_VALUE"""),96.12)</f>
        <v>96.12</v>
      </c>
      <c r="E187" s="141">
        <f ca="1">IFERROR(__xludf.DUMMYFUNCTION("""COMPUTED_VALUE"""),95.73)</f>
        <v>95.73</v>
      </c>
      <c r="F187" s="141">
        <f ca="1">IFERROR(__xludf.DUMMYFUNCTION("""COMPUTED_VALUE"""),95.75)</f>
        <v>95.75</v>
      </c>
      <c r="G187" s="143">
        <f ca="1">IFERROR(__xludf.DUMMYFUNCTION("""COMPUTED_VALUE"""),13049006)</f>
        <v>13049006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IFERROR(__xludf.DUMMYFUNCTION("""COMPUTED_VALUE"""),95.49)</f>
        <v>95.49</v>
      </c>
      <c r="D188" s="141">
        <f ca="1">IFERROR(__xludf.DUMMYFUNCTION("""COMPUTED_VALUE"""),95.88)</f>
        <v>95.88</v>
      </c>
      <c r="E188" s="141">
        <f ca="1">IFERROR(__xludf.DUMMYFUNCTION("""COMPUTED_VALUE"""),95.48)</f>
        <v>95.48</v>
      </c>
      <c r="F188" s="141">
        <f ca="1">IFERROR(__xludf.DUMMYFUNCTION("""COMPUTED_VALUE"""),95.74)</f>
        <v>95.74</v>
      </c>
      <c r="G188" s="143">
        <f ca="1">IFERROR(__xludf.DUMMYFUNCTION("""COMPUTED_VALUE"""),18464915)</f>
        <v>18464915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IFERROR(__xludf.DUMMYFUNCTION("""COMPUTED_VALUE"""),95.31)</f>
        <v>95.31</v>
      </c>
      <c r="D189" s="141">
        <f ca="1">IFERROR(__xludf.DUMMYFUNCTION("""COMPUTED_VALUE"""),95.34)</f>
        <v>95.34</v>
      </c>
      <c r="E189" s="141">
        <f ca="1">IFERROR(__xludf.DUMMYFUNCTION("""COMPUTED_VALUE"""),94.85)</f>
        <v>94.85</v>
      </c>
      <c r="F189" s="141">
        <f ca="1">IFERROR(__xludf.DUMMYFUNCTION("""COMPUTED_VALUE"""),94.88)</f>
        <v>94.88</v>
      </c>
      <c r="G189" s="143">
        <f ca="1">IFERROR(__xludf.DUMMYFUNCTION("""COMPUTED_VALUE"""),20761896)</f>
        <v>20761896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IFERROR(__xludf.DUMMYFUNCTION("""COMPUTED_VALUE"""),95)</f>
        <v>95</v>
      </c>
      <c r="D190" s="141">
        <f ca="1">IFERROR(__xludf.DUMMYFUNCTION("""COMPUTED_VALUE"""),95.43)</f>
        <v>95.43</v>
      </c>
      <c r="E190" s="141">
        <f ca="1">IFERROR(__xludf.DUMMYFUNCTION("""COMPUTED_VALUE"""),94.89)</f>
        <v>94.89</v>
      </c>
      <c r="F190" s="141">
        <f ca="1">IFERROR(__xludf.DUMMYFUNCTION("""COMPUTED_VALUE"""),95.18)</f>
        <v>95.18</v>
      </c>
      <c r="G190" s="143">
        <f ca="1">IFERROR(__xludf.DUMMYFUNCTION("""COMPUTED_VALUE"""),28336254)</f>
        <v>28336254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IFERROR(__xludf.DUMMYFUNCTION("""COMPUTED_VALUE"""),94.79)</f>
        <v>94.79</v>
      </c>
      <c r="D191" s="141">
        <f ca="1">IFERROR(__xludf.DUMMYFUNCTION("""COMPUTED_VALUE"""),95.08)</f>
        <v>95.08</v>
      </c>
      <c r="E191" s="141">
        <f ca="1">IFERROR(__xludf.DUMMYFUNCTION("""COMPUTED_VALUE"""),94.62)</f>
        <v>94.62</v>
      </c>
      <c r="F191" s="141">
        <f ca="1">IFERROR(__xludf.DUMMYFUNCTION("""COMPUTED_VALUE"""),94.86)</f>
        <v>94.86</v>
      </c>
      <c r="G191" s="143">
        <f ca="1">IFERROR(__xludf.DUMMYFUNCTION("""COMPUTED_VALUE"""),19785627)</f>
        <v>19785627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IFERROR(__xludf.DUMMYFUNCTION("""COMPUTED_VALUE"""),95.29)</f>
        <v>95.29</v>
      </c>
      <c r="D192" s="141">
        <f ca="1">IFERROR(__xludf.DUMMYFUNCTION("""COMPUTED_VALUE"""),95.4)</f>
        <v>95.4</v>
      </c>
      <c r="E192" s="141">
        <f ca="1">IFERROR(__xludf.DUMMYFUNCTION("""COMPUTED_VALUE"""),95.14)</f>
        <v>95.14</v>
      </c>
      <c r="F192" s="141">
        <f ca="1">IFERROR(__xludf.DUMMYFUNCTION("""COMPUTED_VALUE"""),95.36)</f>
        <v>95.36</v>
      </c>
      <c r="G192" s="143">
        <f ca="1">IFERROR(__xludf.DUMMYFUNCTION("""COMPUTED_VALUE"""),15939218)</f>
        <v>15939218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IFERROR(__xludf.DUMMYFUNCTION("""COMPUTED_VALUE"""),95.01)</f>
        <v>95.01</v>
      </c>
      <c r="D193" s="141">
        <f ca="1">IFERROR(__xludf.DUMMYFUNCTION("""COMPUTED_VALUE"""),95.13)</f>
        <v>95.13</v>
      </c>
      <c r="E193" s="141">
        <f ca="1">IFERROR(__xludf.DUMMYFUNCTION("""COMPUTED_VALUE"""),94.59)</f>
        <v>94.59</v>
      </c>
      <c r="F193" s="141">
        <f ca="1">IFERROR(__xludf.DUMMYFUNCTION("""COMPUTED_VALUE"""),94.59)</f>
        <v>94.59</v>
      </c>
      <c r="G193" s="143">
        <f ca="1">IFERROR(__xludf.DUMMYFUNCTION("""COMPUTED_VALUE"""),12897348)</f>
        <v>12897348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IFERROR(__xludf.DUMMYFUNCTION("""COMPUTED_VALUE"""),94.37)</f>
        <v>94.37</v>
      </c>
      <c r="D194" s="141">
        <f ca="1">IFERROR(__xludf.DUMMYFUNCTION("""COMPUTED_VALUE"""),94.78)</f>
        <v>94.78</v>
      </c>
      <c r="E194" s="141">
        <f ca="1">IFERROR(__xludf.DUMMYFUNCTION("""COMPUTED_VALUE"""),94.36)</f>
        <v>94.36</v>
      </c>
      <c r="F194" s="141">
        <f ca="1">IFERROR(__xludf.DUMMYFUNCTION("""COMPUTED_VALUE"""),94.6)</f>
        <v>94.6</v>
      </c>
      <c r="G194" s="143">
        <f ca="1">IFERROR(__xludf.DUMMYFUNCTION("""COMPUTED_VALUE"""),11402036)</f>
        <v>11402036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IFERROR(__xludf.DUMMYFUNCTION("""COMPUTED_VALUE"""),95.2)</f>
        <v>95.2</v>
      </c>
      <c r="D195" s="141">
        <f ca="1">IFERROR(__xludf.DUMMYFUNCTION("""COMPUTED_VALUE"""),95.39)</f>
        <v>95.39</v>
      </c>
      <c r="E195" s="141">
        <f ca="1">IFERROR(__xludf.DUMMYFUNCTION("""COMPUTED_VALUE"""),95.13)</f>
        <v>95.13</v>
      </c>
      <c r="F195" s="141">
        <f ca="1">IFERROR(__xludf.DUMMYFUNCTION("""COMPUTED_VALUE"""),95.27)</f>
        <v>95.27</v>
      </c>
      <c r="G195" s="143">
        <f ca="1">IFERROR(__xludf.DUMMYFUNCTION("""COMPUTED_VALUE"""),15429993)</f>
        <v>15429993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IFERROR(__xludf.DUMMYFUNCTION("""COMPUTED_VALUE"""),95.54)</f>
        <v>95.54</v>
      </c>
      <c r="D196" s="141">
        <f ca="1">IFERROR(__xludf.DUMMYFUNCTION("""COMPUTED_VALUE"""),95.68)</f>
        <v>95.68</v>
      </c>
      <c r="E196" s="141">
        <f ca="1">IFERROR(__xludf.DUMMYFUNCTION("""COMPUTED_VALUE"""),95.35)</f>
        <v>95.35</v>
      </c>
      <c r="F196" s="141">
        <f ca="1">IFERROR(__xludf.DUMMYFUNCTION("""COMPUTED_VALUE"""),95.44)</f>
        <v>95.44</v>
      </c>
      <c r="G196" s="143">
        <f ca="1">IFERROR(__xludf.DUMMYFUNCTION("""COMPUTED_VALUE"""),18649729)</f>
        <v>18649729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IFERROR(__xludf.DUMMYFUNCTION("""COMPUTED_VALUE"""),95.08)</f>
        <v>95.08</v>
      </c>
      <c r="D197" s="141">
        <f ca="1">IFERROR(__xludf.DUMMYFUNCTION("""COMPUTED_VALUE"""),95.29)</f>
        <v>95.29</v>
      </c>
      <c r="E197" s="141">
        <f ca="1">IFERROR(__xludf.DUMMYFUNCTION("""COMPUTED_VALUE"""),95.02)</f>
        <v>95.02</v>
      </c>
      <c r="F197" s="141">
        <f ca="1">IFERROR(__xludf.DUMMYFUNCTION("""COMPUTED_VALUE"""),95.04)</f>
        <v>95.04</v>
      </c>
      <c r="G197" s="143">
        <f ca="1">IFERROR(__xludf.DUMMYFUNCTION("""COMPUTED_VALUE"""),13557576)</f>
        <v>13557576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IFERROR(__xludf.DUMMYFUNCTION("""COMPUTED_VALUE"""),95.03)</f>
        <v>95.03</v>
      </c>
      <c r="D198" s="141">
        <f ca="1">IFERROR(__xludf.DUMMYFUNCTION("""COMPUTED_VALUE"""),95.39)</f>
        <v>95.39</v>
      </c>
      <c r="E198" s="141">
        <f ca="1">IFERROR(__xludf.DUMMYFUNCTION("""COMPUTED_VALUE"""),95.01)</f>
        <v>95.01</v>
      </c>
      <c r="F198" s="141">
        <f ca="1">IFERROR(__xludf.DUMMYFUNCTION("""COMPUTED_VALUE"""),95.26)</f>
        <v>95.26</v>
      </c>
      <c r="G198" s="143">
        <f ca="1">IFERROR(__xludf.DUMMYFUNCTION("""COMPUTED_VALUE"""),13171749)</f>
        <v>13171749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IFERROR(__xludf.DUMMYFUNCTION("""COMPUTED_VALUE"""),95)</f>
        <v>95</v>
      </c>
      <c r="D199" s="141">
        <f ca="1">IFERROR(__xludf.DUMMYFUNCTION("""COMPUTED_VALUE"""),95.18)</f>
        <v>95.18</v>
      </c>
      <c r="E199" s="141">
        <f ca="1">IFERROR(__xludf.DUMMYFUNCTION("""COMPUTED_VALUE"""),94.91)</f>
        <v>94.91</v>
      </c>
      <c r="F199" s="141">
        <f ca="1">IFERROR(__xludf.DUMMYFUNCTION("""COMPUTED_VALUE"""),95.01)</f>
        <v>95.01</v>
      </c>
      <c r="G199" s="143">
        <f ca="1">IFERROR(__xludf.DUMMYFUNCTION("""COMPUTED_VALUE"""),6104924)</f>
        <v>6104924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IFERROR(__xludf.DUMMYFUNCTION("""COMPUTED_VALUE"""),95.07)</f>
        <v>95.07</v>
      </c>
      <c r="D200" s="141">
        <f ca="1">IFERROR(__xludf.DUMMYFUNCTION("""COMPUTED_VALUE"""),95.29)</f>
        <v>95.29</v>
      </c>
      <c r="E200" s="141">
        <f ca="1">IFERROR(__xludf.DUMMYFUNCTION("""COMPUTED_VALUE"""),94.76)</f>
        <v>94.76</v>
      </c>
      <c r="F200" s="141">
        <f ca="1">IFERROR(__xludf.DUMMYFUNCTION("""COMPUTED_VALUE"""),95.25)</f>
        <v>95.25</v>
      </c>
      <c r="G200" s="143">
        <f ca="1">IFERROR(__xludf.DUMMYFUNCTION("""COMPUTED_VALUE"""),6737450)</f>
        <v>6737450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IFERROR(__xludf.DUMMYFUNCTION("""COMPUTED_VALUE"""),95.72)</f>
        <v>95.72</v>
      </c>
      <c r="D201" s="141">
        <f ca="1">IFERROR(__xludf.DUMMYFUNCTION("""COMPUTED_VALUE"""),95.73)</f>
        <v>95.73</v>
      </c>
      <c r="E201" s="141">
        <f ca="1">IFERROR(__xludf.DUMMYFUNCTION("""COMPUTED_VALUE"""),95.37)</f>
        <v>95.37</v>
      </c>
      <c r="F201" s="141">
        <f ca="1">IFERROR(__xludf.DUMMYFUNCTION("""COMPUTED_VALUE"""),95.46)</f>
        <v>95.46</v>
      </c>
      <c r="G201" s="143">
        <f ca="1">IFERROR(__xludf.DUMMYFUNCTION("""COMPUTED_VALUE"""),12107440)</f>
        <v>12107440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IFERROR(__xludf.DUMMYFUNCTION("""COMPUTED_VALUE"""),95.37)</f>
        <v>95.37</v>
      </c>
      <c r="D202" s="141">
        <f ca="1">IFERROR(__xludf.DUMMYFUNCTION("""COMPUTED_VALUE"""),95.65)</f>
        <v>95.65</v>
      </c>
      <c r="E202" s="141">
        <f ca="1">IFERROR(__xludf.DUMMYFUNCTION("""COMPUTED_VALUE"""),95.23)</f>
        <v>95.23</v>
      </c>
      <c r="F202" s="141">
        <f ca="1">IFERROR(__xludf.DUMMYFUNCTION("""COMPUTED_VALUE"""),95.43)</f>
        <v>95.43</v>
      </c>
      <c r="G202" s="143">
        <f ca="1">IFERROR(__xludf.DUMMYFUNCTION("""COMPUTED_VALUE"""),11066061)</f>
        <v>11066061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IFERROR(__xludf.DUMMYFUNCTION("""COMPUTED_VALUE"""),95.43)</f>
        <v>95.43</v>
      </c>
      <c r="D203" s="141">
        <f ca="1">IFERROR(__xludf.DUMMYFUNCTION("""COMPUTED_VALUE"""),95.46)</f>
        <v>95.46</v>
      </c>
      <c r="E203" s="141">
        <f ca="1">IFERROR(__xludf.DUMMYFUNCTION("""COMPUTED_VALUE"""),95.26)</f>
        <v>95.26</v>
      </c>
      <c r="F203" s="141">
        <f ca="1">IFERROR(__xludf.DUMMYFUNCTION("""COMPUTED_VALUE"""),95.27)</f>
        <v>95.27</v>
      </c>
      <c r="G203" s="143">
        <f ca="1">IFERROR(__xludf.DUMMYFUNCTION("""COMPUTED_VALUE"""),4404823)</f>
        <v>4404823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IFERROR(__xludf.DUMMYFUNCTION("""COMPUTED_VALUE"""),95.27)</f>
        <v>95.27</v>
      </c>
      <c r="D204" s="141">
        <f ca="1">IFERROR(__xludf.DUMMYFUNCTION("""COMPUTED_VALUE"""),95.49)</f>
        <v>95.49</v>
      </c>
      <c r="E204" s="141">
        <f ca="1">IFERROR(__xludf.DUMMYFUNCTION("""COMPUTED_VALUE"""),95.17)</f>
        <v>95.17</v>
      </c>
      <c r="F204" s="141">
        <f ca="1">IFERROR(__xludf.DUMMYFUNCTION("""COMPUTED_VALUE"""),95.48)</f>
        <v>95.48</v>
      </c>
      <c r="G204" s="143">
        <f ca="1">IFERROR(__xludf.DUMMYFUNCTION("""COMPUTED_VALUE"""),4300302)</f>
        <v>4300302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IFERROR(__xludf.DUMMYFUNCTION("""COMPUTED_VALUE"""),95.44)</f>
        <v>95.44</v>
      </c>
      <c r="D205" s="141">
        <f ca="1">IFERROR(__xludf.DUMMYFUNCTION("""COMPUTED_VALUE"""),95.8)</f>
        <v>95.8</v>
      </c>
      <c r="E205" s="141">
        <f ca="1">IFERROR(__xludf.DUMMYFUNCTION("""COMPUTED_VALUE"""),95.41)</f>
        <v>95.41</v>
      </c>
      <c r="F205" s="141">
        <f ca="1">IFERROR(__xludf.DUMMYFUNCTION("""COMPUTED_VALUE"""),95.79)</f>
        <v>95.79</v>
      </c>
      <c r="G205" s="143">
        <f ca="1">IFERROR(__xludf.DUMMYFUNCTION("""COMPUTED_VALUE"""),5239765)</f>
        <v>5239765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IFERROR(__xludf.DUMMYFUNCTION("""COMPUTED_VALUE"""),95.69)</f>
        <v>95.69</v>
      </c>
      <c r="D206" s="141">
        <f ca="1">IFERROR(__xludf.DUMMYFUNCTION("""COMPUTED_VALUE"""),95.7)</f>
        <v>95.7</v>
      </c>
      <c r="E206" s="141">
        <f ca="1">IFERROR(__xludf.DUMMYFUNCTION("""COMPUTED_VALUE"""),95.5)</f>
        <v>95.5</v>
      </c>
      <c r="F206" s="141">
        <f ca="1">IFERROR(__xludf.DUMMYFUNCTION("""COMPUTED_VALUE"""),95.58)</f>
        <v>95.58</v>
      </c>
      <c r="G206" s="143">
        <f ca="1">IFERROR(__xludf.DUMMYFUNCTION("""COMPUTED_VALUE"""),5593168)</f>
        <v>5593168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IFERROR(__xludf.DUMMYFUNCTION("""COMPUTED_VALUE"""),95.67)</f>
        <v>95.67</v>
      </c>
      <c r="D207" s="141">
        <f ca="1">IFERROR(__xludf.DUMMYFUNCTION("""COMPUTED_VALUE"""),95.7)</f>
        <v>95.7</v>
      </c>
      <c r="E207" s="141">
        <f ca="1">IFERROR(__xludf.DUMMYFUNCTION("""COMPUTED_VALUE"""),95.38)</f>
        <v>95.38</v>
      </c>
      <c r="F207" s="141">
        <f ca="1">IFERROR(__xludf.DUMMYFUNCTION("""COMPUTED_VALUE"""),95.41)</f>
        <v>95.41</v>
      </c>
      <c r="G207" s="143">
        <f ca="1">IFERROR(__xludf.DUMMYFUNCTION("""COMPUTED_VALUE"""),6619043)</f>
        <v>6619043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IFERROR(__xludf.DUMMYFUNCTION("""COMPUTED_VALUE"""),95.89)</f>
        <v>95.89</v>
      </c>
      <c r="D208" s="141">
        <f ca="1">IFERROR(__xludf.DUMMYFUNCTION("""COMPUTED_VALUE"""),96.05)</f>
        <v>96.05</v>
      </c>
      <c r="E208" s="141">
        <f ca="1">IFERROR(__xludf.DUMMYFUNCTION("""COMPUTED_VALUE"""),95.84)</f>
        <v>95.84</v>
      </c>
      <c r="F208" s="141">
        <f ca="1">IFERROR(__xludf.DUMMYFUNCTION("""COMPUTED_VALUE"""),95.93)</f>
        <v>95.93</v>
      </c>
      <c r="G208" s="143">
        <f ca="1">IFERROR(__xludf.DUMMYFUNCTION("""COMPUTED_VALUE"""),6913071)</f>
        <v>6913071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IFERROR(__xludf.DUMMYFUNCTION("""COMPUTED_VALUE"""),95.91)</f>
        <v>95.91</v>
      </c>
      <c r="D209" s="141">
        <f ca="1">IFERROR(__xludf.DUMMYFUNCTION("""COMPUTED_VALUE"""),95.92)</f>
        <v>95.92</v>
      </c>
      <c r="E209" s="141">
        <f ca="1">IFERROR(__xludf.DUMMYFUNCTION("""COMPUTED_VALUE"""),95.71)</f>
        <v>95.71</v>
      </c>
      <c r="F209" s="141">
        <f ca="1">IFERROR(__xludf.DUMMYFUNCTION("""COMPUTED_VALUE"""),95.84)</f>
        <v>95.84</v>
      </c>
      <c r="G209" s="143">
        <f ca="1">IFERROR(__xludf.DUMMYFUNCTION("""COMPUTED_VALUE"""),3868869)</f>
        <v>3868869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IFERROR(__xludf.DUMMYFUNCTION("""COMPUTED_VALUE"""),95.69)</f>
        <v>95.69</v>
      </c>
      <c r="D210" s="141">
        <f ca="1">IFERROR(__xludf.DUMMYFUNCTION("""COMPUTED_VALUE"""),95.75)</f>
        <v>95.75</v>
      </c>
      <c r="E210" s="141">
        <f ca="1">IFERROR(__xludf.DUMMYFUNCTION("""COMPUTED_VALUE"""),95.41)</f>
        <v>95.41</v>
      </c>
      <c r="F210" s="141">
        <f ca="1">IFERROR(__xludf.DUMMYFUNCTION("""COMPUTED_VALUE"""),95.42)</f>
        <v>95.42</v>
      </c>
      <c r="G210" s="143">
        <f ca="1">IFERROR(__xludf.DUMMYFUNCTION("""COMPUTED_VALUE"""),4873035)</f>
        <v>4873035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IFERROR(__xludf.DUMMYFUNCTION("""COMPUTED_VALUE"""),95.68)</f>
        <v>95.68</v>
      </c>
      <c r="D211" s="141">
        <f ca="1">IFERROR(__xludf.DUMMYFUNCTION("""COMPUTED_VALUE"""),95.71)</f>
        <v>95.71</v>
      </c>
      <c r="E211" s="141">
        <f ca="1">IFERROR(__xludf.DUMMYFUNCTION("""COMPUTED_VALUE"""),95.5)</f>
        <v>95.5</v>
      </c>
      <c r="F211" s="141">
        <f ca="1">IFERROR(__xludf.DUMMYFUNCTION("""COMPUTED_VALUE"""),95.52)</f>
        <v>95.52</v>
      </c>
      <c r="G211" s="143">
        <f ca="1">IFERROR(__xludf.DUMMYFUNCTION("""COMPUTED_VALUE"""),4121469)</f>
        <v>4121469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IFERROR(__xludf.DUMMYFUNCTION("""COMPUTED_VALUE"""),95.56)</f>
        <v>95.56</v>
      </c>
      <c r="D212" s="141">
        <f ca="1">IFERROR(__xludf.DUMMYFUNCTION("""COMPUTED_VALUE"""),95.63)</f>
        <v>95.63</v>
      </c>
      <c r="E212" s="141">
        <f ca="1">IFERROR(__xludf.DUMMYFUNCTION("""COMPUTED_VALUE"""),95.19)</f>
        <v>95.19</v>
      </c>
      <c r="F212" s="141">
        <f ca="1">IFERROR(__xludf.DUMMYFUNCTION("""COMPUTED_VALUE"""),95.37)</f>
        <v>95.37</v>
      </c>
      <c r="G212" s="143">
        <f ca="1">IFERROR(__xludf.DUMMYFUNCTION("""COMPUTED_VALUE"""),6795570)</f>
        <v>6795570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IFERROR(__xludf.DUMMYFUNCTION("""COMPUTED_VALUE"""),95.29)</f>
        <v>95.29</v>
      </c>
      <c r="D213" s="141">
        <f ca="1">IFERROR(__xludf.DUMMYFUNCTION("""COMPUTED_VALUE"""),95.59)</f>
        <v>95.59</v>
      </c>
      <c r="E213" s="141">
        <f ca="1">IFERROR(__xludf.DUMMYFUNCTION("""COMPUTED_VALUE"""),95.21)</f>
        <v>95.21</v>
      </c>
      <c r="F213" s="141">
        <f ca="1">IFERROR(__xludf.DUMMYFUNCTION("""COMPUTED_VALUE"""),95.56)</f>
        <v>95.56</v>
      </c>
      <c r="G213" s="143">
        <f ca="1">IFERROR(__xludf.DUMMYFUNCTION("""COMPUTED_VALUE"""),5490006)</f>
        <v>5490006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IFERROR(__xludf.DUMMYFUNCTION("""COMPUTED_VALUE"""),95.42)</f>
        <v>95.42</v>
      </c>
      <c r="D214" s="141">
        <f ca="1">IFERROR(__xludf.DUMMYFUNCTION("""COMPUTED_VALUE"""),95.53)</f>
        <v>95.53</v>
      </c>
      <c r="E214" s="141">
        <f ca="1">IFERROR(__xludf.DUMMYFUNCTION("""COMPUTED_VALUE"""),95.28)</f>
        <v>95.28</v>
      </c>
      <c r="F214" s="141">
        <f ca="1">IFERROR(__xludf.DUMMYFUNCTION("""COMPUTED_VALUE"""),95.34)</f>
        <v>95.34</v>
      </c>
      <c r="G214" s="143">
        <f ca="1">IFERROR(__xludf.DUMMYFUNCTION("""COMPUTED_VALUE"""),4055523)</f>
        <v>4055523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IFERROR(__xludf.DUMMYFUNCTION("""COMPUTED_VALUE"""),95.19)</f>
        <v>95.19</v>
      </c>
      <c r="D215" s="141">
        <f ca="1">IFERROR(__xludf.DUMMYFUNCTION("""COMPUTED_VALUE"""),95.27)</f>
        <v>95.27</v>
      </c>
      <c r="E215" s="141">
        <f ca="1">IFERROR(__xludf.DUMMYFUNCTION("""COMPUTED_VALUE"""),95.11)</f>
        <v>95.11</v>
      </c>
      <c r="F215" s="141">
        <f ca="1">IFERROR(__xludf.DUMMYFUNCTION("""COMPUTED_VALUE"""),95.25)</f>
        <v>95.25</v>
      </c>
      <c r="G215" s="143">
        <f ca="1">IFERROR(__xludf.DUMMYFUNCTION("""COMPUTED_VALUE"""),4867691)</f>
        <v>4867691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IFERROR(__xludf.DUMMYFUNCTION("""COMPUTED_VALUE"""),95.03)</f>
        <v>95.03</v>
      </c>
      <c r="D216" s="141">
        <f ca="1">IFERROR(__xludf.DUMMYFUNCTION("""COMPUTED_VALUE"""),95.03)</f>
        <v>95.03</v>
      </c>
      <c r="E216" s="141">
        <f ca="1">IFERROR(__xludf.DUMMYFUNCTION("""COMPUTED_VALUE"""),94.7)</f>
        <v>94.7</v>
      </c>
      <c r="F216" s="141">
        <f ca="1">IFERROR(__xludf.DUMMYFUNCTION("""COMPUTED_VALUE"""),94.8)</f>
        <v>94.8</v>
      </c>
      <c r="G216" s="143">
        <f ca="1">IFERROR(__xludf.DUMMYFUNCTION("""COMPUTED_VALUE"""),7200337)</f>
        <v>7200337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IFERROR(__xludf.DUMMYFUNCTION("""COMPUTED_VALUE"""),95.04)</f>
        <v>95.04</v>
      </c>
      <c r="D217" s="141">
        <f ca="1">IFERROR(__xludf.DUMMYFUNCTION("""COMPUTED_VALUE"""),95.09)</f>
        <v>95.09</v>
      </c>
      <c r="E217" s="141">
        <f ca="1">IFERROR(__xludf.DUMMYFUNCTION("""COMPUTED_VALUE"""),94.87)</f>
        <v>94.87</v>
      </c>
      <c r="F217" s="141">
        <f ca="1">IFERROR(__xludf.DUMMYFUNCTION("""COMPUTED_VALUE"""),94.98)</f>
        <v>94.98</v>
      </c>
      <c r="G217" s="143">
        <f ca="1">IFERROR(__xludf.DUMMYFUNCTION("""COMPUTED_VALUE"""),10382432)</f>
        <v>10382432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IFERROR(__xludf.DUMMYFUNCTION("""COMPUTED_VALUE"""),94.69)</f>
        <v>94.69</v>
      </c>
      <c r="D218" s="141">
        <f ca="1">IFERROR(__xludf.DUMMYFUNCTION("""COMPUTED_VALUE"""),95.04)</f>
        <v>95.04</v>
      </c>
      <c r="E218" s="141">
        <f ca="1">IFERROR(__xludf.DUMMYFUNCTION("""COMPUTED_VALUE"""),94.62)</f>
        <v>94.62</v>
      </c>
      <c r="F218" s="141">
        <f ca="1">IFERROR(__xludf.DUMMYFUNCTION("""COMPUTED_VALUE"""),94.74)</f>
        <v>94.74</v>
      </c>
      <c r="G218" s="143">
        <f ca="1">IFERROR(__xludf.DUMMYFUNCTION("""COMPUTED_VALUE"""),5359322)</f>
        <v>5359322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IFERROR(__xludf.DUMMYFUNCTION("""COMPUTED_VALUE"""),94.59)</f>
        <v>94.59</v>
      </c>
      <c r="D219" s="141">
        <f ca="1">IFERROR(__xludf.DUMMYFUNCTION("""COMPUTED_VALUE"""),94.6)</f>
        <v>94.6</v>
      </c>
      <c r="E219" s="141">
        <f ca="1">IFERROR(__xludf.DUMMYFUNCTION("""COMPUTED_VALUE"""),94.22)</f>
        <v>94.22</v>
      </c>
      <c r="F219" s="141">
        <f ca="1">IFERROR(__xludf.DUMMYFUNCTION("""COMPUTED_VALUE"""),94.39)</f>
        <v>94.39</v>
      </c>
      <c r="G219" s="143">
        <f ca="1">IFERROR(__xludf.DUMMYFUNCTION("""COMPUTED_VALUE"""),6594298)</f>
        <v>6594298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IFERROR(__xludf.DUMMYFUNCTION("""COMPUTED_VALUE"""),94.5)</f>
        <v>94.5</v>
      </c>
      <c r="D220" s="141">
        <f ca="1">IFERROR(__xludf.DUMMYFUNCTION("""COMPUTED_VALUE"""),94.64)</f>
        <v>94.64</v>
      </c>
      <c r="E220" s="141">
        <f ca="1">IFERROR(__xludf.DUMMYFUNCTION("""COMPUTED_VALUE"""),94.47)</f>
        <v>94.47</v>
      </c>
      <c r="F220" s="141">
        <f ca="1">IFERROR(__xludf.DUMMYFUNCTION("""COMPUTED_VALUE"""),94.53)</f>
        <v>94.53</v>
      </c>
      <c r="G220" s="143">
        <f ca="1">IFERROR(__xludf.DUMMYFUNCTION("""COMPUTED_VALUE"""),11281931)</f>
        <v>11281931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IFERROR(__xludf.DUMMYFUNCTION("""COMPUTED_VALUE"""),94.93)</f>
        <v>94.93</v>
      </c>
      <c r="D221" s="141">
        <f ca="1">IFERROR(__xludf.DUMMYFUNCTION("""COMPUTED_VALUE"""),95.03)</f>
        <v>95.03</v>
      </c>
      <c r="E221" s="141">
        <f ca="1">IFERROR(__xludf.DUMMYFUNCTION("""COMPUTED_VALUE"""),94.86)</f>
        <v>94.86</v>
      </c>
      <c r="F221" s="141">
        <f ca="1">IFERROR(__xludf.DUMMYFUNCTION("""COMPUTED_VALUE"""),95)</f>
        <v>95</v>
      </c>
      <c r="G221" s="143">
        <f ca="1">IFERROR(__xludf.DUMMYFUNCTION("""COMPUTED_VALUE"""),9031176)</f>
        <v>9031176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IFERROR(__xludf.DUMMYFUNCTION("""COMPUTED_VALUE"""),95.18)</f>
        <v>95.18</v>
      </c>
      <c r="D222" s="141">
        <f ca="1">IFERROR(__xludf.DUMMYFUNCTION("""COMPUTED_VALUE"""),95.18)</f>
        <v>95.18</v>
      </c>
      <c r="E222" s="141">
        <f ca="1">IFERROR(__xludf.DUMMYFUNCTION("""COMPUTED_VALUE"""),94.69)</f>
        <v>94.69</v>
      </c>
      <c r="F222" s="141">
        <f ca="1">IFERROR(__xludf.DUMMYFUNCTION("""COMPUTED_VALUE"""),94.71)</f>
        <v>94.71</v>
      </c>
      <c r="G222" s="143">
        <f ca="1">IFERROR(__xludf.DUMMYFUNCTION("""COMPUTED_VALUE"""),5610063)</f>
        <v>5610063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IFERROR(__xludf.DUMMYFUNCTION("""COMPUTED_VALUE"""),95.04)</f>
        <v>95.04</v>
      </c>
      <c r="D223" s="141">
        <f ca="1">IFERROR(__xludf.DUMMYFUNCTION("""COMPUTED_VALUE"""),95.09)</f>
        <v>95.09</v>
      </c>
      <c r="E223" s="141">
        <f ca="1">IFERROR(__xludf.DUMMYFUNCTION("""COMPUTED_VALUE"""),94.92)</f>
        <v>94.92</v>
      </c>
      <c r="F223" s="141">
        <f ca="1">IFERROR(__xludf.DUMMYFUNCTION("""COMPUTED_VALUE"""),94.96)</f>
        <v>94.96</v>
      </c>
      <c r="G223" s="143">
        <f ca="1">IFERROR(__xludf.DUMMYFUNCTION("""COMPUTED_VALUE"""),3215112)</f>
        <v>3215112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IFERROR(__xludf.DUMMYFUNCTION("""COMPUTED_VALUE"""),94.86)</f>
        <v>94.86</v>
      </c>
      <c r="D224" s="141">
        <f ca="1">IFERROR(__xludf.DUMMYFUNCTION("""COMPUTED_VALUE"""),94.88)</f>
        <v>94.88</v>
      </c>
      <c r="E224" s="141">
        <f ca="1">IFERROR(__xludf.DUMMYFUNCTION("""COMPUTED_VALUE"""),94.64)</f>
        <v>94.64</v>
      </c>
      <c r="F224" s="141">
        <f ca="1">IFERROR(__xludf.DUMMYFUNCTION("""COMPUTED_VALUE"""),94.64)</f>
        <v>94.64</v>
      </c>
      <c r="G224" s="143">
        <f ca="1">IFERROR(__xludf.DUMMYFUNCTION("""COMPUTED_VALUE"""),4025429)</f>
        <v>4025429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IFERROR(__xludf.DUMMYFUNCTION("""COMPUTED_VALUE"""),94.42)</f>
        <v>94.42</v>
      </c>
      <c r="D225" s="141">
        <f ca="1">IFERROR(__xludf.DUMMYFUNCTION("""COMPUTED_VALUE"""),94.43)</f>
        <v>94.43</v>
      </c>
      <c r="E225" s="141">
        <f ca="1">IFERROR(__xludf.DUMMYFUNCTION("""COMPUTED_VALUE"""),94.3)</f>
        <v>94.3</v>
      </c>
      <c r="F225" s="141">
        <f ca="1">IFERROR(__xludf.DUMMYFUNCTION("""COMPUTED_VALUE"""),94.32)</f>
        <v>94.32</v>
      </c>
      <c r="G225" s="143">
        <f ca="1">IFERROR(__xludf.DUMMYFUNCTION("""COMPUTED_VALUE"""),5686742)</f>
        <v>5686742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IFERROR(__xludf.DUMMYFUNCTION("""COMPUTED_VALUE"""),94.3)</f>
        <v>94.3</v>
      </c>
      <c r="D226" s="141">
        <f ca="1">IFERROR(__xludf.DUMMYFUNCTION("""COMPUTED_VALUE"""),94.38)</f>
        <v>94.38</v>
      </c>
      <c r="E226" s="141">
        <f ca="1">IFERROR(__xludf.DUMMYFUNCTION("""COMPUTED_VALUE"""),94.11)</f>
        <v>94.11</v>
      </c>
      <c r="F226" s="141">
        <f ca="1">IFERROR(__xludf.DUMMYFUNCTION("""COMPUTED_VALUE"""),94.32)</f>
        <v>94.32</v>
      </c>
      <c r="G226" s="143">
        <f ca="1">IFERROR(__xludf.DUMMYFUNCTION("""COMPUTED_VALUE"""),3459151)</f>
        <v>3459151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IFERROR(__xludf.DUMMYFUNCTION("""COMPUTED_VALUE"""),94.54)</f>
        <v>94.54</v>
      </c>
      <c r="D227" s="141">
        <f ca="1">IFERROR(__xludf.DUMMYFUNCTION("""COMPUTED_VALUE"""),94.56)</f>
        <v>94.56</v>
      </c>
      <c r="E227" s="141">
        <f ca="1">IFERROR(__xludf.DUMMYFUNCTION("""COMPUTED_VALUE"""),94.25)</f>
        <v>94.25</v>
      </c>
      <c r="F227" s="141">
        <f ca="1">IFERROR(__xludf.DUMMYFUNCTION("""COMPUTED_VALUE"""),94.26)</f>
        <v>94.26</v>
      </c>
      <c r="G227" s="143">
        <f ca="1">IFERROR(__xludf.DUMMYFUNCTION("""COMPUTED_VALUE"""),5167327)</f>
        <v>5167327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IFERROR(__xludf.DUMMYFUNCTION("""COMPUTED_VALUE"""),93.72)</f>
        <v>93.72</v>
      </c>
      <c r="D228" s="141">
        <f ca="1">IFERROR(__xludf.DUMMYFUNCTION("""COMPUTED_VALUE"""),93.75)</f>
        <v>93.75</v>
      </c>
      <c r="E228" s="141">
        <f ca="1">IFERROR(__xludf.DUMMYFUNCTION("""COMPUTED_VALUE"""),93.49)</f>
        <v>93.49</v>
      </c>
      <c r="F228" s="141">
        <f ca="1">IFERROR(__xludf.DUMMYFUNCTION("""COMPUTED_VALUE"""),93.51)</f>
        <v>93.51</v>
      </c>
      <c r="G228" s="143">
        <f ca="1">IFERROR(__xludf.DUMMYFUNCTION("""COMPUTED_VALUE"""),12498686)</f>
        <v>12498686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IFERROR(__xludf.DUMMYFUNCTION("""COMPUTED_VALUE"""),93.62)</f>
        <v>93.62</v>
      </c>
      <c r="D229" s="141">
        <f ca="1">IFERROR(__xludf.DUMMYFUNCTION("""COMPUTED_VALUE"""),93.75)</f>
        <v>93.75</v>
      </c>
      <c r="E229" s="141">
        <f ca="1">IFERROR(__xludf.DUMMYFUNCTION("""COMPUTED_VALUE"""),93.34)</f>
        <v>93.34</v>
      </c>
      <c r="F229" s="141">
        <f ca="1">IFERROR(__xludf.DUMMYFUNCTION("""COMPUTED_VALUE"""),93.47)</f>
        <v>93.47</v>
      </c>
      <c r="G229" s="143">
        <f ca="1">IFERROR(__xludf.DUMMYFUNCTION("""COMPUTED_VALUE"""),8422905)</f>
        <v>8422905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IFERROR(__xludf.DUMMYFUNCTION("""COMPUTED_VALUE"""),93.13)</f>
        <v>93.13</v>
      </c>
      <c r="D230" s="141">
        <f ca="1">IFERROR(__xludf.DUMMYFUNCTION("""COMPUTED_VALUE"""),93.27)</f>
        <v>93.27</v>
      </c>
      <c r="E230" s="141">
        <f ca="1">IFERROR(__xludf.DUMMYFUNCTION("""COMPUTED_VALUE"""),92.95)</f>
        <v>92.95</v>
      </c>
      <c r="F230" s="141">
        <f ca="1">IFERROR(__xludf.DUMMYFUNCTION("""COMPUTED_VALUE"""),93.11)</f>
        <v>93.11</v>
      </c>
      <c r="G230" s="143">
        <f ca="1">IFERROR(__xludf.DUMMYFUNCTION("""COMPUTED_VALUE"""),10069810)</f>
        <v>10069810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IFERROR(__xludf.DUMMYFUNCTION("""COMPUTED_VALUE"""),93.17)</f>
        <v>93.17</v>
      </c>
      <c r="D231" s="141">
        <f ca="1">IFERROR(__xludf.DUMMYFUNCTION("""COMPUTED_VALUE"""),93.81)</f>
        <v>93.81</v>
      </c>
      <c r="E231" s="141">
        <f ca="1">IFERROR(__xludf.DUMMYFUNCTION("""COMPUTED_VALUE"""),93.15)</f>
        <v>93.15</v>
      </c>
      <c r="F231" s="141">
        <f ca="1">IFERROR(__xludf.DUMMYFUNCTION("""COMPUTED_VALUE"""),93.74)</f>
        <v>93.74</v>
      </c>
      <c r="G231" s="143">
        <f ca="1">IFERROR(__xludf.DUMMYFUNCTION("""COMPUTED_VALUE"""),14892731)</f>
        <v>14892731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IFERROR(__xludf.DUMMYFUNCTION("""COMPUTED_VALUE"""),93.47)</f>
        <v>93.47</v>
      </c>
      <c r="D232" s="141">
        <f ca="1">IFERROR(__xludf.DUMMYFUNCTION("""COMPUTED_VALUE"""),93.84)</f>
        <v>93.84</v>
      </c>
      <c r="E232" s="141">
        <f ca="1">IFERROR(__xludf.DUMMYFUNCTION("""COMPUTED_VALUE"""),93.31)</f>
        <v>93.31</v>
      </c>
      <c r="F232" s="141">
        <f ca="1">IFERROR(__xludf.DUMMYFUNCTION("""COMPUTED_VALUE"""),93.8)</f>
        <v>93.8</v>
      </c>
      <c r="G232" s="143">
        <f ca="1">IFERROR(__xludf.DUMMYFUNCTION("""COMPUTED_VALUE"""),7762271)</f>
        <v>7762271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IFERROR(__xludf.DUMMYFUNCTION("""COMPUTED_VALUE"""),93.96)</f>
        <v>93.96</v>
      </c>
      <c r="D233" s="141">
        <f ca="1">IFERROR(__xludf.DUMMYFUNCTION("""COMPUTED_VALUE"""),93.99)</f>
        <v>93.99</v>
      </c>
      <c r="E233" s="141">
        <f ca="1">IFERROR(__xludf.DUMMYFUNCTION("""COMPUTED_VALUE"""),93.63)</f>
        <v>93.63</v>
      </c>
      <c r="F233" s="141">
        <f ca="1">IFERROR(__xludf.DUMMYFUNCTION("""COMPUTED_VALUE"""),93.88)</f>
        <v>93.88</v>
      </c>
      <c r="G233" s="143">
        <f ca="1">IFERROR(__xludf.DUMMYFUNCTION("""COMPUTED_VALUE"""),6322608)</f>
        <v>6322608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IFERROR(__xludf.DUMMYFUNCTION("""COMPUTED_VALUE"""),94.34)</f>
        <v>94.34</v>
      </c>
      <c r="D234" s="141">
        <f ca="1">IFERROR(__xludf.DUMMYFUNCTION("""COMPUTED_VALUE"""),94.35)</f>
        <v>94.35</v>
      </c>
      <c r="E234" s="141">
        <f ca="1">IFERROR(__xludf.DUMMYFUNCTION("""COMPUTED_VALUE"""),94.13)</f>
        <v>94.13</v>
      </c>
      <c r="F234" s="141">
        <f ca="1">IFERROR(__xludf.DUMMYFUNCTION("""COMPUTED_VALUE"""),94.28)</f>
        <v>94.28</v>
      </c>
      <c r="G234" s="143">
        <f ca="1">IFERROR(__xludf.DUMMYFUNCTION("""COMPUTED_VALUE"""),5494478)</f>
        <v>5494478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IFERROR(__xludf.DUMMYFUNCTION("""COMPUTED_VALUE"""),94.35)</f>
        <v>94.35</v>
      </c>
      <c r="D235" s="141">
        <f ca="1">IFERROR(__xludf.DUMMYFUNCTION("""COMPUTED_VALUE"""),94.48)</f>
        <v>94.48</v>
      </c>
      <c r="E235" s="141">
        <f ca="1">IFERROR(__xludf.DUMMYFUNCTION("""COMPUTED_VALUE"""),94.29)</f>
        <v>94.29</v>
      </c>
      <c r="F235" s="141">
        <f ca="1">IFERROR(__xludf.DUMMYFUNCTION("""COMPUTED_VALUE"""),94.32)</f>
        <v>94.32</v>
      </c>
      <c r="G235" s="143">
        <f ca="1">IFERROR(__xludf.DUMMYFUNCTION("""COMPUTED_VALUE"""),5959163)</f>
        <v>5959163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IFERROR(__xludf.DUMMYFUNCTION("""COMPUTED_VALUE"""),94.35)</f>
        <v>94.35</v>
      </c>
      <c r="D236" s="141">
        <f ca="1">IFERROR(__xludf.DUMMYFUNCTION("""COMPUTED_VALUE"""),94.67)</f>
        <v>94.67</v>
      </c>
      <c r="E236" s="141">
        <f ca="1">IFERROR(__xludf.DUMMYFUNCTION("""COMPUTED_VALUE"""),94.29)</f>
        <v>94.29</v>
      </c>
      <c r="F236" s="141">
        <f ca="1">IFERROR(__xludf.DUMMYFUNCTION("""COMPUTED_VALUE"""),94.54)</f>
        <v>94.54</v>
      </c>
      <c r="G236" s="143">
        <f ca="1">IFERROR(__xludf.DUMMYFUNCTION("""COMPUTED_VALUE"""),5938371)</f>
        <v>5938371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IFERROR(__xludf.DUMMYFUNCTION("""COMPUTED_VALUE"""),94.64)</f>
        <v>94.64</v>
      </c>
      <c r="D237" s="141">
        <f ca="1">IFERROR(__xludf.DUMMYFUNCTION("""COMPUTED_VALUE"""),94.74)</f>
        <v>94.74</v>
      </c>
      <c r="E237" s="141">
        <f ca="1">IFERROR(__xludf.DUMMYFUNCTION("""COMPUTED_VALUE"""),94.53)</f>
        <v>94.53</v>
      </c>
      <c r="F237" s="141">
        <f ca="1">IFERROR(__xludf.DUMMYFUNCTION("""COMPUTED_VALUE"""),94.65)</f>
        <v>94.65</v>
      </c>
      <c r="G237" s="143">
        <f ca="1">IFERROR(__xludf.DUMMYFUNCTION("""COMPUTED_VALUE"""),9639851)</f>
        <v>9639851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IFERROR(__xludf.DUMMYFUNCTION("""COMPUTED_VALUE"""),93.91)</f>
        <v>93.91</v>
      </c>
      <c r="D238" s="141">
        <f ca="1">IFERROR(__xludf.DUMMYFUNCTION("""COMPUTED_VALUE"""),94.2)</f>
        <v>94.2</v>
      </c>
      <c r="E238" s="141">
        <f ca="1">IFERROR(__xludf.DUMMYFUNCTION("""COMPUTED_VALUE"""),93.81)</f>
        <v>93.81</v>
      </c>
      <c r="F238" s="141">
        <f ca="1">IFERROR(__xludf.DUMMYFUNCTION("""COMPUTED_VALUE"""),94.17)</f>
        <v>94.17</v>
      </c>
      <c r="G238" s="143">
        <f ca="1">IFERROR(__xludf.DUMMYFUNCTION("""COMPUTED_VALUE"""),8054120)</f>
        <v>8054120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IFERROR(__xludf.DUMMYFUNCTION("""COMPUTED_VALUE"""),94.33)</f>
        <v>94.33</v>
      </c>
      <c r="D239" s="141">
        <f ca="1">IFERROR(__xludf.DUMMYFUNCTION("""COMPUTED_VALUE"""),94.33)</f>
        <v>94.33</v>
      </c>
      <c r="E239" s="141">
        <f ca="1">IFERROR(__xludf.DUMMYFUNCTION("""COMPUTED_VALUE"""),94.16)</f>
        <v>94.16</v>
      </c>
      <c r="F239" s="141">
        <f ca="1">IFERROR(__xludf.DUMMYFUNCTION("""COMPUTED_VALUE"""),94.24)</f>
        <v>94.24</v>
      </c>
      <c r="G239" s="143">
        <f ca="1">IFERROR(__xludf.DUMMYFUNCTION("""COMPUTED_VALUE"""),15426562)</f>
        <v>15426562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IFERROR(__xludf.DUMMYFUNCTION("""COMPUTED_VALUE"""),93.99)</f>
        <v>93.99</v>
      </c>
      <c r="D240" s="141">
        <f ca="1">IFERROR(__xludf.DUMMYFUNCTION("""COMPUTED_VALUE"""),94.1)</f>
        <v>94.1</v>
      </c>
      <c r="E240" s="141">
        <f ca="1">IFERROR(__xludf.DUMMYFUNCTION("""COMPUTED_VALUE"""),93.91)</f>
        <v>93.91</v>
      </c>
      <c r="F240" s="141">
        <f ca="1">IFERROR(__xludf.DUMMYFUNCTION("""COMPUTED_VALUE"""),94)</f>
        <v>94</v>
      </c>
      <c r="G240" s="143">
        <f ca="1">IFERROR(__xludf.DUMMYFUNCTION("""COMPUTED_VALUE"""),7056524)</f>
        <v>7056524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IFERROR(__xludf.DUMMYFUNCTION("""COMPUTED_VALUE"""),94.2)</f>
        <v>94.2</v>
      </c>
      <c r="D241" s="141">
        <f ca="1">IFERROR(__xludf.DUMMYFUNCTION("""COMPUTED_VALUE"""),94.28)</f>
        <v>94.28</v>
      </c>
      <c r="E241" s="141">
        <f ca="1">IFERROR(__xludf.DUMMYFUNCTION("""COMPUTED_VALUE"""),94.09)</f>
        <v>94.09</v>
      </c>
      <c r="F241" s="141">
        <f ca="1">IFERROR(__xludf.DUMMYFUNCTION("""COMPUTED_VALUE"""),94.12)</f>
        <v>94.12</v>
      </c>
      <c r="G241" s="143">
        <f ca="1">IFERROR(__xludf.DUMMYFUNCTION("""COMPUTED_VALUE"""),4417855)</f>
        <v>4417855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IFERROR(__xludf.DUMMYFUNCTION("""COMPUTED_VALUE"""),93.71)</f>
        <v>93.71</v>
      </c>
      <c r="D242" s="141">
        <f ca="1">IFERROR(__xludf.DUMMYFUNCTION("""COMPUTED_VALUE"""),93.79)</f>
        <v>93.79</v>
      </c>
      <c r="E242" s="141">
        <f ca="1">IFERROR(__xludf.DUMMYFUNCTION("""COMPUTED_VALUE"""),93.59)</f>
        <v>93.59</v>
      </c>
      <c r="F242" s="141">
        <f ca="1">IFERROR(__xludf.DUMMYFUNCTION("""COMPUTED_VALUE"""),93.62)</f>
        <v>93.62</v>
      </c>
      <c r="G242" s="143">
        <f ca="1">IFERROR(__xludf.DUMMYFUNCTION("""COMPUTED_VALUE"""),9881047)</f>
        <v>9881047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IFERROR(__xludf.DUMMYFUNCTION("""COMPUTED_VALUE"""),93.8)</f>
        <v>93.8</v>
      </c>
      <c r="D243" s="141">
        <f ca="1">IFERROR(__xludf.DUMMYFUNCTION("""COMPUTED_VALUE"""),93.86)</f>
        <v>93.86</v>
      </c>
      <c r="E243" s="141">
        <f ca="1">IFERROR(__xludf.DUMMYFUNCTION("""COMPUTED_VALUE"""),93.52)</f>
        <v>93.52</v>
      </c>
      <c r="F243" s="141">
        <f ca="1">IFERROR(__xludf.DUMMYFUNCTION("""COMPUTED_VALUE"""),93.52)</f>
        <v>93.52</v>
      </c>
      <c r="G243" s="143">
        <f ca="1">IFERROR(__xludf.DUMMYFUNCTION("""COMPUTED_VALUE"""),5352248)</f>
        <v>5352248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IFERROR(__xludf.DUMMYFUNCTION("""COMPUTED_VALUE"""),93.71)</f>
        <v>93.71</v>
      </c>
      <c r="D244" s="141">
        <f ca="1">IFERROR(__xludf.DUMMYFUNCTION("""COMPUTED_VALUE"""),93.85)</f>
        <v>93.85</v>
      </c>
      <c r="E244" s="141">
        <f ca="1">IFERROR(__xludf.DUMMYFUNCTION("""COMPUTED_VALUE"""),93.61)</f>
        <v>93.61</v>
      </c>
      <c r="F244" s="141">
        <f ca="1">IFERROR(__xludf.DUMMYFUNCTION("""COMPUTED_VALUE"""),93.78)</f>
        <v>93.78</v>
      </c>
      <c r="G244" s="143">
        <f ca="1">IFERROR(__xludf.DUMMYFUNCTION("""COMPUTED_VALUE"""),8007261)</f>
        <v>8007261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IFERROR(__xludf.DUMMYFUNCTION("""COMPUTED_VALUE"""),93.82)</f>
        <v>93.82</v>
      </c>
      <c r="D245" s="141">
        <f ca="1">IFERROR(__xludf.DUMMYFUNCTION("""COMPUTED_VALUE"""),93.9)</f>
        <v>93.9</v>
      </c>
      <c r="E245" s="141">
        <f ca="1">IFERROR(__xludf.DUMMYFUNCTION("""COMPUTED_VALUE"""),93.6)</f>
        <v>93.6</v>
      </c>
      <c r="F245" s="141">
        <f ca="1">IFERROR(__xludf.DUMMYFUNCTION("""COMPUTED_VALUE"""),93.69)</f>
        <v>93.69</v>
      </c>
      <c r="G245" s="143">
        <f ca="1">IFERROR(__xludf.DUMMYFUNCTION("""COMPUTED_VALUE"""),5804852)</f>
        <v>5804852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IFERROR(__xludf.DUMMYFUNCTION("""COMPUTED_VALUE"""),93.8)</f>
        <v>93.8</v>
      </c>
      <c r="D246" s="141">
        <f ca="1">IFERROR(__xludf.DUMMYFUNCTION("""COMPUTED_VALUE"""),94.38)</f>
        <v>94.38</v>
      </c>
      <c r="E246" s="141">
        <f ca="1">IFERROR(__xludf.DUMMYFUNCTION("""COMPUTED_VALUE"""),93.75)</f>
        <v>93.75</v>
      </c>
      <c r="F246" s="141">
        <f ca="1">IFERROR(__xludf.DUMMYFUNCTION("""COMPUTED_VALUE"""),94.34)</f>
        <v>94.34</v>
      </c>
      <c r="G246" s="143">
        <f ca="1">IFERROR(__xludf.DUMMYFUNCTION("""COMPUTED_VALUE"""),11281600)</f>
        <v>11281600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IFERROR(__xludf.DUMMYFUNCTION("""COMPUTED_VALUE"""),94.16)</f>
        <v>94.16</v>
      </c>
      <c r="D247" s="141">
        <f ca="1">IFERROR(__xludf.DUMMYFUNCTION("""COMPUTED_VALUE"""),94.27)</f>
        <v>94.27</v>
      </c>
      <c r="E247" s="141">
        <f ca="1">IFERROR(__xludf.DUMMYFUNCTION("""COMPUTED_VALUE"""),94.02)</f>
        <v>94.02</v>
      </c>
      <c r="F247" s="141">
        <f ca="1">IFERROR(__xludf.DUMMYFUNCTION("""COMPUTED_VALUE"""),94.18)</f>
        <v>94.18</v>
      </c>
      <c r="G247" s="143">
        <f ca="1">IFERROR(__xludf.DUMMYFUNCTION("""COMPUTED_VALUE"""),8863581)</f>
        <v>8863581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IFERROR(__xludf.DUMMYFUNCTION("""COMPUTED_VALUE"""),94.39)</f>
        <v>94.39</v>
      </c>
      <c r="D248" s="141">
        <f ca="1">IFERROR(__xludf.DUMMYFUNCTION("""COMPUTED_VALUE"""),94.47)</f>
        <v>94.47</v>
      </c>
      <c r="E248" s="141">
        <f ca="1">IFERROR(__xludf.DUMMYFUNCTION("""COMPUTED_VALUE"""),94.26)</f>
        <v>94.26</v>
      </c>
      <c r="F248" s="141">
        <f ca="1">IFERROR(__xludf.DUMMYFUNCTION("""COMPUTED_VALUE"""),94.28)</f>
        <v>94.28</v>
      </c>
      <c r="G248" s="143">
        <f ca="1">IFERROR(__xludf.DUMMYFUNCTION("""COMPUTED_VALUE"""),3787574)</f>
        <v>3787574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IFERROR(__xludf.DUMMYFUNCTION("""COMPUTED_VALUE"""),94.38)</f>
        <v>94.38</v>
      </c>
      <c r="D249" s="141">
        <f ca="1">IFERROR(__xludf.DUMMYFUNCTION("""COMPUTED_VALUE"""),94.62)</f>
        <v>94.62</v>
      </c>
      <c r="E249" s="141">
        <f ca="1">IFERROR(__xludf.DUMMYFUNCTION("""COMPUTED_VALUE"""),94.35)</f>
        <v>94.35</v>
      </c>
      <c r="F249" s="141">
        <f ca="1">IFERROR(__xludf.DUMMYFUNCTION("""COMPUTED_VALUE"""),94.52)</f>
        <v>94.52</v>
      </c>
      <c r="G249" s="143">
        <f ca="1">IFERROR(__xludf.DUMMYFUNCTION("""COMPUTED_VALUE"""),4675052)</f>
        <v>4675052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IFERROR(__xludf.DUMMYFUNCTION("""COMPUTED_VALUE"""),94.53)</f>
        <v>94.53</v>
      </c>
      <c r="D250" s="141">
        <f ca="1">IFERROR(__xludf.DUMMYFUNCTION("""COMPUTED_VALUE"""),94.58)</f>
        <v>94.58</v>
      </c>
      <c r="E250" s="141">
        <f ca="1">IFERROR(__xludf.DUMMYFUNCTION("""COMPUTED_VALUE"""),94.01)</f>
        <v>94.01</v>
      </c>
      <c r="F250" s="141">
        <f ca="1">IFERROR(__xludf.DUMMYFUNCTION("""COMPUTED_VALUE"""),94.02)</f>
        <v>94.02</v>
      </c>
      <c r="G250" s="143">
        <f ca="1">IFERROR(__xludf.DUMMYFUNCTION("""COMPUTED_VALUE"""),11508273)</f>
        <v>11508273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IFERROR(__xludf.DUMMYFUNCTION("""COMPUTED_VALUE"""),94.43)</f>
        <v>94.43</v>
      </c>
      <c r="D251" s="141">
        <f ca="1">IFERROR(__xludf.DUMMYFUNCTION("""COMPUTED_VALUE"""),94.6)</f>
        <v>94.6</v>
      </c>
      <c r="E251" s="141">
        <f ca="1">IFERROR(__xludf.DUMMYFUNCTION("""COMPUTED_VALUE"""),94.33)</f>
        <v>94.33</v>
      </c>
      <c r="F251" s="141">
        <f ca="1">IFERROR(__xludf.DUMMYFUNCTION("""COMPUTED_VALUE"""),94.36)</f>
        <v>94.36</v>
      </c>
      <c r="G251" s="143">
        <f ca="1">IFERROR(__xludf.DUMMYFUNCTION("""COMPUTED_VALUE"""),6836463)</f>
        <v>6836463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IFERROR(__xludf.DUMMYFUNCTION("""COMPUTED_VALUE"""),94.11)</f>
        <v>94.11</v>
      </c>
      <c r="D252" s="141">
        <f ca="1">IFERROR(__xludf.DUMMYFUNCTION("""COMPUTED_VALUE"""),94.13)</f>
        <v>94.13</v>
      </c>
      <c r="E252" s="141">
        <f ca="1">IFERROR(__xludf.DUMMYFUNCTION("""COMPUTED_VALUE"""),93.97)</f>
        <v>93.97</v>
      </c>
      <c r="F252" s="141">
        <f ca="1">IFERROR(__xludf.DUMMYFUNCTION("""COMPUTED_VALUE"""),94)</f>
        <v>94</v>
      </c>
      <c r="G252" s="143">
        <f ca="1">IFERROR(__xludf.DUMMYFUNCTION("""COMPUTED_VALUE"""),4572484)</f>
        <v>4572484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IFERROR(__xludf.DUMMYFUNCTION("""COMPUTED_VALUE"""),94.16)</f>
        <v>94.16</v>
      </c>
      <c r="D253" s="141">
        <f ca="1">IFERROR(__xludf.DUMMYFUNCTION("""COMPUTED_VALUE"""),94.26)</f>
        <v>94.26</v>
      </c>
      <c r="E253" s="141">
        <f ca="1">IFERROR(__xludf.DUMMYFUNCTION("""COMPUTED_VALUE"""),94.09)</f>
        <v>94.09</v>
      </c>
      <c r="F253" s="141">
        <f ca="1">IFERROR(__xludf.DUMMYFUNCTION("""COMPUTED_VALUE"""),94.12)</f>
        <v>94.12</v>
      </c>
      <c r="G253" s="143">
        <f ca="1">IFERROR(__xludf.DUMMYFUNCTION("""COMPUTED_VALUE"""),6504621)</f>
        <v>6504621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IFERROR(__xludf.DUMMYFUNCTION("""COMPUTED_VALUE"""),94.57)</f>
        <v>94.57</v>
      </c>
      <c r="D254" s="141">
        <f ca="1">IFERROR(__xludf.DUMMYFUNCTION("""COMPUTED_VALUE"""),94.78)</f>
        <v>94.78</v>
      </c>
      <c r="E254" s="141">
        <f ca="1">IFERROR(__xludf.DUMMYFUNCTION("""COMPUTED_VALUE"""),94.56)</f>
        <v>94.56</v>
      </c>
      <c r="F254" s="141">
        <f ca="1">IFERROR(__xludf.DUMMYFUNCTION("""COMPUTED_VALUE"""),94.73)</f>
        <v>94.73</v>
      </c>
      <c r="G254" s="143">
        <f ca="1">IFERROR(__xludf.DUMMYFUNCTION("""COMPUTED_VALUE"""),5179932)</f>
        <v>5179932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IFERROR(__xludf.DUMMYFUNCTION("""COMPUTED_VALUE"""),94.86)</f>
        <v>94.86</v>
      </c>
      <c r="D255" s="141">
        <f ca="1">IFERROR(__xludf.DUMMYFUNCTION("""COMPUTED_VALUE"""),95.02)</f>
        <v>95.02</v>
      </c>
      <c r="E255" s="141">
        <f ca="1">IFERROR(__xludf.DUMMYFUNCTION("""COMPUTED_VALUE"""),94.78)</f>
        <v>94.78</v>
      </c>
      <c r="F255" s="141">
        <f ca="1">IFERROR(__xludf.DUMMYFUNCTION("""COMPUTED_VALUE"""),94.79)</f>
        <v>94.79</v>
      </c>
      <c r="G255" s="143">
        <f ca="1">IFERROR(__xludf.DUMMYFUNCTION("""COMPUTED_VALUE"""),5630589)</f>
        <v>5630589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IFERROR(__xludf.DUMMYFUNCTION("""COMPUTED_VALUE"""),94.83)</f>
        <v>94.83</v>
      </c>
      <c r="D256" s="141">
        <f ca="1">IFERROR(__xludf.DUMMYFUNCTION("""COMPUTED_VALUE"""),95.08)</f>
        <v>95.08</v>
      </c>
      <c r="E256" s="141">
        <f ca="1">IFERROR(__xludf.DUMMYFUNCTION("""COMPUTED_VALUE"""),94.83)</f>
        <v>94.83</v>
      </c>
      <c r="F256" s="141">
        <f ca="1">IFERROR(__xludf.DUMMYFUNCTION("""COMPUTED_VALUE"""),95.03)</f>
        <v>95.03</v>
      </c>
      <c r="G256" s="143">
        <f ca="1">IFERROR(__xludf.DUMMYFUNCTION("""COMPUTED_VALUE"""),5584092)</f>
        <v>5584092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IFERROR(__xludf.DUMMYFUNCTION("""COMPUTED_VALUE"""),94.98)</f>
        <v>94.98</v>
      </c>
      <c r="D257" s="141">
        <f ca="1">IFERROR(__xludf.DUMMYFUNCTION("""COMPUTED_VALUE"""),95.07)</f>
        <v>95.07</v>
      </c>
      <c r="E257" s="141">
        <f ca="1">IFERROR(__xludf.DUMMYFUNCTION("""COMPUTED_VALUE"""),94.93)</f>
        <v>94.93</v>
      </c>
      <c r="F257" s="141">
        <f ca="1">IFERROR(__xludf.DUMMYFUNCTION("""COMPUTED_VALUE"""),95.06)</f>
        <v>95.06</v>
      </c>
      <c r="G257" s="143">
        <f ca="1">IFERROR(__xludf.DUMMYFUNCTION("""COMPUTED_VALUE"""),5901721)</f>
        <v>5901721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IFERROR(__xludf.DUMMYFUNCTION("""COMPUTED_VALUE"""),94.88)</f>
        <v>94.88</v>
      </c>
      <c r="D258" s="141">
        <f ca="1">IFERROR(__xludf.DUMMYFUNCTION("""COMPUTED_VALUE"""),94.9)</f>
        <v>94.9</v>
      </c>
      <c r="E258" s="141">
        <f ca="1">IFERROR(__xludf.DUMMYFUNCTION("""COMPUTED_VALUE"""),94.55)</f>
        <v>94.55</v>
      </c>
      <c r="F258" s="141">
        <f ca="1">IFERROR(__xludf.DUMMYFUNCTION("""COMPUTED_VALUE"""),94.57)</f>
        <v>94.57</v>
      </c>
      <c r="G258" s="143">
        <f ca="1">IFERROR(__xludf.DUMMYFUNCTION("""COMPUTED_VALUE"""),8033987)</f>
        <v>8033987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IFERROR(__xludf.DUMMYFUNCTION("""COMPUTED_VALUE"""),94.04)</f>
        <v>94.04</v>
      </c>
      <c r="D259" s="141">
        <f ca="1">IFERROR(__xludf.DUMMYFUNCTION("""COMPUTED_VALUE"""),94.2)</f>
        <v>94.2</v>
      </c>
      <c r="E259" s="141">
        <f ca="1">IFERROR(__xludf.DUMMYFUNCTION("""COMPUTED_VALUE"""),94)</f>
        <v>94</v>
      </c>
      <c r="F259" s="141">
        <f ca="1">IFERROR(__xludf.DUMMYFUNCTION("""COMPUTED_VALUE"""),94.03)</f>
        <v>94.03</v>
      </c>
      <c r="G259" s="143">
        <f ca="1">IFERROR(__xludf.DUMMYFUNCTION("""COMPUTED_VALUE"""),7890454)</f>
        <v>7890454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IFERROR(__xludf.DUMMYFUNCTION("""COMPUTED_VALUE"""),94.09)</f>
        <v>94.09</v>
      </c>
      <c r="D260" s="141">
        <f ca="1">IFERROR(__xludf.DUMMYFUNCTION("""COMPUTED_VALUE"""),94.26)</f>
        <v>94.26</v>
      </c>
      <c r="E260" s="141">
        <f ca="1">IFERROR(__xludf.DUMMYFUNCTION("""COMPUTED_VALUE"""),94.03)</f>
        <v>94.03</v>
      </c>
      <c r="F260" s="141">
        <f ca="1">IFERROR(__xludf.DUMMYFUNCTION("""COMPUTED_VALUE"""),94.12)</f>
        <v>94.12</v>
      </c>
      <c r="G260" s="143">
        <f ca="1">IFERROR(__xludf.DUMMYFUNCTION("""COMPUTED_VALUE"""),7607169)</f>
        <v>7607169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IFERROR(__xludf.DUMMYFUNCTION("""COMPUTED_VALUE"""),94.14)</f>
        <v>94.14</v>
      </c>
      <c r="D261" s="141">
        <f ca="1">IFERROR(__xludf.DUMMYFUNCTION("""COMPUTED_VALUE"""),94.19)</f>
        <v>94.19</v>
      </c>
      <c r="E261" s="141">
        <f ca="1">IFERROR(__xludf.DUMMYFUNCTION("""COMPUTED_VALUE"""),94.03)</f>
        <v>94.03</v>
      </c>
      <c r="F261" s="141">
        <f ca="1">IFERROR(__xludf.DUMMYFUNCTION("""COMPUTED_VALUE"""),94.18)</f>
        <v>94.18</v>
      </c>
      <c r="G261" s="143">
        <f ca="1">IFERROR(__xludf.DUMMYFUNCTION("""COMPUTED_VALUE"""),4600673)</f>
        <v>4600673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IFERROR(__xludf.DUMMYFUNCTION("""COMPUTED_VALUE"""),94)</f>
        <v>94</v>
      </c>
      <c r="D262" s="141">
        <f ca="1">IFERROR(__xludf.DUMMYFUNCTION("""COMPUTED_VALUE"""),94.02)</f>
        <v>94.02</v>
      </c>
      <c r="E262" s="141">
        <f ca="1">IFERROR(__xludf.DUMMYFUNCTION("""COMPUTED_VALUE"""),93.69)</f>
        <v>93.69</v>
      </c>
      <c r="F262" s="141">
        <f ca="1">IFERROR(__xludf.DUMMYFUNCTION("""COMPUTED_VALUE"""),93.7)</f>
        <v>93.7</v>
      </c>
      <c r="G262" s="143">
        <f ca="1">IFERROR(__xludf.DUMMYFUNCTION("""COMPUTED_VALUE"""),5813601)</f>
        <v>5813601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IFERROR(__xludf.DUMMYFUNCTION("""COMPUTED_VALUE"""),93.53)</f>
        <v>93.53</v>
      </c>
      <c r="D263" s="141">
        <f ca="1">IFERROR(__xludf.DUMMYFUNCTION("""COMPUTED_VALUE"""),93.59)</f>
        <v>93.59</v>
      </c>
      <c r="E263" s="141">
        <f ca="1">IFERROR(__xludf.DUMMYFUNCTION("""COMPUTED_VALUE"""),93.36)</f>
        <v>93.36</v>
      </c>
      <c r="F263" s="141">
        <f ca="1">IFERROR(__xludf.DUMMYFUNCTION("""COMPUTED_VALUE"""),93.51)</f>
        <v>93.51</v>
      </c>
      <c r="G263" s="143">
        <f ca="1">IFERROR(__xludf.DUMMYFUNCTION("""COMPUTED_VALUE"""),5509648)</f>
        <v>5509648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IFERROR(__xludf.DUMMYFUNCTION("""COMPUTED_VALUE"""),93.59)</f>
        <v>93.59</v>
      </c>
      <c r="D264" s="141">
        <f ca="1">IFERROR(__xludf.DUMMYFUNCTION("""COMPUTED_VALUE"""),93.85)</f>
        <v>93.85</v>
      </c>
      <c r="E264" s="141">
        <f ca="1">IFERROR(__xludf.DUMMYFUNCTION("""COMPUTED_VALUE"""),93.59)</f>
        <v>93.59</v>
      </c>
      <c r="F264" s="141">
        <f ca="1">IFERROR(__xludf.DUMMYFUNCTION("""COMPUTED_VALUE"""),93.71)</f>
        <v>93.71</v>
      </c>
      <c r="G264" s="143">
        <f ca="1">IFERROR(__xludf.DUMMYFUNCTION("""COMPUTED_VALUE"""),3223115)</f>
        <v>3223115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IFERROR(__xludf.DUMMYFUNCTION("""COMPUTED_VALUE"""),93.74)</f>
        <v>93.74</v>
      </c>
      <c r="D265" s="141">
        <f ca="1">IFERROR(__xludf.DUMMYFUNCTION("""COMPUTED_VALUE"""),93.78)</f>
        <v>93.78</v>
      </c>
      <c r="E265" s="141">
        <f ca="1">IFERROR(__xludf.DUMMYFUNCTION("""COMPUTED_VALUE"""),93.59)</f>
        <v>93.59</v>
      </c>
      <c r="F265" s="141">
        <f ca="1">IFERROR(__xludf.DUMMYFUNCTION("""COMPUTED_VALUE"""),93.63)</f>
        <v>93.63</v>
      </c>
      <c r="G265" s="143">
        <f ca="1">IFERROR(__xludf.DUMMYFUNCTION("""COMPUTED_VALUE"""),6507727)</f>
        <v>6507727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IFERROR(__xludf.DUMMYFUNCTION("""COMPUTED_VALUE"""),93.5)</f>
        <v>93.5</v>
      </c>
      <c r="D266" s="141">
        <f ca="1">IFERROR(__xludf.DUMMYFUNCTION("""COMPUTED_VALUE"""),93.52)</f>
        <v>93.52</v>
      </c>
      <c r="E266" s="141">
        <f ca="1">IFERROR(__xludf.DUMMYFUNCTION("""COMPUTED_VALUE"""),93.26)</f>
        <v>93.26</v>
      </c>
      <c r="F266" s="141">
        <f ca="1">IFERROR(__xludf.DUMMYFUNCTION("""COMPUTED_VALUE"""),93.29)</f>
        <v>93.29</v>
      </c>
      <c r="G266" s="143">
        <f ca="1">IFERROR(__xludf.DUMMYFUNCTION("""COMPUTED_VALUE"""),5769743)</f>
        <v>5769743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IFERROR(__xludf.DUMMYFUNCTION("""COMPUTED_VALUE"""),93.6)</f>
        <v>93.6</v>
      </c>
      <c r="D267" s="141">
        <f ca="1">IFERROR(__xludf.DUMMYFUNCTION("""COMPUTED_VALUE"""),93.79)</f>
        <v>93.79</v>
      </c>
      <c r="E267" s="141">
        <f ca="1">IFERROR(__xludf.DUMMYFUNCTION("""COMPUTED_VALUE"""),93.46)</f>
        <v>93.46</v>
      </c>
      <c r="F267" s="141">
        <f ca="1">IFERROR(__xludf.DUMMYFUNCTION("""COMPUTED_VALUE"""),93.55)</f>
        <v>93.55</v>
      </c>
      <c r="G267" s="143">
        <f ca="1">IFERROR(__xludf.DUMMYFUNCTION("""COMPUTED_VALUE"""),5316003)</f>
        <v>5316003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IFERROR(__xludf.DUMMYFUNCTION("""COMPUTED_VALUE"""),93.64)</f>
        <v>93.64</v>
      </c>
      <c r="D268" s="141">
        <f ca="1">IFERROR(__xludf.DUMMYFUNCTION("""COMPUTED_VALUE"""),93.87)</f>
        <v>93.87</v>
      </c>
      <c r="E268" s="141">
        <f ca="1">IFERROR(__xludf.DUMMYFUNCTION("""COMPUTED_VALUE"""),93.64)</f>
        <v>93.64</v>
      </c>
      <c r="F268" s="141">
        <f ca="1">IFERROR(__xludf.DUMMYFUNCTION("""COMPUTED_VALUE"""),93.78)</f>
        <v>93.78</v>
      </c>
      <c r="G268" s="143">
        <f ca="1">IFERROR(__xludf.DUMMYFUNCTION("""COMPUTED_VALUE"""),6735459)</f>
        <v>6735459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IFERROR(__xludf.DUMMYFUNCTION("""COMPUTED_VALUE"""),93.58)</f>
        <v>93.58</v>
      </c>
      <c r="D269" s="141">
        <f ca="1">IFERROR(__xludf.DUMMYFUNCTION("""COMPUTED_VALUE"""),93.75)</f>
        <v>93.75</v>
      </c>
      <c r="E269" s="141">
        <f ca="1">IFERROR(__xludf.DUMMYFUNCTION("""COMPUTED_VALUE"""),93.54)</f>
        <v>93.54</v>
      </c>
      <c r="F269" s="141">
        <f ca="1">IFERROR(__xludf.DUMMYFUNCTION("""COMPUTED_VALUE"""),93.72)</f>
        <v>93.72</v>
      </c>
      <c r="G269" s="143">
        <f ca="1">IFERROR(__xludf.DUMMYFUNCTION("""COMPUTED_VALUE"""),4841182)</f>
        <v>4841182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IFERROR(__xludf.DUMMYFUNCTION("""COMPUTED_VALUE"""),93.96)</f>
        <v>93.96</v>
      </c>
      <c r="D270" s="141">
        <f ca="1">IFERROR(__xludf.DUMMYFUNCTION("""COMPUTED_VALUE"""),94.1)</f>
        <v>94.1</v>
      </c>
      <c r="E270" s="141">
        <f ca="1">IFERROR(__xludf.DUMMYFUNCTION("""COMPUTED_VALUE"""),93.82)</f>
        <v>93.82</v>
      </c>
      <c r="F270" s="141">
        <f ca="1">IFERROR(__xludf.DUMMYFUNCTION("""COMPUTED_VALUE"""),93.84)</f>
        <v>93.84</v>
      </c>
      <c r="G270" s="143">
        <f ca="1">IFERROR(__xludf.DUMMYFUNCTION("""COMPUTED_VALUE"""),7561338)</f>
        <v>7561338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IFERROR(__xludf.DUMMYFUNCTION("""COMPUTED_VALUE"""),93.74)</f>
        <v>93.74</v>
      </c>
      <c r="D271" s="141">
        <f ca="1">IFERROR(__xludf.DUMMYFUNCTION("""COMPUTED_VALUE"""),93.76)</f>
        <v>93.76</v>
      </c>
      <c r="E271" s="141">
        <f ca="1">IFERROR(__xludf.DUMMYFUNCTION("""COMPUTED_VALUE"""),93.44)</f>
        <v>93.44</v>
      </c>
      <c r="F271" s="141">
        <f ca="1">IFERROR(__xludf.DUMMYFUNCTION("""COMPUTED_VALUE"""),93.54)</f>
        <v>93.54</v>
      </c>
      <c r="G271" s="143">
        <f ca="1">IFERROR(__xludf.DUMMYFUNCTION("""COMPUTED_VALUE"""),3784797)</f>
        <v>3784797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IFERROR(__xludf.DUMMYFUNCTION("""COMPUTED_VALUE"""),93.4)</f>
        <v>93.4</v>
      </c>
      <c r="D272" s="141">
        <f ca="1">IFERROR(__xludf.DUMMYFUNCTION("""COMPUTED_VALUE"""),93.42)</f>
        <v>93.42</v>
      </c>
      <c r="E272" s="141">
        <f ca="1">IFERROR(__xludf.DUMMYFUNCTION("""COMPUTED_VALUE"""),93.26)</f>
        <v>93.26</v>
      </c>
      <c r="F272" s="141">
        <f ca="1">IFERROR(__xludf.DUMMYFUNCTION("""COMPUTED_VALUE"""),93.31)</f>
        <v>93.31</v>
      </c>
      <c r="G272" s="143">
        <f ca="1">IFERROR(__xludf.DUMMYFUNCTION("""COMPUTED_VALUE"""),2786215)</f>
        <v>2786215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IFERROR(__xludf.DUMMYFUNCTION("""COMPUTED_VALUE"""),93.28)</f>
        <v>93.28</v>
      </c>
      <c r="D273" s="141">
        <f ca="1">IFERROR(__xludf.DUMMYFUNCTION("""COMPUTED_VALUE"""),93.29)</f>
        <v>93.29</v>
      </c>
      <c r="E273" s="141">
        <f ca="1">IFERROR(__xludf.DUMMYFUNCTION("""COMPUTED_VALUE"""),93.08)</f>
        <v>93.08</v>
      </c>
      <c r="F273" s="141">
        <f ca="1">IFERROR(__xludf.DUMMYFUNCTION("""COMPUTED_VALUE"""),93.1)</f>
        <v>93.1</v>
      </c>
      <c r="G273" s="143">
        <f ca="1">IFERROR(__xludf.DUMMYFUNCTION("""COMPUTED_VALUE"""),3428454)</f>
        <v>3428454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IFERROR(__xludf.DUMMYFUNCTION("""COMPUTED_VALUE"""),92.8)</f>
        <v>92.8</v>
      </c>
      <c r="D274" s="141">
        <f ca="1">IFERROR(__xludf.DUMMYFUNCTION("""COMPUTED_VALUE"""),92.9)</f>
        <v>92.9</v>
      </c>
      <c r="E274" s="141">
        <f ca="1">IFERROR(__xludf.DUMMYFUNCTION("""COMPUTED_VALUE"""),92.76)</f>
        <v>92.76</v>
      </c>
      <c r="F274" s="141">
        <f ca="1">IFERROR(__xludf.DUMMYFUNCTION("""COMPUTED_VALUE"""),92.85)</f>
        <v>92.85</v>
      </c>
      <c r="G274" s="143">
        <f ca="1">IFERROR(__xludf.DUMMYFUNCTION("""COMPUTED_VALUE"""),5002401)</f>
        <v>5002401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IFERROR(__xludf.DUMMYFUNCTION("""COMPUTED_VALUE"""),92.99)</f>
        <v>92.99</v>
      </c>
      <c r="D275" s="141">
        <f ca="1">IFERROR(__xludf.DUMMYFUNCTION("""COMPUTED_VALUE"""),93.22)</f>
        <v>93.22</v>
      </c>
      <c r="E275" s="141">
        <f ca="1">IFERROR(__xludf.DUMMYFUNCTION("""COMPUTED_VALUE"""),92.94)</f>
        <v>92.94</v>
      </c>
      <c r="F275" s="141">
        <f ca="1">IFERROR(__xludf.DUMMYFUNCTION("""COMPUTED_VALUE"""),93.03)</f>
        <v>93.03</v>
      </c>
      <c r="G275" s="143">
        <f ca="1">IFERROR(__xludf.DUMMYFUNCTION("""COMPUTED_VALUE"""),5092967)</f>
        <v>5092967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IFERROR(__xludf.DUMMYFUNCTION("""COMPUTED_VALUE"""),93.21)</f>
        <v>93.21</v>
      </c>
      <c r="D276" s="141">
        <f ca="1">IFERROR(__xludf.DUMMYFUNCTION("""COMPUTED_VALUE"""),93.35)</f>
        <v>93.35</v>
      </c>
      <c r="E276" s="141">
        <f ca="1">IFERROR(__xludf.DUMMYFUNCTION("""COMPUTED_VALUE"""),93.14)</f>
        <v>93.14</v>
      </c>
      <c r="F276" s="141">
        <f ca="1">IFERROR(__xludf.DUMMYFUNCTION("""COMPUTED_VALUE"""),93.28)</f>
        <v>93.28</v>
      </c>
      <c r="G276" s="143">
        <f ca="1">IFERROR(__xludf.DUMMYFUNCTION("""COMPUTED_VALUE"""),4046604)</f>
        <v>4046604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IFERROR(__xludf.DUMMYFUNCTION("""COMPUTED_VALUE"""),93.37)</f>
        <v>93.37</v>
      </c>
      <c r="D277" s="141">
        <f ca="1">IFERROR(__xludf.DUMMYFUNCTION("""COMPUTED_VALUE"""),93.66)</f>
        <v>93.66</v>
      </c>
      <c r="E277" s="141">
        <f ca="1">IFERROR(__xludf.DUMMYFUNCTION("""COMPUTED_VALUE"""),93.37)</f>
        <v>93.37</v>
      </c>
      <c r="F277" s="141">
        <f ca="1">IFERROR(__xludf.DUMMYFUNCTION("""COMPUTED_VALUE"""),93.56)</f>
        <v>93.56</v>
      </c>
      <c r="G277" s="143">
        <f ca="1">IFERROR(__xludf.DUMMYFUNCTION("""COMPUTED_VALUE"""),3322881)</f>
        <v>3322881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IFERROR(__xludf.DUMMYFUNCTION("""COMPUTED_VALUE"""),93.41)</f>
        <v>93.41</v>
      </c>
      <c r="D278" s="141">
        <f ca="1">IFERROR(__xludf.DUMMYFUNCTION("""COMPUTED_VALUE"""),93.53)</f>
        <v>93.53</v>
      </c>
      <c r="E278" s="141">
        <f ca="1">IFERROR(__xludf.DUMMYFUNCTION("""COMPUTED_VALUE"""),93.16)</f>
        <v>93.16</v>
      </c>
      <c r="F278" s="141">
        <f ca="1">IFERROR(__xludf.DUMMYFUNCTION("""COMPUTED_VALUE"""),93.17)</f>
        <v>93.17</v>
      </c>
      <c r="G278" s="143">
        <f ca="1">IFERROR(__xludf.DUMMYFUNCTION("""COMPUTED_VALUE"""),5392562)</f>
        <v>5392562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29" priority="5" operator="lessThan">
      <formula>0</formula>
    </cfRule>
    <cfRule type="cellIs" dxfId="28" priority="6" operator="greaterThan">
      <formula>0</formula>
    </cfRule>
  </conditionalFormatting>
  <conditionalFormatting sqref="F28:F1000">
    <cfRule type="expression" dxfId="27" priority="1">
      <formula>AND(F28=MAX(F$28:F$1000),F28&gt;0)</formula>
    </cfRule>
    <cfRule type="expression" dxfId="26" priority="2">
      <formula>AND(F28=MIN(F$28:F$1000),F28&gt;0)</formula>
    </cfRule>
  </conditionalFormatting>
  <conditionalFormatting sqref="F29:F1000">
    <cfRule type="expression" dxfId="25" priority="3">
      <formula>F29&gt;F27</formula>
    </cfRule>
    <cfRule type="expression" dxfId="24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500-000000000000}">
      <formula1>"1 Month,3 Months,6 Months,12 Months,36 Months"</formula1>
    </dataValidation>
  </dataValidations>
  <hyperlinks>
    <hyperlink ref="G2" r:id="rId1" xr:uid="{00000000-0004-0000-1500-000000000000}"/>
  </hyperlinks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122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1-3 Year Treasury Bond ETF")</f>
        <v>iShares 1-3 Year Treasury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IFERROR(__xludf.DUMMYFUNCTION("GOOGLEFINANCE(B18,""price"")"),81.99)</f>
        <v>81.99</v>
      </c>
      <c r="C10" s="322"/>
      <c r="D10" s="100">
        <f ca="1">IFERROR(__xludf.DUMMYFUNCTION("IFERROR(GOOGLEFINANCE(B18,""change""),""-"")"),0.05)</f>
        <v>0.05</v>
      </c>
      <c r="E10" s="103">
        <f ca="1">IFERROR(__xludf.DUMMYFUNCTION("IFERROR(GOOGLEFINANCE(B18,""changepct"")/100,""-"")"),0.0006)</f>
        <v>5.9999999999999995E-4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IFERROR(__xludf.DUMMYFUNCTION("IFERROR(GOOGLEFINANCE(B18,""marketcap""),""-"")"),1973564456)</f>
        <v>1973564456</v>
      </c>
      <c r="C14" s="115" t="str">
        <f ca="1">IFERROR(__xludf.DUMMYFUNCTION("IFERROR(GOOGLEFINANCE(B18,""pe""),""-"")"),"-")</f>
        <v>-</v>
      </c>
      <c r="D14" s="115">
        <f ca="1">IFERROR(__xludf.DUMMYFUNCTION("IFERROR(GOOGLEFINANCE(B18,""beta""),""-"")"),0.05)</f>
        <v>0.05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SHY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IFERROR(__xludf.DUMMYFUNCTION("""COMPUTED_VALUE"""),82.57)</f>
        <v>82.57</v>
      </c>
      <c r="D28" s="141">
        <f ca="1">IFERROR(__xludf.DUMMYFUNCTION("""COMPUTED_VALUE"""),82.64)</f>
        <v>82.64</v>
      </c>
      <c r="E28" s="141">
        <f ca="1">IFERROR(__xludf.DUMMYFUNCTION("""COMPUTED_VALUE"""),82.52)</f>
        <v>82.52</v>
      </c>
      <c r="F28" s="141">
        <f ca="1">IFERROR(__xludf.DUMMYFUNCTION("""COMPUTED_VALUE"""),82.52)</f>
        <v>82.52</v>
      </c>
      <c r="G28" s="143">
        <f ca="1">IFERROR(__xludf.DUMMYFUNCTION("""COMPUTED_VALUE"""),3786204)</f>
        <v>3786204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IFERROR(__xludf.DUMMYFUNCTION("""COMPUTED_VALUE"""),82.54)</f>
        <v>82.54</v>
      </c>
      <c r="D29" s="141">
        <f ca="1">IFERROR(__xludf.DUMMYFUNCTION("""COMPUTED_VALUE"""),82.57)</f>
        <v>82.57</v>
      </c>
      <c r="E29" s="141">
        <f ca="1">IFERROR(__xludf.DUMMYFUNCTION("""COMPUTED_VALUE"""),82.51)</f>
        <v>82.51</v>
      </c>
      <c r="F29" s="141">
        <f ca="1">IFERROR(__xludf.DUMMYFUNCTION("""COMPUTED_VALUE"""),82.52)</f>
        <v>82.52</v>
      </c>
      <c r="G29" s="143">
        <f ca="1">IFERROR(__xludf.DUMMYFUNCTION("""COMPUTED_VALUE"""),5883693)</f>
        <v>5883693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IFERROR(__xludf.DUMMYFUNCTION("""COMPUTED_VALUE"""),82.55)</f>
        <v>82.55</v>
      </c>
      <c r="D30" s="141">
        <f ca="1">IFERROR(__xludf.DUMMYFUNCTION("""COMPUTED_VALUE"""),82.69)</f>
        <v>82.69</v>
      </c>
      <c r="E30" s="141">
        <f ca="1">IFERROR(__xludf.DUMMYFUNCTION("""COMPUTED_VALUE"""),82.55)</f>
        <v>82.55</v>
      </c>
      <c r="F30" s="141">
        <f ca="1">IFERROR(__xludf.DUMMYFUNCTION("""COMPUTED_VALUE"""),82.66)</f>
        <v>82.66</v>
      </c>
      <c r="G30" s="143">
        <f ca="1">IFERROR(__xludf.DUMMYFUNCTION("""COMPUTED_VALUE"""),6048671)</f>
        <v>6048671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IFERROR(__xludf.DUMMYFUNCTION("""COMPUTED_VALUE"""),82.67)</f>
        <v>82.67</v>
      </c>
      <c r="D31" s="141">
        <f ca="1">IFERROR(__xludf.DUMMYFUNCTION("""COMPUTED_VALUE"""),82.69)</f>
        <v>82.69</v>
      </c>
      <c r="E31" s="141">
        <f ca="1">IFERROR(__xludf.DUMMYFUNCTION("""COMPUTED_VALUE"""),82.63)</f>
        <v>82.63</v>
      </c>
      <c r="F31" s="141">
        <f ca="1">IFERROR(__xludf.DUMMYFUNCTION("""COMPUTED_VALUE"""),82.68)</f>
        <v>82.68</v>
      </c>
      <c r="G31" s="143">
        <f ca="1">IFERROR(__xludf.DUMMYFUNCTION("""COMPUTED_VALUE"""),4535435)</f>
        <v>4535435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IFERROR(__xludf.DUMMYFUNCTION("""COMPUTED_VALUE"""),82.65)</f>
        <v>82.65</v>
      </c>
      <c r="D32" s="141">
        <f ca="1">IFERROR(__xludf.DUMMYFUNCTION("""COMPUTED_VALUE"""),82.69)</f>
        <v>82.69</v>
      </c>
      <c r="E32" s="141">
        <f ca="1">IFERROR(__xludf.DUMMYFUNCTION("""COMPUTED_VALUE"""),82.62)</f>
        <v>82.62</v>
      </c>
      <c r="F32" s="141">
        <f ca="1">IFERROR(__xludf.DUMMYFUNCTION("""COMPUTED_VALUE"""),82.65)</f>
        <v>82.65</v>
      </c>
      <c r="G32" s="143">
        <f ca="1">IFERROR(__xludf.DUMMYFUNCTION("""COMPUTED_VALUE"""),6269421)</f>
        <v>6269421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IFERROR(__xludf.DUMMYFUNCTION("""COMPUTED_VALUE"""),82.63)</f>
        <v>82.63</v>
      </c>
      <c r="D33" s="141">
        <f ca="1">IFERROR(__xludf.DUMMYFUNCTION("""COMPUTED_VALUE"""),82.68)</f>
        <v>82.68</v>
      </c>
      <c r="E33" s="141">
        <f ca="1">IFERROR(__xludf.DUMMYFUNCTION("""COMPUTED_VALUE"""),82.63)</f>
        <v>82.63</v>
      </c>
      <c r="F33" s="141">
        <f ca="1">IFERROR(__xludf.DUMMYFUNCTION("""COMPUTED_VALUE"""),82.68)</f>
        <v>82.68</v>
      </c>
      <c r="G33" s="143">
        <f ca="1">IFERROR(__xludf.DUMMYFUNCTION("""COMPUTED_VALUE"""),2741805)</f>
        <v>2741805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IFERROR(__xludf.DUMMYFUNCTION("""COMPUTED_VALUE"""),82.66)</f>
        <v>82.66</v>
      </c>
      <c r="D34" s="141">
        <f ca="1">IFERROR(__xludf.DUMMYFUNCTION("""COMPUTED_VALUE"""),82.68)</f>
        <v>82.68</v>
      </c>
      <c r="E34" s="141">
        <f ca="1">IFERROR(__xludf.DUMMYFUNCTION("""COMPUTED_VALUE"""),82.63)</f>
        <v>82.63</v>
      </c>
      <c r="F34" s="141">
        <f ca="1">IFERROR(__xludf.DUMMYFUNCTION("""COMPUTED_VALUE"""),82.64)</f>
        <v>82.64</v>
      </c>
      <c r="G34" s="143">
        <f ca="1">IFERROR(__xludf.DUMMYFUNCTION("""COMPUTED_VALUE"""),2927744)</f>
        <v>2927744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IFERROR(__xludf.DUMMYFUNCTION("""COMPUTED_VALUE"""),82.64)</f>
        <v>82.64</v>
      </c>
      <c r="D35" s="141">
        <f ca="1">IFERROR(__xludf.DUMMYFUNCTION("""COMPUTED_VALUE"""),82.64)</f>
        <v>82.64</v>
      </c>
      <c r="E35" s="141">
        <f ca="1">IFERROR(__xludf.DUMMYFUNCTION("""COMPUTED_VALUE"""),82.61)</f>
        <v>82.61</v>
      </c>
      <c r="F35" s="141">
        <f ca="1">IFERROR(__xludf.DUMMYFUNCTION("""COMPUTED_VALUE"""),82.62)</f>
        <v>82.62</v>
      </c>
      <c r="G35" s="143">
        <f ca="1">IFERROR(__xludf.DUMMYFUNCTION("""COMPUTED_VALUE"""),2621191)</f>
        <v>2621191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IFERROR(__xludf.DUMMYFUNCTION("""COMPUTED_VALUE"""),82.61)</f>
        <v>82.61</v>
      </c>
      <c r="D36" s="141">
        <f ca="1">IFERROR(__xludf.DUMMYFUNCTION("""COMPUTED_VALUE"""),82.64)</f>
        <v>82.64</v>
      </c>
      <c r="E36" s="141">
        <f ca="1">IFERROR(__xludf.DUMMYFUNCTION("""COMPUTED_VALUE"""),82.61)</f>
        <v>82.61</v>
      </c>
      <c r="F36" s="141">
        <f ca="1">IFERROR(__xludf.DUMMYFUNCTION("""COMPUTED_VALUE"""),82.62)</f>
        <v>82.62</v>
      </c>
      <c r="G36" s="143">
        <f ca="1">IFERROR(__xludf.DUMMYFUNCTION("""COMPUTED_VALUE"""),2730620)</f>
        <v>2730620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IFERROR(__xludf.DUMMYFUNCTION("""COMPUTED_VALUE"""),82.65)</f>
        <v>82.65</v>
      </c>
      <c r="D37" s="141">
        <f ca="1">IFERROR(__xludf.DUMMYFUNCTION("""COMPUTED_VALUE"""),82.69)</f>
        <v>82.69</v>
      </c>
      <c r="E37" s="141">
        <f ca="1">IFERROR(__xludf.DUMMYFUNCTION("""COMPUTED_VALUE"""),82.64)</f>
        <v>82.64</v>
      </c>
      <c r="F37" s="141">
        <f ca="1">IFERROR(__xludf.DUMMYFUNCTION("""COMPUTED_VALUE"""),82.68)</f>
        <v>82.68</v>
      </c>
      <c r="G37" s="143">
        <f ca="1">IFERROR(__xludf.DUMMYFUNCTION("""COMPUTED_VALUE"""),2846186)</f>
        <v>2846186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IFERROR(__xludf.DUMMYFUNCTION("""COMPUTED_VALUE"""),82.75)</f>
        <v>82.75</v>
      </c>
      <c r="D38" s="141">
        <f ca="1">IFERROR(__xludf.DUMMYFUNCTION("""COMPUTED_VALUE"""),82.79)</f>
        <v>82.79</v>
      </c>
      <c r="E38" s="141">
        <f ca="1">IFERROR(__xludf.DUMMYFUNCTION("""COMPUTED_VALUE"""),82.74)</f>
        <v>82.74</v>
      </c>
      <c r="F38" s="141">
        <f ca="1">IFERROR(__xludf.DUMMYFUNCTION("""COMPUTED_VALUE"""),82.79)</f>
        <v>82.79</v>
      </c>
      <c r="G38" s="143">
        <f ca="1">IFERROR(__xludf.DUMMYFUNCTION("""COMPUTED_VALUE"""),3589612)</f>
        <v>3589612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IFERROR(__xludf.DUMMYFUNCTION("""COMPUTED_VALUE"""),82.71)</f>
        <v>82.71</v>
      </c>
      <c r="D39" s="141">
        <f ca="1">IFERROR(__xludf.DUMMYFUNCTION("""COMPUTED_VALUE"""),82.72)</f>
        <v>82.72</v>
      </c>
      <c r="E39" s="141">
        <f ca="1">IFERROR(__xludf.DUMMYFUNCTION("""COMPUTED_VALUE"""),82.68)</f>
        <v>82.68</v>
      </c>
      <c r="F39" s="141">
        <f ca="1">IFERROR(__xludf.DUMMYFUNCTION("""COMPUTED_VALUE"""),82.7)</f>
        <v>82.7</v>
      </c>
      <c r="G39" s="143">
        <f ca="1">IFERROR(__xludf.DUMMYFUNCTION("""COMPUTED_VALUE"""),3934101)</f>
        <v>3934101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IFERROR(__xludf.DUMMYFUNCTION("""COMPUTED_VALUE"""),82.72)</f>
        <v>82.72</v>
      </c>
      <c r="D40" s="141">
        <f ca="1">IFERROR(__xludf.DUMMYFUNCTION("""COMPUTED_VALUE"""),82.74)</f>
        <v>82.74</v>
      </c>
      <c r="E40" s="141">
        <f ca="1">IFERROR(__xludf.DUMMYFUNCTION("""COMPUTED_VALUE"""),82.67)</f>
        <v>82.67</v>
      </c>
      <c r="F40" s="141">
        <f ca="1">IFERROR(__xludf.DUMMYFUNCTION("""COMPUTED_VALUE"""),82.67)</f>
        <v>82.67</v>
      </c>
      <c r="G40" s="143">
        <f ca="1">IFERROR(__xludf.DUMMYFUNCTION("""COMPUTED_VALUE"""),1979404)</f>
        <v>1979404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IFERROR(__xludf.DUMMYFUNCTION("""COMPUTED_VALUE"""),82.7)</f>
        <v>82.7</v>
      </c>
      <c r="D41" s="141">
        <f ca="1">IFERROR(__xludf.DUMMYFUNCTION("""COMPUTED_VALUE"""),82.71)</f>
        <v>82.71</v>
      </c>
      <c r="E41" s="141">
        <f ca="1">IFERROR(__xludf.DUMMYFUNCTION("""COMPUTED_VALUE"""),82.66)</f>
        <v>82.66</v>
      </c>
      <c r="F41" s="141">
        <f ca="1">IFERROR(__xludf.DUMMYFUNCTION("""COMPUTED_VALUE"""),82.67)</f>
        <v>82.67</v>
      </c>
      <c r="G41" s="143">
        <f ca="1">IFERROR(__xludf.DUMMYFUNCTION("""COMPUTED_VALUE"""),6377258)</f>
        <v>6377258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IFERROR(__xludf.DUMMYFUNCTION("""COMPUTED_VALUE"""),82.71)</f>
        <v>82.71</v>
      </c>
      <c r="D42" s="141">
        <f ca="1">IFERROR(__xludf.DUMMYFUNCTION("""COMPUTED_VALUE"""),82.73)</f>
        <v>82.73</v>
      </c>
      <c r="E42" s="141">
        <f ca="1">IFERROR(__xludf.DUMMYFUNCTION("""COMPUTED_VALUE"""),82.7)</f>
        <v>82.7</v>
      </c>
      <c r="F42" s="141">
        <f ca="1">IFERROR(__xludf.DUMMYFUNCTION("""COMPUTED_VALUE"""),82.71)</f>
        <v>82.71</v>
      </c>
      <c r="G42" s="143">
        <f ca="1">IFERROR(__xludf.DUMMYFUNCTION("""COMPUTED_VALUE"""),7319146)</f>
        <v>7319146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IFERROR(__xludf.DUMMYFUNCTION("""COMPUTED_VALUE"""),82.72)</f>
        <v>82.72</v>
      </c>
      <c r="D43" s="141">
        <f ca="1">IFERROR(__xludf.DUMMYFUNCTION("""COMPUTED_VALUE"""),82.77)</f>
        <v>82.77</v>
      </c>
      <c r="E43" s="141">
        <f ca="1">IFERROR(__xludf.DUMMYFUNCTION("""COMPUTED_VALUE"""),82.71)</f>
        <v>82.71</v>
      </c>
      <c r="F43" s="141">
        <f ca="1">IFERROR(__xludf.DUMMYFUNCTION("""COMPUTED_VALUE"""),82.74)</f>
        <v>82.74</v>
      </c>
      <c r="G43" s="143">
        <f ca="1">IFERROR(__xludf.DUMMYFUNCTION("""COMPUTED_VALUE"""),2613863)</f>
        <v>2613863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IFERROR(__xludf.DUMMYFUNCTION("""COMPUTED_VALUE"""),82.72)</f>
        <v>82.72</v>
      </c>
      <c r="D44" s="141">
        <f ca="1">IFERROR(__xludf.DUMMYFUNCTION("""COMPUTED_VALUE"""),82.73)</f>
        <v>82.73</v>
      </c>
      <c r="E44" s="141">
        <f ca="1">IFERROR(__xludf.DUMMYFUNCTION("""COMPUTED_VALUE"""),82.65)</f>
        <v>82.65</v>
      </c>
      <c r="F44" s="141">
        <f ca="1">IFERROR(__xludf.DUMMYFUNCTION("""COMPUTED_VALUE"""),82.67)</f>
        <v>82.67</v>
      </c>
      <c r="G44" s="143">
        <f ca="1">IFERROR(__xludf.DUMMYFUNCTION("""COMPUTED_VALUE"""),3399806)</f>
        <v>3399806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IFERROR(__xludf.DUMMYFUNCTION("""COMPUTED_VALUE"""),82.71)</f>
        <v>82.71</v>
      </c>
      <c r="D45" s="141">
        <f ca="1">IFERROR(__xludf.DUMMYFUNCTION("""COMPUTED_VALUE"""),82.86)</f>
        <v>82.86</v>
      </c>
      <c r="E45" s="141">
        <f ca="1">IFERROR(__xludf.DUMMYFUNCTION("""COMPUTED_VALUE"""),82.7)</f>
        <v>82.7</v>
      </c>
      <c r="F45" s="141">
        <f ca="1">IFERROR(__xludf.DUMMYFUNCTION("""COMPUTED_VALUE"""),82.85)</f>
        <v>82.85</v>
      </c>
      <c r="G45" s="143">
        <f ca="1">IFERROR(__xludf.DUMMYFUNCTION("""COMPUTED_VALUE"""),4815552)</f>
        <v>4815552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IFERROR(__xludf.DUMMYFUNCTION("""COMPUTED_VALUE"""),82.8)</f>
        <v>82.8</v>
      </c>
      <c r="D46" s="141">
        <f ca="1">IFERROR(__xludf.DUMMYFUNCTION("""COMPUTED_VALUE"""),82.81)</f>
        <v>82.81</v>
      </c>
      <c r="E46" s="141">
        <f ca="1">IFERROR(__xludf.DUMMYFUNCTION("""COMPUTED_VALUE"""),82.79)</f>
        <v>82.79</v>
      </c>
      <c r="F46" s="141">
        <f ca="1">IFERROR(__xludf.DUMMYFUNCTION("""COMPUTED_VALUE"""),82.81)</f>
        <v>82.81</v>
      </c>
      <c r="G46" s="143">
        <f ca="1">IFERROR(__xludf.DUMMYFUNCTION("""COMPUTED_VALUE"""),5797305)</f>
        <v>5797305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IFERROR(__xludf.DUMMYFUNCTION("""COMPUTED_VALUE"""),82.84)</f>
        <v>82.84</v>
      </c>
      <c r="D47" s="141">
        <f ca="1">IFERROR(__xludf.DUMMYFUNCTION("""COMPUTED_VALUE"""),82.89)</f>
        <v>82.89</v>
      </c>
      <c r="E47" s="141">
        <f ca="1">IFERROR(__xludf.DUMMYFUNCTION("""COMPUTED_VALUE"""),82.84)</f>
        <v>82.84</v>
      </c>
      <c r="F47" s="141">
        <f ca="1">IFERROR(__xludf.DUMMYFUNCTION("""COMPUTED_VALUE"""),82.88)</f>
        <v>82.88</v>
      </c>
      <c r="G47" s="143">
        <f ca="1">IFERROR(__xludf.DUMMYFUNCTION("""COMPUTED_VALUE"""),1673686)</f>
        <v>1673686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IFERROR(__xludf.DUMMYFUNCTION("""COMPUTED_VALUE"""),82.89)</f>
        <v>82.89</v>
      </c>
      <c r="D48" s="141">
        <f ca="1">IFERROR(__xludf.DUMMYFUNCTION("""COMPUTED_VALUE"""),82.94)</f>
        <v>82.94</v>
      </c>
      <c r="E48" s="141">
        <f ca="1">IFERROR(__xludf.DUMMYFUNCTION("""COMPUTED_VALUE"""),82.88)</f>
        <v>82.88</v>
      </c>
      <c r="F48" s="141">
        <f ca="1">IFERROR(__xludf.DUMMYFUNCTION("""COMPUTED_VALUE"""),82.94)</f>
        <v>82.94</v>
      </c>
      <c r="G48" s="143">
        <f ca="1">IFERROR(__xludf.DUMMYFUNCTION("""COMPUTED_VALUE"""),2399543)</f>
        <v>2399543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IFERROR(__xludf.DUMMYFUNCTION("""COMPUTED_VALUE"""),82.91)</f>
        <v>82.91</v>
      </c>
      <c r="D49" s="141">
        <f ca="1">IFERROR(__xludf.DUMMYFUNCTION("""COMPUTED_VALUE"""),82.93)</f>
        <v>82.93</v>
      </c>
      <c r="E49" s="141">
        <f ca="1">IFERROR(__xludf.DUMMYFUNCTION("""COMPUTED_VALUE"""),82.9)</f>
        <v>82.9</v>
      </c>
      <c r="F49" s="141">
        <f ca="1">IFERROR(__xludf.DUMMYFUNCTION("""COMPUTED_VALUE"""),82.91)</f>
        <v>82.91</v>
      </c>
      <c r="G49" s="143">
        <f ca="1">IFERROR(__xludf.DUMMYFUNCTION("""COMPUTED_VALUE"""),1824807)</f>
        <v>1824807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IFERROR(__xludf.DUMMYFUNCTION("""COMPUTED_VALUE"""),82.95)</f>
        <v>82.95</v>
      </c>
      <c r="D50" s="141">
        <f ca="1">IFERROR(__xludf.DUMMYFUNCTION("""COMPUTED_VALUE"""),83)</f>
        <v>83</v>
      </c>
      <c r="E50" s="141">
        <f ca="1">IFERROR(__xludf.DUMMYFUNCTION("""COMPUTED_VALUE"""),82.94)</f>
        <v>82.94</v>
      </c>
      <c r="F50" s="141">
        <f ca="1">IFERROR(__xludf.DUMMYFUNCTION("""COMPUTED_VALUE"""),82.98)</f>
        <v>82.98</v>
      </c>
      <c r="G50" s="143">
        <f ca="1">IFERROR(__xludf.DUMMYFUNCTION("""COMPUTED_VALUE"""),2758042)</f>
        <v>2758042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IFERROR(__xludf.DUMMYFUNCTION("""COMPUTED_VALUE"""),82.67)</f>
        <v>82.67</v>
      </c>
      <c r="D51" s="141">
        <f ca="1">IFERROR(__xludf.DUMMYFUNCTION("""COMPUTED_VALUE"""),82.7)</f>
        <v>82.7</v>
      </c>
      <c r="E51" s="141">
        <f ca="1">IFERROR(__xludf.DUMMYFUNCTION("""COMPUTED_VALUE"""),82.66)</f>
        <v>82.66</v>
      </c>
      <c r="F51" s="141">
        <f ca="1">IFERROR(__xludf.DUMMYFUNCTION("""COMPUTED_VALUE"""),82.68)</f>
        <v>82.68</v>
      </c>
      <c r="G51" s="143">
        <f ca="1">IFERROR(__xludf.DUMMYFUNCTION("""COMPUTED_VALUE"""),4372417)</f>
        <v>4372417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IFERROR(__xludf.DUMMYFUNCTION("""COMPUTED_VALUE"""),82.68)</f>
        <v>82.68</v>
      </c>
      <c r="D52" s="141">
        <f ca="1">IFERROR(__xludf.DUMMYFUNCTION("""COMPUTED_VALUE"""),82.76)</f>
        <v>82.76</v>
      </c>
      <c r="E52" s="141">
        <f ca="1">IFERROR(__xludf.DUMMYFUNCTION("""COMPUTED_VALUE"""),82.67)</f>
        <v>82.67</v>
      </c>
      <c r="F52" s="141">
        <f ca="1">IFERROR(__xludf.DUMMYFUNCTION("""COMPUTED_VALUE"""),82.74)</f>
        <v>82.74</v>
      </c>
      <c r="G52" s="143">
        <f ca="1">IFERROR(__xludf.DUMMYFUNCTION("""COMPUTED_VALUE"""),3284520)</f>
        <v>3284520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IFERROR(__xludf.DUMMYFUNCTION("""COMPUTED_VALUE"""),82.78)</f>
        <v>82.78</v>
      </c>
      <c r="D53" s="141">
        <f ca="1">IFERROR(__xludf.DUMMYFUNCTION("""COMPUTED_VALUE"""),82.8)</f>
        <v>82.8</v>
      </c>
      <c r="E53" s="141">
        <f ca="1">IFERROR(__xludf.DUMMYFUNCTION("""COMPUTED_VALUE"""),82.76)</f>
        <v>82.76</v>
      </c>
      <c r="F53" s="141">
        <f ca="1">IFERROR(__xludf.DUMMYFUNCTION("""COMPUTED_VALUE"""),82.8)</f>
        <v>82.8</v>
      </c>
      <c r="G53" s="143">
        <f ca="1">IFERROR(__xludf.DUMMYFUNCTION("""COMPUTED_VALUE"""),3232698)</f>
        <v>3232698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IFERROR(__xludf.DUMMYFUNCTION("""COMPUTED_VALUE"""),82.98)</f>
        <v>82.98</v>
      </c>
      <c r="D54" s="141">
        <f ca="1">IFERROR(__xludf.DUMMYFUNCTION("""COMPUTED_VALUE"""),83.01)</f>
        <v>83.01</v>
      </c>
      <c r="E54" s="141">
        <f ca="1">IFERROR(__xludf.DUMMYFUNCTION("""COMPUTED_VALUE"""),82.91)</f>
        <v>82.91</v>
      </c>
      <c r="F54" s="141">
        <f ca="1">IFERROR(__xludf.DUMMYFUNCTION("""COMPUTED_VALUE"""),82.92)</f>
        <v>82.92</v>
      </c>
      <c r="G54" s="143">
        <f ca="1">IFERROR(__xludf.DUMMYFUNCTION("""COMPUTED_VALUE"""),5352503)</f>
        <v>5352503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IFERROR(__xludf.DUMMYFUNCTION("""COMPUTED_VALUE"""),82.98)</f>
        <v>82.98</v>
      </c>
      <c r="D55" s="141">
        <f ca="1">IFERROR(__xludf.DUMMYFUNCTION("""COMPUTED_VALUE"""),82.99)</f>
        <v>82.99</v>
      </c>
      <c r="E55" s="141">
        <f ca="1">IFERROR(__xludf.DUMMYFUNCTION("""COMPUTED_VALUE"""),82.95)</f>
        <v>82.95</v>
      </c>
      <c r="F55" s="141">
        <f ca="1">IFERROR(__xludf.DUMMYFUNCTION("""COMPUTED_VALUE"""),82.97)</f>
        <v>82.97</v>
      </c>
      <c r="G55" s="143">
        <f ca="1">IFERROR(__xludf.DUMMYFUNCTION("""COMPUTED_VALUE"""),2281184)</f>
        <v>2281184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IFERROR(__xludf.DUMMYFUNCTION("""COMPUTED_VALUE"""),82.97)</f>
        <v>82.97</v>
      </c>
      <c r="D56" s="141">
        <f ca="1">IFERROR(__xludf.DUMMYFUNCTION("""COMPUTED_VALUE"""),83)</f>
        <v>83</v>
      </c>
      <c r="E56" s="141">
        <f ca="1">IFERROR(__xludf.DUMMYFUNCTION("""COMPUTED_VALUE"""),82.9)</f>
        <v>82.9</v>
      </c>
      <c r="F56" s="141">
        <f ca="1">IFERROR(__xludf.DUMMYFUNCTION("""COMPUTED_VALUE"""),82.9)</f>
        <v>82.9</v>
      </c>
      <c r="G56" s="143">
        <f ca="1">IFERROR(__xludf.DUMMYFUNCTION("""COMPUTED_VALUE"""),2467765)</f>
        <v>2467765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IFERROR(__xludf.DUMMYFUNCTION("""COMPUTED_VALUE"""),82.96)</f>
        <v>82.96</v>
      </c>
      <c r="D57" s="141">
        <f ca="1">IFERROR(__xludf.DUMMYFUNCTION("""COMPUTED_VALUE"""),82.96)</f>
        <v>82.96</v>
      </c>
      <c r="E57" s="141">
        <f ca="1">IFERROR(__xludf.DUMMYFUNCTION("""COMPUTED_VALUE"""),82.91)</f>
        <v>82.91</v>
      </c>
      <c r="F57" s="141">
        <f ca="1">IFERROR(__xludf.DUMMYFUNCTION("""COMPUTED_VALUE"""),82.91)</f>
        <v>82.91</v>
      </c>
      <c r="G57" s="143">
        <f ca="1">IFERROR(__xludf.DUMMYFUNCTION("""COMPUTED_VALUE"""),8269543)</f>
        <v>8269543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IFERROR(__xludf.DUMMYFUNCTION("""COMPUTED_VALUE"""),82.97)</f>
        <v>82.97</v>
      </c>
      <c r="D58" s="141">
        <f ca="1">IFERROR(__xludf.DUMMYFUNCTION("""COMPUTED_VALUE"""),83)</f>
        <v>83</v>
      </c>
      <c r="E58" s="141">
        <f ca="1">IFERROR(__xludf.DUMMYFUNCTION("""COMPUTED_VALUE"""),82.93)</f>
        <v>82.93</v>
      </c>
      <c r="F58" s="141">
        <f ca="1">IFERROR(__xludf.DUMMYFUNCTION("""COMPUTED_VALUE"""),82.94)</f>
        <v>82.94</v>
      </c>
      <c r="G58" s="143">
        <f ca="1">IFERROR(__xludf.DUMMYFUNCTION("""COMPUTED_VALUE"""),4892415)</f>
        <v>4892415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IFERROR(__xludf.DUMMYFUNCTION("""COMPUTED_VALUE"""),82.94)</f>
        <v>82.94</v>
      </c>
      <c r="D59" s="141">
        <f ca="1">IFERROR(__xludf.DUMMYFUNCTION("""COMPUTED_VALUE"""),82.94)</f>
        <v>82.94</v>
      </c>
      <c r="E59" s="141">
        <f ca="1">IFERROR(__xludf.DUMMYFUNCTION("""COMPUTED_VALUE"""),82.9)</f>
        <v>82.9</v>
      </c>
      <c r="F59" s="141">
        <f ca="1">IFERROR(__xludf.DUMMYFUNCTION("""COMPUTED_VALUE"""),82.93)</f>
        <v>82.93</v>
      </c>
      <c r="G59" s="143">
        <f ca="1">IFERROR(__xludf.DUMMYFUNCTION("""COMPUTED_VALUE"""),3057474)</f>
        <v>3057474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IFERROR(__xludf.DUMMYFUNCTION("""COMPUTED_VALUE"""),82.98)</f>
        <v>82.98</v>
      </c>
      <c r="D60" s="141">
        <f ca="1">IFERROR(__xludf.DUMMYFUNCTION("""COMPUTED_VALUE"""),82.98)</f>
        <v>82.98</v>
      </c>
      <c r="E60" s="141">
        <f ca="1">IFERROR(__xludf.DUMMYFUNCTION("""COMPUTED_VALUE"""),82.96)</f>
        <v>82.96</v>
      </c>
      <c r="F60" s="141">
        <f ca="1">IFERROR(__xludf.DUMMYFUNCTION("""COMPUTED_VALUE"""),82.96)</f>
        <v>82.96</v>
      </c>
      <c r="G60" s="143">
        <f ca="1">IFERROR(__xludf.DUMMYFUNCTION("""COMPUTED_VALUE"""),1917452)</f>
        <v>1917452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IFERROR(__xludf.DUMMYFUNCTION("""COMPUTED_VALUE"""),82.99)</f>
        <v>82.99</v>
      </c>
      <c r="D61" s="141">
        <f ca="1">IFERROR(__xludf.DUMMYFUNCTION("""COMPUTED_VALUE"""),83.02)</f>
        <v>83.02</v>
      </c>
      <c r="E61" s="141">
        <f ca="1">IFERROR(__xludf.DUMMYFUNCTION("""COMPUTED_VALUE"""),82.98)</f>
        <v>82.98</v>
      </c>
      <c r="F61" s="141">
        <f ca="1">IFERROR(__xludf.DUMMYFUNCTION("""COMPUTED_VALUE"""),83)</f>
        <v>83</v>
      </c>
      <c r="G61" s="143">
        <f ca="1">IFERROR(__xludf.DUMMYFUNCTION("""COMPUTED_VALUE"""),2091170)</f>
        <v>2091170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IFERROR(__xludf.DUMMYFUNCTION("""COMPUTED_VALUE"""),83.02)</f>
        <v>83.02</v>
      </c>
      <c r="D62" s="141">
        <f ca="1">IFERROR(__xludf.DUMMYFUNCTION("""COMPUTED_VALUE"""),83.09)</f>
        <v>83.09</v>
      </c>
      <c r="E62" s="141">
        <f ca="1">IFERROR(__xludf.DUMMYFUNCTION("""COMPUTED_VALUE"""),82.96)</f>
        <v>82.96</v>
      </c>
      <c r="F62" s="141">
        <f ca="1">IFERROR(__xludf.DUMMYFUNCTION("""COMPUTED_VALUE"""),82.96)</f>
        <v>82.96</v>
      </c>
      <c r="G62" s="143">
        <f ca="1">IFERROR(__xludf.DUMMYFUNCTION("""COMPUTED_VALUE"""),4243874)</f>
        <v>4243874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IFERROR(__xludf.DUMMYFUNCTION("""COMPUTED_VALUE"""),82.93)</f>
        <v>82.93</v>
      </c>
      <c r="D63" s="141">
        <f ca="1">IFERROR(__xludf.DUMMYFUNCTION("""COMPUTED_VALUE"""),82.96)</f>
        <v>82.96</v>
      </c>
      <c r="E63" s="141">
        <f ca="1">IFERROR(__xludf.DUMMYFUNCTION("""COMPUTED_VALUE"""),82.91)</f>
        <v>82.91</v>
      </c>
      <c r="F63" s="141">
        <f ca="1">IFERROR(__xludf.DUMMYFUNCTION("""COMPUTED_VALUE"""),82.93)</f>
        <v>82.93</v>
      </c>
      <c r="G63" s="143">
        <f ca="1">IFERROR(__xludf.DUMMYFUNCTION("""COMPUTED_VALUE"""),2847610)</f>
        <v>2847610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IFERROR(__xludf.DUMMYFUNCTION("""COMPUTED_VALUE"""),82.96)</f>
        <v>82.96</v>
      </c>
      <c r="D64" s="141">
        <f ca="1">IFERROR(__xludf.DUMMYFUNCTION("""COMPUTED_VALUE"""),82.98)</f>
        <v>82.98</v>
      </c>
      <c r="E64" s="141">
        <f ca="1">IFERROR(__xludf.DUMMYFUNCTION("""COMPUTED_VALUE"""),82.95)</f>
        <v>82.95</v>
      </c>
      <c r="F64" s="141">
        <f ca="1">IFERROR(__xludf.DUMMYFUNCTION("""COMPUTED_VALUE"""),82.96)</f>
        <v>82.96</v>
      </c>
      <c r="G64" s="143">
        <f ca="1">IFERROR(__xludf.DUMMYFUNCTION("""COMPUTED_VALUE"""),2197043)</f>
        <v>2197043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IFERROR(__xludf.DUMMYFUNCTION("""COMPUTED_VALUE"""),82.97)</f>
        <v>82.97</v>
      </c>
      <c r="D65" s="141">
        <f ca="1">IFERROR(__xludf.DUMMYFUNCTION("""COMPUTED_VALUE"""),82.98)</f>
        <v>82.98</v>
      </c>
      <c r="E65" s="141">
        <f ca="1">IFERROR(__xludf.DUMMYFUNCTION("""COMPUTED_VALUE"""),82.92)</f>
        <v>82.92</v>
      </c>
      <c r="F65" s="141">
        <f ca="1">IFERROR(__xludf.DUMMYFUNCTION("""COMPUTED_VALUE"""),82.92)</f>
        <v>82.92</v>
      </c>
      <c r="G65" s="143">
        <f ca="1">IFERROR(__xludf.DUMMYFUNCTION("""COMPUTED_VALUE"""),1835836)</f>
        <v>1835836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IFERROR(__xludf.DUMMYFUNCTION("""COMPUTED_VALUE"""),82.94)</f>
        <v>82.94</v>
      </c>
      <c r="D66" s="141">
        <f ca="1">IFERROR(__xludf.DUMMYFUNCTION("""COMPUTED_VALUE"""),82.97)</f>
        <v>82.97</v>
      </c>
      <c r="E66" s="141">
        <f ca="1">IFERROR(__xludf.DUMMYFUNCTION("""COMPUTED_VALUE"""),82.93)</f>
        <v>82.93</v>
      </c>
      <c r="F66" s="141">
        <f ca="1">IFERROR(__xludf.DUMMYFUNCTION("""COMPUTED_VALUE"""),82.95)</f>
        <v>82.95</v>
      </c>
      <c r="G66" s="143">
        <f ca="1">IFERROR(__xludf.DUMMYFUNCTION("""COMPUTED_VALUE"""),2433314)</f>
        <v>2433314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IFERROR(__xludf.DUMMYFUNCTION("""COMPUTED_VALUE"""),82.94)</f>
        <v>82.94</v>
      </c>
      <c r="D67" s="141">
        <f ca="1">IFERROR(__xludf.DUMMYFUNCTION("""COMPUTED_VALUE"""),82.95)</f>
        <v>82.95</v>
      </c>
      <c r="E67" s="141">
        <f ca="1">IFERROR(__xludf.DUMMYFUNCTION("""COMPUTED_VALUE"""),82.91)</f>
        <v>82.91</v>
      </c>
      <c r="F67" s="141">
        <f ca="1">IFERROR(__xludf.DUMMYFUNCTION("""COMPUTED_VALUE"""),82.91)</f>
        <v>82.91</v>
      </c>
      <c r="G67" s="143">
        <f ca="1">IFERROR(__xludf.DUMMYFUNCTION("""COMPUTED_VALUE"""),3073966)</f>
        <v>3073966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IFERROR(__xludf.DUMMYFUNCTION("""COMPUTED_VALUE"""),82.86)</f>
        <v>82.86</v>
      </c>
      <c r="D68" s="141">
        <f ca="1">IFERROR(__xludf.DUMMYFUNCTION("""COMPUTED_VALUE"""),82.87)</f>
        <v>82.87</v>
      </c>
      <c r="E68" s="141">
        <f ca="1">IFERROR(__xludf.DUMMYFUNCTION("""COMPUTED_VALUE"""),82.83)</f>
        <v>82.83</v>
      </c>
      <c r="F68" s="141">
        <f ca="1">IFERROR(__xludf.DUMMYFUNCTION("""COMPUTED_VALUE"""),82.84)</f>
        <v>82.84</v>
      </c>
      <c r="G68" s="143">
        <f ca="1">IFERROR(__xludf.DUMMYFUNCTION("""COMPUTED_VALUE"""),3458195)</f>
        <v>3458195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IFERROR(__xludf.DUMMYFUNCTION("""COMPUTED_VALUE"""),82.87)</f>
        <v>82.87</v>
      </c>
      <c r="D69" s="141">
        <f ca="1">IFERROR(__xludf.DUMMYFUNCTION("""COMPUTED_VALUE"""),82.9)</f>
        <v>82.9</v>
      </c>
      <c r="E69" s="141">
        <f ca="1">IFERROR(__xludf.DUMMYFUNCTION("""COMPUTED_VALUE"""),82.85)</f>
        <v>82.85</v>
      </c>
      <c r="F69" s="141">
        <f ca="1">IFERROR(__xludf.DUMMYFUNCTION("""COMPUTED_VALUE"""),82.89)</f>
        <v>82.89</v>
      </c>
      <c r="G69" s="143">
        <f ca="1">IFERROR(__xludf.DUMMYFUNCTION("""COMPUTED_VALUE"""),2291720)</f>
        <v>2291720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IFERROR(__xludf.DUMMYFUNCTION("""COMPUTED_VALUE"""),82.9)</f>
        <v>82.9</v>
      </c>
      <c r="D70" s="141">
        <f ca="1">IFERROR(__xludf.DUMMYFUNCTION("""COMPUTED_VALUE"""),82.93)</f>
        <v>82.93</v>
      </c>
      <c r="E70" s="141">
        <f ca="1">IFERROR(__xludf.DUMMYFUNCTION("""COMPUTED_VALUE"""),82.9)</f>
        <v>82.9</v>
      </c>
      <c r="F70" s="141">
        <f ca="1">IFERROR(__xludf.DUMMYFUNCTION("""COMPUTED_VALUE"""),82.92)</f>
        <v>82.92</v>
      </c>
      <c r="G70" s="143">
        <f ca="1">IFERROR(__xludf.DUMMYFUNCTION("""COMPUTED_VALUE"""),3837216)</f>
        <v>3837216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IFERROR(__xludf.DUMMYFUNCTION("""COMPUTED_VALUE"""),82.95)</f>
        <v>82.95</v>
      </c>
      <c r="D71" s="141">
        <f ca="1">IFERROR(__xludf.DUMMYFUNCTION("""COMPUTED_VALUE"""),82.99)</f>
        <v>82.99</v>
      </c>
      <c r="E71" s="141">
        <f ca="1">IFERROR(__xludf.DUMMYFUNCTION("""COMPUTED_VALUE"""),82.95)</f>
        <v>82.95</v>
      </c>
      <c r="F71" s="141">
        <f ca="1">IFERROR(__xludf.DUMMYFUNCTION("""COMPUTED_VALUE"""),82.96)</f>
        <v>82.96</v>
      </c>
      <c r="G71" s="143">
        <f ca="1">IFERROR(__xludf.DUMMYFUNCTION("""COMPUTED_VALUE"""),4044116)</f>
        <v>4044116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IFERROR(__xludf.DUMMYFUNCTION("""COMPUTED_VALUE"""),82.81)</f>
        <v>82.81</v>
      </c>
      <c r="D72" s="141">
        <f ca="1">IFERROR(__xludf.DUMMYFUNCTION("""COMPUTED_VALUE"""),82.82)</f>
        <v>82.82</v>
      </c>
      <c r="E72" s="141">
        <f ca="1">IFERROR(__xludf.DUMMYFUNCTION("""COMPUTED_VALUE"""),82.77)</f>
        <v>82.77</v>
      </c>
      <c r="F72" s="141">
        <f ca="1">IFERROR(__xludf.DUMMYFUNCTION("""COMPUTED_VALUE"""),82.8)</f>
        <v>82.8</v>
      </c>
      <c r="G72" s="143">
        <f ca="1">IFERROR(__xludf.DUMMYFUNCTION("""COMPUTED_VALUE"""),4194432)</f>
        <v>4194432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IFERROR(__xludf.DUMMYFUNCTION("""COMPUTED_VALUE"""),82.79)</f>
        <v>82.79</v>
      </c>
      <c r="D73" s="141">
        <f ca="1">IFERROR(__xludf.DUMMYFUNCTION("""COMPUTED_VALUE"""),82.82)</f>
        <v>82.82</v>
      </c>
      <c r="E73" s="141">
        <f ca="1">IFERROR(__xludf.DUMMYFUNCTION("""COMPUTED_VALUE"""),82.77)</f>
        <v>82.77</v>
      </c>
      <c r="F73" s="141">
        <f ca="1">IFERROR(__xludf.DUMMYFUNCTION("""COMPUTED_VALUE"""),82.82)</f>
        <v>82.82</v>
      </c>
      <c r="G73" s="143">
        <f ca="1">IFERROR(__xludf.DUMMYFUNCTION("""COMPUTED_VALUE"""),1896919)</f>
        <v>1896919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IFERROR(__xludf.DUMMYFUNCTION("""COMPUTED_VALUE"""),82.82)</f>
        <v>82.82</v>
      </c>
      <c r="D74" s="141">
        <f ca="1">IFERROR(__xludf.DUMMYFUNCTION("""COMPUTED_VALUE"""),82.85)</f>
        <v>82.85</v>
      </c>
      <c r="E74" s="141">
        <f ca="1">IFERROR(__xludf.DUMMYFUNCTION("""COMPUTED_VALUE"""),82.79)</f>
        <v>82.79</v>
      </c>
      <c r="F74" s="141">
        <f ca="1">IFERROR(__xludf.DUMMYFUNCTION("""COMPUTED_VALUE"""),82.79)</f>
        <v>82.79</v>
      </c>
      <c r="G74" s="143">
        <f ca="1">IFERROR(__xludf.DUMMYFUNCTION("""COMPUTED_VALUE"""),2282252)</f>
        <v>2282252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IFERROR(__xludf.DUMMYFUNCTION("""COMPUTED_VALUE"""),82.78)</f>
        <v>82.78</v>
      </c>
      <c r="D75" s="141">
        <f ca="1">IFERROR(__xludf.DUMMYFUNCTION("""COMPUTED_VALUE"""),82.8)</f>
        <v>82.8</v>
      </c>
      <c r="E75" s="141">
        <f ca="1">IFERROR(__xludf.DUMMYFUNCTION("""COMPUTED_VALUE"""),82.77)</f>
        <v>82.77</v>
      </c>
      <c r="F75" s="141">
        <f ca="1">IFERROR(__xludf.DUMMYFUNCTION("""COMPUTED_VALUE"""),82.77)</f>
        <v>82.77</v>
      </c>
      <c r="G75" s="143">
        <f ca="1">IFERROR(__xludf.DUMMYFUNCTION("""COMPUTED_VALUE"""),2637263)</f>
        <v>2637263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IFERROR(__xludf.DUMMYFUNCTION("""COMPUTED_VALUE"""),82.79)</f>
        <v>82.79</v>
      </c>
      <c r="D76" s="141">
        <f ca="1">IFERROR(__xludf.DUMMYFUNCTION("""COMPUTED_VALUE"""),82.83)</f>
        <v>82.83</v>
      </c>
      <c r="E76" s="141">
        <f ca="1">IFERROR(__xludf.DUMMYFUNCTION("""COMPUTED_VALUE"""),82.78)</f>
        <v>82.78</v>
      </c>
      <c r="F76" s="141">
        <f ca="1">IFERROR(__xludf.DUMMYFUNCTION("""COMPUTED_VALUE"""),82.81)</f>
        <v>82.81</v>
      </c>
      <c r="G76" s="143">
        <f ca="1">IFERROR(__xludf.DUMMYFUNCTION("""COMPUTED_VALUE"""),2301831)</f>
        <v>2301831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IFERROR(__xludf.DUMMYFUNCTION("""COMPUTED_VALUE"""),82.84)</f>
        <v>82.84</v>
      </c>
      <c r="D77" s="141">
        <f ca="1">IFERROR(__xludf.DUMMYFUNCTION("""COMPUTED_VALUE"""),82.84)</f>
        <v>82.84</v>
      </c>
      <c r="E77" s="141">
        <f ca="1">IFERROR(__xludf.DUMMYFUNCTION("""COMPUTED_VALUE"""),82.79)</f>
        <v>82.79</v>
      </c>
      <c r="F77" s="141">
        <f ca="1">IFERROR(__xludf.DUMMYFUNCTION("""COMPUTED_VALUE"""),82.8)</f>
        <v>82.8</v>
      </c>
      <c r="G77" s="143">
        <f ca="1">IFERROR(__xludf.DUMMYFUNCTION("""COMPUTED_VALUE"""),2942050)</f>
        <v>2942050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IFERROR(__xludf.DUMMYFUNCTION("""COMPUTED_VALUE"""),82.8)</f>
        <v>82.8</v>
      </c>
      <c r="D78" s="141">
        <f ca="1">IFERROR(__xludf.DUMMYFUNCTION("""COMPUTED_VALUE"""),82.81)</f>
        <v>82.81</v>
      </c>
      <c r="E78" s="141">
        <f ca="1">IFERROR(__xludf.DUMMYFUNCTION("""COMPUTED_VALUE"""),82.78)</f>
        <v>82.78</v>
      </c>
      <c r="F78" s="141">
        <f ca="1">IFERROR(__xludf.DUMMYFUNCTION("""COMPUTED_VALUE"""),82.79)</f>
        <v>82.79</v>
      </c>
      <c r="G78" s="143">
        <f ca="1">IFERROR(__xludf.DUMMYFUNCTION("""COMPUTED_VALUE"""),2884793)</f>
        <v>2884793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IFERROR(__xludf.DUMMYFUNCTION("""COMPUTED_VALUE"""),82.88)</f>
        <v>82.88</v>
      </c>
      <c r="D79" s="141">
        <f ca="1">IFERROR(__xludf.DUMMYFUNCTION("""COMPUTED_VALUE"""),82.96)</f>
        <v>82.96</v>
      </c>
      <c r="E79" s="141">
        <f ca="1">IFERROR(__xludf.DUMMYFUNCTION("""COMPUTED_VALUE"""),82.85)</f>
        <v>82.85</v>
      </c>
      <c r="F79" s="141">
        <f ca="1">IFERROR(__xludf.DUMMYFUNCTION("""COMPUTED_VALUE"""),82.93)</f>
        <v>82.93</v>
      </c>
      <c r="G79" s="143">
        <f ca="1">IFERROR(__xludf.DUMMYFUNCTION("""COMPUTED_VALUE"""),5552887)</f>
        <v>5552887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IFERROR(__xludf.DUMMYFUNCTION("""COMPUTED_VALUE"""),82.95)</f>
        <v>82.95</v>
      </c>
      <c r="D80" s="141">
        <f ca="1">IFERROR(__xludf.DUMMYFUNCTION("""COMPUTED_VALUE"""),83.09)</f>
        <v>83.09</v>
      </c>
      <c r="E80" s="141">
        <f ca="1">IFERROR(__xludf.DUMMYFUNCTION("""COMPUTED_VALUE"""),82.93)</f>
        <v>82.93</v>
      </c>
      <c r="F80" s="141">
        <f ca="1">IFERROR(__xludf.DUMMYFUNCTION("""COMPUTED_VALUE"""),83.09)</f>
        <v>83.09</v>
      </c>
      <c r="G80" s="143">
        <f ca="1">IFERROR(__xludf.DUMMYFUNCTION("""COMPUTED_VALUE"""),9266422)</f>
        <v>9266422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IFERROR(__xludf.DUMMYFUNCTION("""COMPUTED_VALUE"""),83)</f>
        <v>83</v>
      </c>
      <c r="D81" s="141">
        <f ca="1">IFERROR(__xludf.DUMMYFUNCTION("""COMPUTED_VALUE"""),83.03)</f>
        <v>83.03</v>
      </c>
      <c r="E81" s="141">
        <f ca="1">IFERROR(__xludf.DUMMYFUNCTION("""COMPUTED_VALUE"""),82.98)</f>
        <v>82.98</v>
      </c>
      <c r="F81" s="141">
        <f ca="1">IFERROR(__xludf.DUMMYFUNCTION("""COMPUTED_VALUE"""),83.03)</f>
        <v>83.03</v>
      </c>
      <c r="G81" s="143">
        <f ca="1">IFERROR(__xludf.DUMMYFUNCTION("""COMPUTED_VALUE"""),6221224)</f>
        <v>6221224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IFERROR(__xludf.DUMMYFUNCTION("""COMPUTED_VALUE"""),83)</f>
        <v>83</v>
      </c>
      <c r="D82" s="141">
        <f ca="1">IFERROR(__xludf.DUMMYFUNCTION("""COMPUTED_VALUE"""),83.02)</f>
        <v>83.02</v>
      </c>
      <c r="E82" s="141">
        <f ca="1">IFERROR(__xludf.DUMMYFUNCTION("""COMPUTED_VALUE"""),82.98)</f>
        <v>82.98</v>
      </c>
      <c r="F82" s="141">
        <f ca="1">IFERROR(__xludf.DUMMYFUNCTION("""COMPUTED_VALUE"""),82.99)</f>
        <v>82.99</v>
      </c>
      <c r="G82" s="143">
        <f ca="1">IFERROR(__xludf.DUMMYFUNCTION("""COMPUTED_VALUE"""),3720308)</f>
        <v>3720308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IFERROR(__xludf.DUMMYFUNCTION("""COMPUTED_VALUE"""),82.98)</f>
        <v>82.98</v>
      </c>
      <c r="D83" s="141">
        <f ca="1">IFERROR(__xludf.DUMMYFUNCTION("""COMPUTED_VALUE"""),83.13)</f>
        <v>83.13</v>
      </c>
      <c r="E83" s="141">
        <f ca="1">IFERROR(__xludf.DUMMYFUNCTION("""COMPUTED_VALUE"""),82.98)</f>
        <v>82.98</v>
      </c>
      <c r="F83" s="141">
        <f ca="1">IFERROR(__xludf.DUMMYFUNCTION("""COMPUTED_VALUE"""),83.1)</f>
        <v>83.1</v>
      </c>
      <c r="G83" s="143">
        <f ca="1">IFERROR(__xludf.DUMMYFUNCTION("""COMPUTED_VALUE"""),5563813)</f>
        <v>5563813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IFERROR(__xludf.DUMMYFUNCTION("""COMPUTED_VALUE"""),83.1)</f>
        <v>83.1</v>
      </c>
      <c r="D84" s="141">
        <f ca="1">IFERROR(__xludf.DUMMYFUNCTION("""COMPUTED_VALUE"""),83.12)</f>
        <v>83.12</v>
      </c>
      <c r="E84" s="141">
        <f ca="1">IFERROR(__xludf.DUMMYFUNCTION("""COMPUTED_VALUE"""),83.07)</f>
        <v>83.07</v>
      </c>
      <c r="F84" s="141">
        <f ca="1">IFERROR(__xludf.DUMMYFUNCTION("""COMPUTED_VALUE"""),83.09)</f>
        <v>83.09</v>
      </c>
      <c r="G84" s="143">
        <f ca="1">IFERROR(__xludf.DUMMYFUNCTION("""COMPUTED_VALUE"""),3354775)</f>
        <v>3354775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IFERROR(__xludf.DUMMYFUNCTION("""COMPUTED_VALUE"""),83.1)</f>
        <v>83.1</v>
      </c>
      <c r="D85" s="141">
        <f ca="1">IFERROR(__xludf.DUMMYFUNCTION("""COMPUTED_VALUE"""),83.1)</f>
        <v>83.1</v>
      </c>
      <c r="E85" s="141">
        <f ca="1">IFERROR(__xludf.DUMMYFUNCTION("""COMPUTED_VALUE"""),83.07)</f>
        <v>83.07</v>
      </c>
      <c r="F85" s="141">
        <f ca="1">IFERROR(__xludf.DUMMYFUNCTION("""COMPUTED_VALUE"""),83.1)</f>
        <v>83.1</v>
      </c>
      <c r="G85" s="143">
        <f ca="1">IFERROR(__xludf.DUMMYFUNCTION("""COMPUTED_VALUE"""),3331847)</f>
        <v>3331847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IFERROR(__xludf.DUMMYFUNCTION("""COMPUTED_VALUE"""),83.12)</f>
        <v>83.12</v>
      </c>
      <c r="D86" s="141">
        <f ca="1">IFERROR(__xludf.DUMMYFUNCTION("""COMPUTED_VALUE"""),83.13)</f>
        <v>83.13</v>
      </c>
      <c r="E86" s="141">
        <f ca="1">IFERROR(__xludf.DUMMYFUNCTION("""COMPUTED_VALUE"""),83.1)</f>
        <v>83.1</v>
      </c>
      <c r="F86" s="141">
        <f ca="1">IFERROR(__xludf.DUMMYFUNCTION("""COMPUTED_VALUE"""),83.12)</f>
        <v>83.12</v>
      </c>
      <c r="G86" s="143">
        <f ca="1">IFERROR(__xludf.DUMMYFUNCTION("""COMPUTED_VALUE"""),4726847)</f>
        <v>4726847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IFERROR(__xludf.DUMMYFUNCTION("""COMPUTED_VALUE"""),83.1)</f>
        <v>83.1</v>
      </c>
      <c r="D87" s="141">
        <f ca="1">IFERROR(__xludf.DUMMYFUNCTION("""COMPUTED_VALUE"""),83.14)</f>
        <v>83.14</v>
      </c>
      <c r="E87" s="141">
        <f ca="1">IFERROR(__xludf.DUMMYFUNCTION("""COMPUTED_VALUE"""),83.1)</f>
        <v>83.1</v>
      </c>
      <c r="F87" s="141">
        <f ca="1">IFERROR(__xludf.DUMMYFUNCTION("""COMPUTED_VALUE"""),83.12)</f>
        <v>83.12</v>
      </c>
      <c r="G87" s="143">
        <f ca="1">IFERROR(__xludf.DUMMYFUNCTION("""COMPUTED_VALUE"""),6952989)</f>
        <v>6952989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IFERROR(__xludf.DUMMYFUNCTION("""COMPUTED_VALUE"""),83.1)</f>
        <v>83.1</v>
      </c>
      <c r="D88" s="141">
        <f ca="1">IFERROR(__xludf.DUMMYFUNCTION("""COMPUTED_VALUE"""),83.11)</f>
        <v>83.11</v>
      </c>
      <c r="E88" s="141">
        <f ca="1">IFERROR(__xludf.DUMMYFUNCTION("""COMPUTED_VALUE"""),83.06)</f>
        <v>83.06</v>
      </c>
      <c r="F88" s="141">
        <f ca="1">IFERROR(__xludf.DUMMYFUNCTION("""COMPUTED_VALUE"""),83.06)</f>
        <v>83.06</v>
      </c>
      <c r="G88" s="143">
        <f ca="1">IFERROR(__xludf.DUMMYFUNCTION("""COMPUTED_VALUE"""),4405478)</f>
        <v>4405478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IFERROR(__xludf.DUMMYFUNCTION("""COMPUTED_VALUE"""),83.12)</f>
        <v>83.12</v>
      </c>
      <c r="D89" s="141">
        <f ca="1">IFERROR(__xludf.DUMMYFUNCTION("""COMPUTED_VALUE"""),83.13)</f>
        <v>83.13</v>
      </c>
      <c r="E89" s="141">
        <f ca="1">IFERROR(__xludf.DUMMYFUNCTION("""COMPUTED_VALUE"""),83.09)</f>
        <v>83.09</v>
      </c>
      <c r="F89" s="141">
        <f ca="1">IFERROR(__xludf.DUMMYFUNCTION("""COMPUTED_VALUE"""),83.11)</f>
        <v>83.11</v>
      </c>
      <c r="G89" s="143">
        <f ca="1">IFERROR(__xludf.DUMMYFUNCTION("""COMPUTED_VALUE"""),2293471)</f>
        <v>2293471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IFERROR(__xludf.DUMMYFUNCTION("""COMPUTED_VALUE"""),83.09)</f>
        <v>83.09</v>
      </c>
      <c r="D90" s="141">
        <f ca="1">IFERROR(__xludf.DUMMYFUNCTION("""COMPUTED_VALUE"""),83.1)</f>
        <v>83.1</v>
      </c>
      <c r="E90" s="141">
        <f ca="1">IFERROR(__xludf.DUMMYFUNCTION("""COMPUTED_VALUE"""),83.06)</f>
        <v>83.06</v>
      </c>
      <c r="F90" s="141">
        <f ca="1">IFERROR(__xludf.DUMMYFUNCTION("""COMPUTED_VALUE"""),83.09)</f>
        <v>83.09</v>
      </c>
      <c r="G90" s="143">
        <f ca="1">IFERROR(__xludf.DUMMYFUNCTION("""COMPUTED_VALUE"""),6043823)</f>
        <v>6043823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IFERROR(__xludf.DUMMYFUNCTION("""COMPUTED_VALUE"""),83.08)</f>
        <v>83.08</v>
      </c>
      <c r="D91" s="141">
        <f ca="1">IFERROR(__xludf.DUMMYFUNCTION("""COMPUTED_VALUE"""),83.11)</f>
        <v>83.11</v>
      </c>
      <c r="E91" s="141">
        <f ca="1">IFERROR(__xludf.DUMMYFUNCTION("""COMPUTED_VALUE"""),83.07)</f>
        <v>83.07</v>
      </c>
      <c r="F91" s="141">
        <f ca="1">IFERROR(__xludf.DUMMYFUNCTION("""COMPUTED_VALUE"""),83.1)</f>
        <v>83.1</v>
      </c>
      <c r="G91" s="143">
        <f ca="1">IFERROR(__xludf.DUMMYFUNCTION("""COMPUTED_VALUE"""),6114748)</f>
        <v>6114748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IFERROR(__xludf.DUMMYFUNCTION("""COMPUTED_VALUE"""),83.11)</f>
        <v>83.11</v>
      </c>
      <c r="D92" s="141">
        <f ca="1">IFERROR(__xludf.DUMMYFUNCTION("""COMPUTED_VALUE"""),83.11)</f>
        <v>83.11</v>
      </c>
      <c r="E92" s="141">
        <f ca="1">IFERROR(__xludf.DUMMYFUNCTION("""COMPUTED_VALUE"""),82.93)</f>
        <v>82.93</v>
      </c>
      <c r="F92" s="141">
        <f ca="1">IFERROR(__xludf.DUMMYFUNCTION("""COMPUTED_VALUE"""),82.94)</f>
        <v>82.94</v>
      </c>
      <c r="G92" s="143">
        <f ca="1">IFERROR(__xludf.DUMMYFUNCTION("""COMPUTED_VALUE"""),5335003)</f>
        <v>5335003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IFERROR(__xludf.DUMMYFUNCTION("""COMPUTED_VALUE"""),82.92)</f>
        <v>82.92</v>
      </c>
      <c r="D93" s="141">
        <f ca="1">IFERROR(__xludf.DUMMYFUNCTION("""COMPUTED_VALUE"""),82.97)</f>
        <v>82.97</v>
      </c>
      <c r="E93" s="141">
        <f ca="1">IFERROR(__xludf.DUMMYFUNCTION("""COMPUTED_VALUE"""),82.91)</f>
        <v>82.91</v>
      </c>
      <c r="F93" s="141">
        <f ca="1">IFERROR(__xludf.DUMMYFUNCTION("""COMPUTED_VALUE"""),82.95)</f>
        <v>82.95</v>
      </c>
      <c r="G93" s="143">
        <f ca="1">IFERROR(__xludf.DUMMYFUNCTION("""COMPUTED_VALUE"""),3799462)</f>
        <v>3799462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IFERROR(__xludf.DUMMYFUNCTION("""COMPUTED_VALUE"""),82.98)</f>
        <v>82.98</v>
      </c>
      <c r="D94" s="141">
        <f ca="1">IFERROR(__xludf.DUMMYFUNCTION("""COMPUTED_VALUE"""),82.99)</f>
        <v>82.99</v>
      </c>
      <c r="E94" s="141">
        <f ca="1">IFERROR(__xludf.DUMMYFUNCTION("""COMPUTED_VALUE"""),82.96)</f>
        <v>82.96</v>
      </c>
      <c r="F94" s="141">
        <f ca="1">IFERROR(__xludf.DUMMYFUNCTION("""COMPUTED_VALUE"""),82.98)</f>
        <v>82.98</v>
      </c>
      <c r="G94" s="143">
        <f ca="1">IFERROR(__xludf.DUMMYFUNCTION("""COMPUTED_VALUE"""),3593078)</f>
        <v>3593078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IFERROR(__xludf.DUMMYFUNCTION("""COMPUTED_VALUE"""),82.71)</f>
        <v>82.71</v>
      </c>
      <c r="D95" s="141">
        <f ca="1">IFERROR(__xludf.DUMMYFUNCTION("""COMPUTED_VALUE"""),82.75)</f>
        <v>82.75</v>
      </c>
      <c r="E95" s="141">
        <f ca="1">IFERROR(__xludf.DUMMYFUNCTION("""COMPUTED_VALUE"""),82.71)</f>
        <v>82.71</v>
      </c>
      <c r="F95" s="141">
        <f ca="1">IFERROR(__xludf.DUMMYFUNCTION("""COMPUTED_VALUE"""),82.72)</f>
        <v>82.72</v>
      </c>
      <c r="G95" s="143">
        <f ca="1">IFERROR(__xludf.DUMMYFUNCTION("""COMPUTED_VALUE"""),5418880)</f>
        <v>5418880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IFERROR(__xludf.DUMMYFUNCTION("""COMPUTED_VALUE"""),82.76)</f>
        <v>82.76</v>
      </c>
      <c r="D96" s="141">
        <f ca="1">IFERROR(__xludf.DUMMYFUNCTION("""COMPUTED_VALUE"""),82.78)</f>
        <v>82.78</v>
      </c>
      <c r="E96" s="141">
        <f ca="1">IFERROR(__xludf.DUMMYFUNCTION("""COMPUTED_VALUE"""),82.75)</f>
        <v>82.75</v>
      </c>
      <c r="F96" s="141">
        <f ca="1">IFERROR(__xludf.DUMMYFUNCTION("""COMPUTED_VALUE"""),82.75)</f>
        <v>82.75</v>
      </c>
      <c r="G96" s="143">
        <f ca="1">IFERROR(__xludf.DUMMYFUNCTION("""COMPUTED_VALUE"""),6502044)</f>
        <v>6502044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IFERROR(__xludf.DUMMYFUNCTION("""COMPUTED_VALUE"""),82.75)</f>
        <v>82.75</v>
      </c>
      <c r="D97" s="141">
        <f ca="1">IFERROR(__xludf.DUMMYFUNCTION("""COMPUTED_VALUE"""),82.76)</f>
        <v>82.76</v>
      </c>
      <c r="E97" s="141">
        <f ca="1">IFERROR(__xludf.DUMMYFUNCTION("""COMPUTED_VALUE"""),82.68)</f>
        <v>82.68</v>
      </c>
      <c r="F97" s="141">
        <f ca="1">IFERROR(__xludf.DUMMYFUNCTION("""COMPUTED_VALUE"""),82.69)</f>
        <v>82.69</v>
      </c>
      <c r="G97" s="143">
        <f ca="1">IFERROR(__xludf.DUMMYFUNCTION("""COMPUTED_VALUE"""),3952622)</f>
        <v>3952622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IFERROR(__xludf.DUMMYFUNCTION("""COMPUTED_VALUE"""),82.78)</f>
        <v>82.78</v>
      </c>
      <c r="D98" s="141">
        <f ca="1">IFERROR(__xludf.DUMMYFUNCTION("""COMPUTED_VALUE"""),82.82)</f>
        <v>82.82</v>
      </c>
      <c r="E98" s="141">
        <f ca="1">IFERROR(__xludf.DUMMYFUNCTION("""COMPUTED_VALUE"""),82.77)</f>
        <v>82.77</v>
      </c>
      <c r="F98" s="141">
        <f ca="1">IFERROR(__xludf.DUMMYFUNCTION("""COMPUTED_VALUE"""),82.79)</f>
        <v>82.79</v>
      </c>
      <c r="G98" s="143">
        <f ca="1">IFERROR(__xludf.DUMMYFUNCTION("""COMPUTED_VALUE"""),3725171)</f>
        <v>3725171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IFERROR(__xludf.DUMMYFUNCTION("""COMPUTED_VALUE"""),82.81)</f>
        <v>82.81</v>
      </c>
      <c r="D99" s="141">
        <f ca="1">IFERROR(__xludf.DUMMYFUNCTION("""COMPUTED_VALUE"""),82.88)</f>
        <v>82.88</v>
      </c>
      <c r="E99" s="141">
        <f ca="1">IFERROR(__xludf.DUMMYFUNCTION("""COMPUTED_VALUE"""),82.81)</f>
        <v>82.81</v>
      </c>
      <c r="F99" s="141">
        <f ca="1">IFERROR(__xludf.DUMMYFUNCTION("""COMPUTED_VALUE"""),82.83)</f>
        <v>82.83</v>
      </c>
      <c r="G99" s="143">
        <f ca="1">IFERROR(__xludf.DUMMYFUNCTION("""COMPUTED_VALUE"""),2943022)</f>
        <v>2943022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IFERROR(__xludf.DUMMYFUNCTION("""COMPUTED_VALUE"""),82.82)</f>
        <v>82.82</v>
      </c>
      <c r="D100" s="141">
        <f ca="1">IFERROR(__xludf.DUMMYFUNCTION("""COMPUTED_VALUE"""),82.83)</f>
        <v>82.83</v>
      </c>
      <c r="E100" s="141">
        <f ca="1">IFERROR(__xludf.DUMMYFUNCTION("""COMPUTED_VALUE"""),82.8)</f>
        <v>82.8</v>
      </c>
      <c r="F100" s="141">
        <f ca="1">IFERROR(__xludf.DUMMYFUNCTION("""COMPUTED_VALUE"""),82.81)</f>
        <v>82.81</v>
      </c>
      <c r="G100" s="143">
        <f ca="1">IFERROR(__xludf.DUMMYFUNCTION("""COMPUTED_VALUE"""),6287859)</f>
        <v>6287859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IFERROR(__xludf.DUMMYFUNCTION("""COMPUTED_VALUE"""),82.86)</f>
        <v>82.86</v>
      </c>
      <c r="D101" s="141">
        <f ca="1">IFERROR(__xludf.DUMMYFUNCTION("""COMPUTED_VALUE"""),82.88)</f>
        <v>82.88</v>
      </c>
      <c r="E101" s="141">
        <f ca="1">IFERROR(__xludf.DUMMYFUNCTION("""COMPUTED_VALUE"""),82.84)</f>
        <v>82.84</v>
      </c>
      <c r="F101" s="141">
        <f ca="1">IFERROR(__xludf.DUMMYFUNCTION("""COMPUTED_VALUE"""),82.88)</f>
        <v>82.88</v>
      </c>
      <c r="G101" s="143">
        <f ca="1">IFERROR(__xludf.DUMMYFUNCTION("""COMPUTED_VALUE"""),4175209)</f>
        <v>4175209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IFERROR(__xludf.DUMMYFUNCTION("""COMPUTED_VALUE"""),82.85)</f>
        <v>82.85</v>
      </c>
      <c r="D102" s="141">
        <f ca="1">IFERROR(__xludf.DUMMYFUNCTION("""COMPUTED_VALUE"""),82.87)</f>
        <v>82.87</v>
      </c>
      <c r="E102" s="141">
        <f ca="1">IFERROR(__xludf.DUMMYFUNCTION("""COMPUTED_VALUE"""),82.84)</f>
        <v>82.84</v>
      </c>
      <c r="F102" s="141">
        <f ca="1">IFERROR(__xludf.DUMMYFUNCTION("""COMPUTED_VALUE"""),82.85)</f>
        <v>82.85</v>
      </c>
      <c r="G102" s="143">
        <f ca="1">IFERROR(__xludf.DUMMYFUNCTION("""COMPUTED_VALUE"""),2370006)</f>
        <v>2370006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IFERROR(__xludf.DUMMYFUNCTION("""COMPUTED_VALUE"""),82.8)</f>
        <v>82.8</v>
      </c>
      <c r="D103" s="141">
        <f ca="1">IFERROR(__xludf.DUMMYFUNCTION("""COMPUTED_VALUE"""),82.83)</f>
        <v>82.83</v>
      </c>
      <c r="E103" s="141">
        <f ca="1">IFERROR(__xludf.DUMMYFUNCTION("""COMPUTED_VALUE"""),82.8)</f>
        <v>82.8</v>
      </c>
      <c r="F103" s="141">
        <f ca="1">IFERROR(__xludf.DUMMYFUNCTION("""COMPUTED_VALUE"""),82.8)</f>
        <v>82.8</v>
      </c>
      <c r="G103" s="143">
        <f ca="1">IFERROR(__xludf.DUMMYFUNCTION("""COMPUTED_VALUE"""),5328097)</f>
        <v>5328097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IFERROR(__xludf.DUMMYFUNCTION("""COMPUTED_VALUE"""),82.88)</f>
        <v>82.88</v>
      </c>
      <c r="D104" s="141">
        <f ca="1">IFERROR(__xludf.DUMMYFUNCTION("""COMPUTED_VALUE"""),82.89)</f>
        <v>82.89</v>
      </c>
      <c r="E104" s="141">
        <f ca="1">IFERROR(__xludf.DUMMYFUNCTION("""COMPUTED_VALUE"""),82.8)</f>
        <v>82.8</v>
      </c>
      <c r="F104" s="141">
        <f ca="1">IFERROR(__xludf.DUMMYFUNCTION("""COMPUTED_VALUE"""),82.83)</f>
        <v>82.83</v>
      </c>
      <c r="G104" s="143">
        <f ca="1">IFERROR(__xludf.DUMMYFUNCTION("""COMPUTED_VALUE"""),5749973)</f>
        <v>5749973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IFERROR(__xludf.DUMMYFUNCTION("""COMPUTED_VALUE"""),82.83)</f>
        <v>82.83</v>
      </c>
      <c r="D105" s="141">
        <f ca="1">IFERROR(__xludf.DUMMYFUNCTION("""COMPUTED_VALUE"""),82.83)</f>
        <v>82.83</v>
      </c>
      <c r="E105" s="141">
        <f ca="1">IFERROR(__xludf.DUMMYFUNCTION("""COMPUTED_VALUE"""),82.81)</f>
        <v>82.81</v>
      </c>
      <c r="F105" s="141">
        <f ca="1">IFERROR(__xludf.DUMMYFUNCTION("""COMPUTED_VALUE"""),82.82)</f>
        <v>82.82</v>
      </c>
      <c r="G105" s="143">
        <f ca="1">IFERROR(__xludf.DUMMYFUNCTION("""COMPUTED_VALUE"""),7200956)</f>
        <v>7200956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IFERROR(__xludf.DUMMYFUNCTION("""COMPUTED_VALUE"""),82.9)</f>
        <v>82.9</v>
      </c>
      <c r="D106" s="141">
        <f ca="1">IFERROR(__xludf.DUMMYFUNCTION("""COMPUTED_VALUE"""),82.92)</f>
        <v>82.92</v>
      </c>
      <c r="E106" s="141">
        <f ca="1">IFERROR(__xludf.DUMMYFUNCTION("""COMPUTED_VALUE"""),82.85)</f>
        <v>82.85</v>
      </c>
      <c r="F106" s="141">
        <f ca="1">IFERROR(__xludf.DUMMYFUNCTION("""COMPUTED_VALUE"""),82.87)</f>
        <v>82.87</v>
      </c>
      <c r="G106" s="143">
        <f ca="1">IFERROR(__xludf.DUMMYFUNCTION("""COMPUTED_VALUE"""),3498469)</f>
        <v>3498469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IFERROR(__xludf.DUMMYFUNCTION("""COMPUTED_VALUE"""),82.9)</f>
        <v>82.9</v>
      </c>
      <c r="D107" s="141">
        <f ca="1">IFERROR(__xludf.DUMMYFUNCTION("""COMPUTED_VALUE"""),82.92)</f>
        <v>82.92</v>
      </c>
      <c r="E107" s="141">
        <f ca="1">IFERROR(__xludf.DUMMYFUNCTION("""COMPUTED_VALUE"""),82.85)</f>
        <v>82.85</v>
      </c>
      <c r="F107" s="141">
        <f ca="1">IFERROR(__xludf.DUMMYFUNCTION("""COMPUTED_VALUE"""),82.86)</f>
        <v>82.86</v>
      </c>
      <c r="G107" s="143">
        <f ca="1">IFERROR(__xludf.DUMMYFUNCTION("""COMPUTED_VALUE"""),2679780)</f>
        <v>2679780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IFERROR(__xludf.DUMMYFUNCTION("""COMPUTED_VALUE"""),82.9)</f>
        <v>82.9</v>
      </c>
      <c r="D108" s="141">
        <f ca="1">IFERROR(__xludf.DUMMYFUNCTION("""COMPUTED_VALUE"""),82.96)</f>
        <v>82.96</v>
      </c>
      <c r="E108" s="141">
        <f ca="1">IFERROR(__xludf.DUMMYFUNCTION("""COMPUTED_VALUE"""),82.89)</f>
        <v>82.89</v>
      </c>
      <c r="F108" s="141">
        <f ca="1">IFERROR(__xludf.DUMMYFUNCTION("""COMPUTED_VALUE"""),82.93)</f>
        <v>82.93</v>
      </c>
      <c r="G108" s="143">
        <f ca="1">IFERROR(__xludf.DUMMYFUNCTION("""COMPUTED_VALUE"""),5810789)</f>
        <v>5810789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IFERROR(__xludf.DUMMYFUNCTION("""COMPUTED_VALUE"""),83.02)</f>
        <v>83.02</v>
      </c>
      <c r="D109" s="141">
        <f ca="1">IFERROR(__xludf.DUMMYFUNCTION("""COMPUTED_VALUE"""),83.04)</f>
        <v>83.04</v>
      </c>
      <c r="E109" s="141">
        <f ca="1">IFERROR(__xludf.DUMMYFUNCTION("""COMPUTED_VALUE"""),82.98)</f>
        <v>82.98</v>
      </c>
      <c r="F109" s="141">
        <f ca="1">IFERROR(__xludf.DUMMYFUNCTION("""COMPUTED_VALUE"""),83.03)</f>
        <v>83.03</v>
      </c>
      <c r="G109" s="143">
        <f ca="1">IFERROR(__xludf.DUMMYFUNCTION("""COMPUTED_VALUE"""),4849556)</f>
        <v>4849556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IFERROR(__xludf.DUMMYFUNCTION("""COMPUTED_VALUE"""),83.03)</f>
        <v>83.03</v>
      </c>
      <c r="D110" s="141">
        <f ca="1">IFERROR(__xludf.DUMMYFUNCTION("""COMPUTED_VALUE"""),83.04)</f>
        <v>83.04</v>
      </c>
      <c r="E110" s="141">
        <f ca="1">IFERROR(__xludf.DUMMYFUNCTION("""COMPUTED_VALUE"""),83)</f>
        <v>83</v>
      </c>
      <c r="F110" s="141">
        <f ca="1">IFERROR(__xludf.DUMMYFUNCTION("""COMPUTED_VALUE"""),83.04)</f>
        <v>83.04</v>
      </c>
      <c r="G110" s="143">
        <f ca="1">IFERROR(__xludf.DUMMYFUNCTION("""COMPUTED_VALUE"""),5120669)</f>
        <v>5120669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IFERROR(__xludf.DUMMYFUNCTION("""COMPUTED_VALUE"""),83.05)</f>
        <v>83.05</v>
      </c>
      <c r="D111" s="141">
        <f ca="1">IFERROR(__xludf.DUMMYFUNCTION("""COMPUTED_VALUE"""),83.1)</f>
        <v>83.1</v>
      </c>
      <c r="E111" s="141">
        <f ca="1">IFERROR(__xludf.DUMMYFUNCTION("""COMPUTED_VALUE"""),83.04)</f>
        <v>83.04</v>
      </c>
      <c r="F111" s="141">
        <f ca="1">IFERROR(__xludf.DUMMYFUNCTION("""COMPUTED_VALUE"""),83.09)</f>
        <v>83.09</v>
      </c>
      <c r="G111" s="143">
        <f ca="1">IFERROR(__xludf.DUMMYFUNCTION("""COMPUTED_VALUE"""),4276699)</f>
        <v>4276699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IFERROR(__xludf.DUMMYFUNCTION("""COMPUTED_VALUE"""),83.07)</f>
        <v>83.07</v>
      </c>
      <c r="D112" s="141">
        <f ca="1">IFERROR(__xludf.DUMMYFUNCTION("""COMPUTED_VALUE"""),83.08)</f>
        <v>83.08</v>
      </c>
      <c r="E112" s="141">
        <f ca="1">IFERROR(__xludf.DUMMYFUNCTION("""COMPUTED_VALUE"""),83.04)</f>
        <v>83.04</v>
      </c>
      <c r="F112" s="141">
        <f ca="1">IFERROR(__xludf.DUMMYFUNCTION("""COMPUTED_VALUE"""),83.08)</f>
        <v>83.08</v>
      </c>
      <c r="G112" s="143">
        <f ca="1">IFERROR(__xludf.DUMMYFUNCTION("""COMPUTED_VALUE"""),4349665)</f>
        <v>4349665</v>
      </c>
      <c r="H112" s="26"/>
    </row>
    <row r="113" spans="1:8" ht="17.25" customHeight="1" x14ac:dyDescent="0.2">
      <c r="A113" s="26"/>
      <c r="B113" s="139">
        <f ca="1">IFERROR(__xludf.DUMMYFUNCTION("""COMPUTED_VALUE"""),45989.5451388888)</f>
        <v>45989.545138888803</v>
      </c>
      <c r="C113" s="141">
        <f ca="1">IFERROR(__xludf.DUMMYFUNCTION("""COMPUTED_VALUE"""),83.1)</f>
        <v>83.1</v>
      </c>
      <c r="D113" s="141">
        <f ca="1">IFERROR(__xludf.DUMMYFUNCTION("""COMPUTED_VALUE"""),83.11)</f>
        <v>83.11</v>
      </c>
      <c r="E113" s="141">
        <f ca="1">IFERROR(__xludf.DUMMYFUNCTION("""COMPUTED_VALUE"""),83.06)</f>
        <v>83.06</v>
      </c>
      <c r="F113" s="141">
        <f ca="1">IFERROR(__xludf.DUMMYFUNCTION("""COMPUTED_VALUE"""),83.08)</f>
        <v>83.08</v>
      </c>
      <c r="G113" s="143">
        <f ca="1">IFERROR(__xludf.DUMMYFUNCTION("""COMPUTED_VALUE"""),2799591)</f>
        <v>2799591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IFERROR(__xludf.DUMMYFUNCTION("""COMPUTED_VALUE"""),82.79)</f>
        <v>82.79</v>
      </c>
      <c r="D114" s="141">
        <f ca="1">IFERROR(__xludf.DUMMYFUNCTION("""COMPUTED_VALUE"""),82.79)</f>
        <v>82.79</v>
      </c>
      <c r="E114" s="141">
        <f ca="1">IFERROR(__xludf.DUMMYFUNCTION("""COMPUTED_VALUE"""),82.76)</f>
        <v>82.76</v>
      </c>
      <c r="F114" s="141">
        <f ca="1">IFERROR(__xludf.DUMMYFUNCTION("""COMPUTED_VALUE"""),82.76)</f>
        <v>82.76</v>
      </c>
      <c r="G114" s="143">
        <f ca="1">IFERROR(__xludf.DUMMYFUNCTION("""COMPUTED_VALUE"""),3358651)</f>
        <v>3358651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IFERROR(__xludf.DUMMYFUNCTION("""COMPUTED_VALUE"""),82.8)</f>
        <v>82.8</v>
      </c>
      <c r="D115" s="141">
        <f ca="1">IFERROR(__xludf.DUMMYFUNCTION("""COMPUTED_VALUE"""),82.82)</f>
        <v>82.82</v>
      </c>
      <c r="E115" s="141">
        <f ca="1">IFERROR(__xludf.DUMMYFUNCTION("""COMPUTED_VALUE"""),82.78)</f>
        <v>82.78</v>
      </c>
      <c r="F115" s="141">
        <f ca="1">IFERROR(__xludf.DUMMYFUNCTION("""COMPUTED_VALUE"""),82.81)</f>
        <v>82.81</v>
      </c>
      <c r="G115" s="143">
        <f ca="1">IFERROR(__xludf.DUMMYFUNCTION("""COMPUTED_VALUE"""),4653334)</f>
        <v>4653334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IFERROR(__xludf.DUMMYFUNCTION("""COMPUTED_VALUE"""),82.87)</f>
        <v>82.87</v>
      </c>
      <c r="D116" s="141">
        <f ca="1">IFERROR(__xludf.DUMMYFUNCTION("""COMPUTED_VALUE"""),82.87)</f>
        <v>82.87</v>
      </c>
      <c r="E116" s="141">
        <f ca="1">IFERROR(__xludf.DUMMYFUNCTION("""COMPUTED_VALUE"""),82.83)</f>
        <v>82.83</v>
      </c>
      <c r="F116" s="141">
        <f ca="1">IFERROR(__xludf.DUMMYFUNCTION("""COMPUTED_VALUE"""),82.86)</f>
        <v>82.86</v>
      </c>
      <c r="G116" s="143">
        <f ca="1">IFERROR(__xludf.DUMMYFUNCTION("""COMPUTED_VALUE"""),2121270)</f>
        <v>2121270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IFERROR(__xludf.DUMMYFUNCTION("""COMPUTED_VALUE"""),82.84)</f>
        <v>82.84</v>
      </c>
      <c r="D117" s="141">
        <f ca="1">IFERROR(__xludf.DUMMYFUNCTION("""COMPUTED_VALUE"""),82.84)</f>
        <v>82.84</v>
      </c>
      <c r="E117" s="141">
        <f ca="1">IFERROR(__xludf.DUMMYFUNCTION("""COMPUTED_VALUE"""),82.8)</f>
        <v>82.8</v>
      </c>
      <c r="F117" s="141">
        <f ca="1">IFERROR(__xludf.DUMMYFUNCTION("""COMPUTED_VALUE"""),82.8)</f>
        <v>82.8</v>
      </c>
      <c r="G117" s="143">
        <f ca="1">IFERROR(__xludf.DUMMYFUNCTION("""COMPUTED_VALUE"""),2474043)</f>
        <v>2474043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IFERROR(__xludf.DUMMYFUNCTION("""COMPUTED_VALUE"""),82.82)</f>
        <v>82.82</v>
      </c>
      <c r="D118" s="141">
        <f ca="1">IFERROR(__xludf.DUMMYFUNCTION("""COMPUTED_VALUE"""),82.82)</f>
        <v>82.82</v>
      </c>
      <c r="E118" s="141">
        <f ca="1">IFERROR(__xludf.DUMMYFUNCTION("""COMPUTED_VALUE"""),82.77)</f>
        <v>82.77</v>
      </c>
      <c r="F118" s="141">
        <f ca="1">IFERROR(__xludf.DUMMYFUNCTION("""COMPUTED_VALUE"""),82.77)</f>
        <v>82.77</v>
      </c>
      <c r="G118" s="143">
        <f ca="1">IFERROR(__xludf.DUMMYFUNCTION("""COMPUTED_VALUE"""),2172498)</f>
        <v>2172498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IFERROR(__xludf.DUMMYFUNCTION("""COMPUTED_VALUE"""),82.77)</f>
        <v>82.77</v>
      </c>
      <c r="D119" s="141">
        <f ca="1">IFERROR(__xludf.DUMMYFUNCTION("""COMPUTED_VALUE"""),82.77)</f>
        <v>82.77</v>
      </c>
      <c r="E119" s="141">
        <f ca="1">IFERROR(__xludf.DUMMYFUNCTION("""COMPUTED_VALUE"""),82.71)</f>
        <v>82.71</v>
      </c>
      <c r="F119" s="141">
        <f ca="1">IFERROR(__xludf.DUMMYFUNCTION("""COMPUTED_VALUE"""),82.75)</f>
        <v>82.75</v>
      </c>
      <c r="G119" s="143">
        <f ca="1">IFERROR(__xludf.DUMMYFUNCTION("""COMPUTED_VALUE"""),3378688)</f>
        <v>3378688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IFERROR(__xludf.DUMMYFUNCTION("""COMPUTED_VALUE"""),82.79)</f>
        <v>82.79</v>
      </c>
      <c r="D120" s="141">
        <f ca="1">IFERROR(__xludf.DUMMYFUNCTION("""COMPUTED_VALUE"""),82.79)</f>
        <v>82.79</v>
      </c>
      <c r="E120" s="141">
        <f ca="1">IFERROR(__xludf.DUMMYFUNCTION("""COMPUTED_VALUE"""),82.71)</f>
        <v>82.71</v>
      </c>
      <c r="F120" s="141">
        <f ca="1">IFERROR(__xludf.DUMMYFUNCTION("""COMPUTED_VALUE"""),82.71)</f>
        <v>82.71</v>
      </c>
      <c r="G120" s="143">
        <f ca="1">IFERROR(__xludf.DUMMYFUNCTION("""COMPUTED_VALUE"""),2709948)</f>
        <v>2709948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IFERROR(__xludf.DUMMYFUNCTION("""COMPUTED_VALUE"""),82.72)</f>
        <v>82.72</v>
      </c>
      <c r="D121" s="141">
        <f ca="1">IFERROR(__xludf.DUMMYFUNCTION("""COMPUTED_VALUE"""),82.85)</f>
        <v>82.85</v>
      </c>
      <c r="E121" s="141">
        <f ca="1">IFERROR(__xludf.DUMMYFUNCTION("""COMPUTED_VALUE"""),82.71)</f>
        <v>82.71</v>
      </c>
      <c r="F121" s="141">
        <f ca="1">IFERROR(__xludf.DUMMYFUNCTION("""COMPUTED_VALUE"""),82.85)</f>
        <v>82.85</v>
      </c>
      <c r="G121" s="143">
        <f ca="1">IFERROR(__xludf.DUMMYFUNCTION("""COMPUTED_VALUE"""),4431403)</f>
        <v>4431403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IFERROR(__xludf.DUMMYFUNCTION("""COMPUTED_VALUE"""),82.89)</f>
        <v>82.89</v>
      </c>
      <c r="D122" s="141">
        <f ca="1">IFERROR(__xludf.DUMMYFUNCTION("""COMPUTED_VALUE"""),82.9)</f>
        <v>82.9</v>
      </c>
      <c r="E122" s="141">
        <f ca="1">IFERROR(__xludf.DUMMYFUNCTION("""COMPUTED_VALUE"""),82.85)</f>
        <v>82.85</v>
      </c>
      <c r="F122" s="141">
        <f ca="1">IFERROR(__xludf.DUMMYFUNCTION("""COMPUTED_VALUE"""),82.86)</f>
        <v>82.86</v>
      </c>
      <c r="G122" s="143">
        <f ca="1">IFERROR(__xludf.DUMMYFUNCTION("""COMPUTED_VALUE"""),3552418)</f>
        <v>3552418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IFERROR(__xludf.DUMMYFUNCTION("""COMPUTED_VALUE"""),82.86)</f>
        <v>82.86</v>
      </c>
      <c r="D123" s="141">
        <f ca="1">IFERROR(__xludf.DUMMYFUNCTION("""COMPUTED_VALUE"""),82.89)</f>
        <v>82.89</v>
      </c>
      <c r="E123" s="141">
        <f ca="1">IFERROR(__xludf.DUMMYFUNCTION("""COMPUTED_VALUE"""),82.85)</f>
        <v>82.85</v>
      </c>
      <c r="F123" s="141">
        <f ca="1">IFERROR(__xludf.DUMMYFUNCTION("""COMPUTED_VALUE"""),82.87)</f>
        <v>82.87</v>
      </c>
      <c r="G123" s="143">
        <f ca="1">IFERROR(__xludf.DUMMYFUNCTION("""COMPUTED_VALUE"""),4256368)</f>
        <v>4256368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IFERROR(__xludf.DUMMYFUNCTION("""COMPUTED_VALUE"""),82.93)</f>
        <v>82.93</v>
      </c>
      <c r="D124" s="141">
        <f ca="1">IFERROR(__xludf.DUMMYFUNCTION("""COMPUTED_VALUE"""),82.94)</f>
        <v>82.94</v>
      </c>
      <c r="E124" s="141">
        <f ca="1">IFERROR(__xludf.DUMMYFUNCTION("""COMPUTED_VALUE"""),82.9)</f>
        <v>82.9</v>
      </c>
      <c r="F124" s="141">
        <f ca="1">IFERROR(__xludf.DUMMYFUNCTION("""COMPUTED_VALUE"""),82.92)</f>
        <v>82.92</v>
      </c>
      <c r="G124" s="143">
        <f ca="1">IFERROR(__xludf.DUMMYFUNCTION("""COMPUTED_VALUE"""),5252379)</f>
        <v>5252379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IFERROR(__xludf.DUMMYFUNCTION("""COMPUTED_VALUE"""),82.94)</f>
        <v>82.94</v>
      </c>
      <c r="D125" s="141">
        <f ca="1">IFERROR(__xludf.DUMMYFUNCTION("""COMPUTED_VALUE"""),82.98)</f>
        <v>82.98</v>
      </c>
      <c r="E125" s="141">
        <f ca="1">IFERROR(__xludf.DUMMYFUNCTION("""COMPUTED_VALUE"""),82.93)</f>
        <v>82.93</v>
      </c>
      <c r="F125" s="141">
        <f ca="1">IFERROR(__xludf.DUMMYFUNCTION("""COMPUTED_VALUE"""),82.96)</f>
        <v>82.96</v>
      </c>
      <c r="G125" s="143">
        <f ca="1">IFERROR(__xludf.DUMMYFUNCTION("""COMPUTED_VALUE"""),4004877)</f>
        <v>4004877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IFERROR(__xludf.DUMMYFUNCTION("""COMPUTED_VALUE"""),82.95)</f>
        <v>82.95</v>
      </c>
      <c r="D126" s="141">
        <f ca="1">IFERROR(__xludf.DUMMYFUNCTION("""COMPUTED_VALUE"""),82.98)</f>
        <v>82.98</v>
      </c>
      <c r="E126" s="141">
        <f ca="1">IFERROR(__xludf.DUMMYFUNCTION("""COMPUTED_VALUE"""),82.94)</f>
        <v>82.94</v>
      </c>
      <c r="F126" s="141">
        <f ca="1">IFERROR(__xludf.DUMMYFUNCTION("""COMPUTED_VALUE"""),82.97)</f>
        <v>82.97</v>
      </c>
      <c r="G126" s="143">
        <f ca="1">IFERROR(__xludf.DUMMYFUNCTION("""COMPUTED_VALUE"""),5873901)</f>
        <v>5873901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IFERROR(__xludf.DUMMYFUNCTION("""COMPUTED_VALUE"""),83.04)</f>
        <v>83.04</v>
      </c>
      <c r="D127" s="141">
        <f ca="1">IFERROR(__xludf.DUMMYFUNCTION("""COMPUTED_VALUE"""),83.04)</f>
        <v>83.04</v>
      </c>
      <c r="E127" s="141">
        <f ca="1">IFERROR(__xludf.DUMMYFUNCTION("""COMPUTED_VALUE"""),82.98)</f>
        <v>82.98</v>
      </c>
      <c r="F127" s="141">
        <f ca="1">IFERROR(__xludf.DUMMYFUNCTION("""COMPUTED_VALUE"""),83.03)</f>
        <v>83.03</v>
      </c>
      <c r="G127" s="143">
        <f ca="1">IFERROR(__xludf.DUMMYFUNCTION("""COMPUTED_VALUE"""),3896767)</f>
        <v>3896767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IFERROR(__xludf.DUMMYFUNCTION("""COMPUTED_VALUE"""),82.76)</f>
        <v>82.76</v>
      </c>
      <c r="D128" s="141">
        <f ca="1">IFERROR(__xludf.DUMMYFUNCTION("""COMPUTED_VALUE"""),82.77)</f>
        <v>82.77</v>
      </c>
      <c r="E128" s="141">
        <f ca="1">IFERROR(__xludf.DUMMYFUNCTION("""COMPUTED_VALUE"""),82.74)</f>
        <v>82.74</v>
      </c>
      <c r="F128" s="141">
        <f ca="1">IFERROR(__xludf.DUMMYFUNCTION("""COMPUTED_VALUE"""),82.76)</f>
        <v>82.76</v>
      </c>
      <c r="G128" s="143">
        <f ca="1">IFERROR(__xludf.DUMMYFUNCTION("""COMPUTED_VALUE"""),4195196)</f>
        <v>4195196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IFERROR(__xludf.DUMMYFUNCTION("""COMPUTED_VALUE"""),82.75)</f>
        <v>82.75</v>
      </c>
      <c r="D129" s="141">
        <f ca="1">IFERROR(__xludf.DUMMYFUNCTION("""COMPUTED_VALUE"""),82.75)</f>
        <v>82.75</v>
      </c>
      <c r="E129" s="141">
        <f ca="1">IFERROR(__xludf.DUMMYFUNCTION("""COMPUTED_VALUE"""),82.71)</f>
        <v>82.71</v>
      </c>
      <c r="F129" s="141">
        <f ca="1">IFERROR(__xludf.DUMMYFUNCTION("""COMPUTED_VALUE"""),82.72)</f>
        <v>82.72</v>
      </c>
      <c r="G129" s="143">
        <f ca="1">IFERROR(__xludf.DUMMYFUNCTION("""COMPUTED_VALUE"""),4489170)</f>
        <v>4489170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IFERROR(__xludf.DUMMYFUNCTION("""COMPUTED_VALUE"""),82.66)</f>
        <v>82.66</v>
      </c>
      <c r="D130" s="141">
        <f ca="1">IFERROR(__xludf.DUMMYFUNCTION("""COMPUTED_VALUE"""),82.69)</f>
        <v>82.69</v>
      </c>
      <c r="E130" s="141">
        <f ca="1">IFERROR(__xludf.DUMMYFUNCTION("""COMPUTED_VALUE"""),82.65)</f>
        <v>82.65</v>
      </c>
      <c r="F130" s="141">
        <f ca="1">IFERROR(__xludf.DUMMYFUNCTION("""COMPUTED_VALUE"""),82.68)</f>
        <v>82.68</v>
      </c>
      <c r="G130" s="143">
        <f ca="1">IFERROR(__xludf.DUMMYFUNCTION("""COMPUTED_VALUE"""),3443157)</f>
        <v>3443157</v>
      </c>
      <c r="H130" s="26"/>
    </row>
    <row r="131" spans="1:8" ht="17.25" customHeight="1" x14ac:dyDescent="0.2">
      <c r="A131" s="26"/>
      <c r="B131" s="139">
        <f ca="1">IFERROR(__xludf.DUMMYFUNCTION("""COMPUTED_VALUE"""),46015.5451388888)</f>
        <v>46015.545138888803</v>
      </c>
      <c r="C131" s="141">
        <f ca="1">IFERROR(__xludf.DUMMYFUNCTION("""COMPUTED_VALUE"""),82.71)</f>
        <v>82.71</v>
      </c>
      <c r="D131" s="141">
        <f ca="1">IFERROR(__xludf.DUMMYFUNCTION("""COMPUTED_VALUE"""),82.74)</f>
        <v>82.74</v>
      </c>
      <c r="E131" s="141">
        <f ca="1">IFERROR(__xludf.DUMMYFUNCTION("""COMPUTED_VALUE"""),82.7)</f>
        <v>82.7</v>
      </c>
      <c r="F131" s="141">
        <f ca="1">IFERROR(__xludf.DUMMYFUNCTION("""COMPUTED_VALUE"""),82.73)</f>
        <v>82.73</v>
      </c>
      <c r="G131" s="143">
        <f ca="1">IFERROR(__xludf.DUMMYFUNCTION("""COMPUTED_VALUE"""),2287169)</f>
        <v>2287169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IFERROR(__xludf.DUMMYFUNCTION("""COMPUTED_VALUE"""),82.8)</f>
        <v>82.8</v>
      </c>
      <c r="D132" s="141">
        <f ca="1">IFERROR(__xludf.DUMMYFUNCTION("""COMPUTED_VALUE"""),82.81)</f>
        <v>82.81</v>
      </c>
      <c r="E132" s="141">
        <f ca="1">IFERROR(__xludf.DUMMYFUNCTION("""COMPUTED_VALUE"""),82.78)</f>
        <v>82.78</v>
      </c>
      <c r="F132" s="141">
        <f ca="1">IFERROR(__xludf.DUMMYFUNCTION("""COMPUTED_VALUE"""),82.79)</f>
        <v>82.79</v>
      </c>
      <c r="G132" s="143">
        <f ca="1">IFERROR(__xludf.DUMMYFUNCTION("""COMPUTED_VALUE"""),2034930)</f>
        <v>2034930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IFERROR(__xludf.DUMMYFUNCTION("""COMPUTED_VALUE"""),82.83)</f>
        <v>82.83</v>
      </c>
      <c r="D133" s="141">
        <f ca="1">IFERROR(__xludf.DUMMYFUNCTION("""COMPUTED_VALUE"""),82.85)</f>
        <v>82.85</v>
      </c>
      <c r="E133" s="141">
        <f ca="1">IFERROR(__xludf.DUMMYFUNCTION("""COMPUTED_VALUE"""),82.82)</f>
        <v>82.82</v>
      </c>
      <c r="F133" s="141">
        <f ca="1">IFERROR(__xludf.DUMMYFUNCTION("""COMPUTED_VALUE"""),82.83)</f>
        <v>82.83</v>
      </c>
      <c r="G133" s="143">
        <f ca="1">IFERROR(__xludf.DUMMYFUNCTION("""COMPUTED_VALUE"""),3432291)</f>
        <v>3432291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IFERROR(__xludf.DUMMYFUNCTION("""COMPUTED_VALUE"""),82.83)</f>
        <v>82.83</v>
      </c>
      <c r="D134" s="141">
        <f ca="1">IFERROR(__xludf.DUMMYFUNCTION("""COMPUTED_VALUE"""),82.86)</f>
        <v>82.86</v>
      </c>
      <c r="E134" s="141">
        <f ca="1">IFERROR(__xludf.DUMMYFUNCTION("""COMPUTED_VALUE"""),82.83)</f>
        <v>82.83</v>
      </c>
      <c r="F134" s="141">
        <f ca="1">IFERROR(__xludf.DUMMYFUNCTION("""COMPUTED_VALUE"""),82.85)</f>
        <v>82.85</v>
      </c>
      <c r="G134" s="143">
        <f ca="1">IFERROR(__xludf.DUMMYFUNCTION("""COMPUTED_VALUE"""),3641291)</f>
        <v>3641291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IFERROR(__xludf.DUMMYFUNCTION("""COMPUTED_VALUE"""),82.84)</f>
        <v>82.84</v>
      </c>
      <c r="D135" s="141">
        <f ca="1">IFERROR(__xludf.DUMMYFUNCTION("""COMPUTED_VALUE"""),82.87)</f>
        <v>82.87</v>
      </c>
      <c r="E135" s="141">
        <f ca="1">IFERROR(__xludf.DUMMYFUNCTION("""COMPUTED_VALUE"""),82.82)</f>
        <v>82.82</v>
      </c>
      <c r="F135" s="141">
        <f ca="1">IFERROR(__xludf.DUMMYFUNCTION("""COMPUTED_VALUE"""),82.82)</f>
        <v>82.82</v>
      </c>
      <c r="G135" s="143">
        <f ca="1">IFERROR(__xludf.DUMMYFUNCTION("""COMPUTED_VALUE"""),3753118)</f>
        <v>3753118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IFERROR(__xludf.DUMMYFUNCTION("""COMPUTED_VALUE"""),82.87)</f>
        <v>82.87</v>
      </c>
      <c r="D136" s="141">
        <f ca="1">IFERROR(__xludf.DUMMYFUNCTION("""COMPUTED_VALUE"""),82.87)</f>
        <v>82.87</v>
      </c>
      <c r="E136" s="141">
        <f ca="1">IFERROR(__xludf.DUMMYFUNCTION("""COMPUTED_VALUE"""),82.84)</f>
        <v>82.84</v>
      </c>
      <c r="F136" s="141">
        <f ca="1">IFERROR(__xludf.DUMMYFUNCTION("""COMPUTED_VALUE"""),82.86)</f>
        <v>82.86</v>
      </c>
      <c r="G136" s="143">
        <f ca="1">IFERROR(__xludf.DUMMYFUNCTION("""COMPUTED_VALUE"""),3041729)</f>
        <v>3041729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IFERROR(__xludf.DUMMYFUNCTION("""COMPUTED_VALUE"""),82.88)</f>
        <v>82.88</v>
      </c>
      <c r="D137" s="141">
        <f ca="1">IFERROR(__xludf.DUMMYFUNCTION("""COMPUTED_VALUE"""),82.9)</f>
        <v>82.9</v>
      </c>
      <c r="E137" s="141">
        <f ca="1">IFERROR(__xludf.DUMMYFUNCTION("""COMPUTED_VALUE"""),82.87)</f>
        <v>82.87</v>
      </c>
      <c r="F137" s="141">
        <f ca="1">IFERROR(__xludf.DUMMYFUNCTION("""COMPUTED_VALUE"""),82.89)</f>
        <v>82.89</v>
      </c>
      <c r="G137" s="143">
        <f ca="1">IFERROR(__xludf.DUMMYFUNCTION("""COMPUTED_VALUE"""),3063643)</f>
        <v>3063643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IFERROR(__xludf.DUMMYFUNCTION("""COMPUTED_VALUE"""),82.88)</f>
        <v>82.88</v>
      </c>
      <c r="D138" s="141">
        <f ca="1">IFERROR(__xludf.DUMMYFUNCTION("""COMPUTED_VALUE"""),82.9)</f>
        <v>82.9</v>
      </c>
      <c r="E138" s="141">
        <f ca="1">IFERROR(__xludf.DUMMYFUNCTION("""COMPUTED_VALUE"""),82.85)</f>
        <v>82.85</v>
      </c>
      <c r="F138" s="141">
        <f ca="1">IFERROR(__xludf.DUMMYFUNCTION("""COMPUTED_VALUE"""),82.9)</f>
        <v>82.9</v>
      </c>
      <c r="G138" s="143">
        <f ca="1">IFERROR(__xludf.DUMMYFUNCTION("""COMPUTED_VALUE"""),4368940)</f>
        <v>4368940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IFERROR(__xludf.DUMMYFUNCTION("""COMPUTED_VALUE"""),82.91)</f>
        <v>82.91</v>
      </c>
      <c r="D139" s="141">
        <f ca="1">IFERROR(__xludf.DUMMYFUNCTION("""COMPUTED_VALUE"""),82.93)</f>
        <v>82.93</v>
      </c>
      <c r="E139" s="141">
        <f ca="1">IFERROR(__xludf.DUMMYFUNCTION("""COMPUTED_VALUE"""),82.88)</f>
        <v>82.88</v>
      </c>
      <c r="F139" s="141">
        <f ca="1">IFERROR(__xludf.DUMMYFUNCTION("""COMPUTED_VALUE"""),82.89)</f>
        <v>82.89</v>
      </c>
      <c r="G139" s="143">
        <f ca="1">IFERROR(__xludf.DUMMYFUNCTION("""COMPUTED_VALUE"""),4297970)</f>
        <v>4297970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IFERROR(__xludf.DUMMYFUNCTION("""COMPUTED_VALUE"""),82.87)</f>
        <v>82.87</v>
      </c>
      <c r="D140" s="141">
        <f ca="1">IFERROR(__xludf.DUMMYFUNCTION("""COMPUTED_VALUE"""),82.88)</f>
        <v>82.88</v>
      </c>
      <c r="E140" s="141">
        <f ca="1">IFERROR(__xludf.DUMMYFUNCTION("""COMPUTED_VALUE"""),82.86)</f>
        <v>82.86</v>
      </c>
      <c r="F140" s="141">
        <f ca="1">IFERROR(__xludf.DUMMYFUNCTION("""COMPUTED_VALUE"""),82.86)</f>
        <v>82.86</v>
      </c>
      <c r="G140" s="143">
        <f ca="1">IFERROR(__xludf.DUMMYFUNCTION("""COMPUTED_VALUE"""),2470734)</f>
        <v>2470734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IFERROR(__xludf.DUMMYFUNCTION("""COMPUTED_VALUE"""),82.87)</f>
        <v>82.87</v>
      </c>
      <c r="D141" s="141">
        <f ca="1">IFERROR(__xludf.DUMMYFUNCTION("""COMPUTED_VALUE"""),82.87)</f>
        <v>82.87</v>
      </c>
      <c r="E141" s="141">
        <f ca="1">IFERROR(__xludf.DUMMYFUNCTION("""COMPUTED_VALUE"""),82.81)</f>
        <v>82.81</v>
      </c>
      <c r="F141" s="141">
        <f ca="1">IFERROR(__xludf.DUMMYFUNCTION("""COMPUTED_VALUE"""),82.83)</f>
        <v>82.83</v>
      </c>
      <c r="G141" s="143">
        <f ca="1">IFERROR(__xludf.DUMMYFUNCTION("""COMPUTED_VALUE"""),3409675)</f>
        <v>3409675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IFERROR(__xludf.DUMMYFUNCTION("""COMPUTED_VALUE"""),82.82)</f>
        <v>82.82</v>
      </c>
      <c r="D142" s="141">
        <f ca="1">IFERROR(__xludf.DUMMYFUNCTION("""COMPUTED_VALUE"""),82.84)</f>
        <v>82.84</v>
      </c>
      <c r="E142" s="141">
        <f ca="1">IFERROR(__xludf.DUMMYFUNCTION("""COMPUTED_VALUE"""),82.81)</f>
        <v>82.81</v>
      </c>
      <c r="F142" s="141">
        <f ca="1">IFERROR(__xludf.DUMMYFUNCTION("""COMPUTED_VALUE"""),82.83)</f>
        <v>82.83</v>
      </c>
      <c r="G142" s="143">
        <f ca="1">IFERROR(__xludf.DUMMYFUNCTION("""COMPUTED_VALUE"""),2243111)</f>
        <v>2243111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IFERROR(__xludf.DUMMYFUNCTION("""COMPUTED_VALUE"""),82.86)</f>
        <v>82.86</v>
      </c>
      <c r="D143" s="141">
        <f ca="1">IFERROR(__xludf.DUMMYFUNCTION("""COMPUTED_VALUE"""),82.87)</f>
        <v>82.87</v>
      </c>
      <c r="E143" s="141">
        <f ca="1">IFERROR(__xludf.DUMMYFUNCTION("""COMPUTED_VALUE"""),82.84)</f>
        <v>82.84</v>
      </c>
      <c r="F143" s="141">
        <f ca="1">IFERROR(__xludf.DUMMYFUNCTION("""COMPUTED_VALUE"""),82.85)</f>
        <v>82.85</v>
      </c>
      <c r="G143" s="143">
        <f ca="1">IFERROR(__xludf.DUMMYFUNCTION("""COMPUTED_VALUE"""),4656348)</f>
        <v>4656348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IFERROR(__xludf.DUMMYFUNCTION("""COMPUTED_VALUE"""),82.88)</f>
        <v>82.88</v>
      </c>
      <c r="D144" s="141">
        <f ca="1">IFERROR(__xludf.DUMMYFUNCTION("""COMPUTED_VALUE"""),82.9)</f>
        <v>82.9</v>
      </c>
      <c r="E144" s="141">
        <f ca="1">IFERROR(__xludf.DUMMYFUNCTION("""COMPUTED_VALUE"""),82.87)</f>
        <v>82.87</v>
      </c>
      <c r="F144" s="141">
        <f ca="1">IFERROR(__xludf.DUMMYFUNCTION("""COMPUTED_VALUE"""),82.87)</f>
        <v>82.87</v>
      </c>
      <c r="G144" s="143">
        <f ca="1">IFERROR(__xludf.DUMMYFUNCTION("""COMPUTED_VALUE"""),3022481)</f>
        <v>3022481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IFERROR(__xludf.DUMMYFUNCTION("""COMPUTED_VALUE"""),82.86)</f>
        <v>82.86</v>
      </c>
      <c r="D145" s="141">
        <f ca="1">IFERROR(__xludf.DUMMYFUNCTION("""COMPUTED_VALUE"""),82.86)</f>
        <v>82.86</v>
      </c>
      <c r="E145" s="141">
        <f ca="1">IFERROR(__xludf.DUMMYFUNCTION("""COMPUTED_VALUE"""),82.81)</f>
        <v>82.81</v>
      </c>
      <c r="F145" s="141">
        <f ca="1">IFERROR(__xludf.DUMMYFUNCTION("""COMPUTED_VALUE"""),82.81)</f>
        <v>82.81</v>
      </c>
      <c r="G145" s="143">
        <f ca="1">IFERROR(__xludf.DUMMYFUNCTION("""COMPUTED_VALUE"""),3306703)</f>
        <v>3306703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IFERROR(__xludf.DUMMYFUNCTION("""COMPUTED_VALUE"""),82.84)</f>
        <v>82.84</v>
      </c>
      <c r="D146" s="141">
        <f ca="1">IFERROR(__xludf.DUMMYFUNCTION("""COMPUTED_VALUE"""),82.84)</f>
        <v>82.84</v>
      </c>
      <c r="E146" s="141">
        <f ca="1">IFERROR(__xludf.DUMMYFUNCTION("""COMPUTED_VALUE"""),82.78)</f>
        <v>82.78</v>
      </c>
      <c r="F146" s="141">
        <f ca="1">IFERROR(__xludf.DUMMYFUNCTION("""COMPUTED_VALUE"""),82.79)</f>
        <v>82.79</v>
      </c>
      <c r="G146" s="143">
        <f ca="1">IFERROR(__xludf.DUMMYFUNCTION("""COMPUTED_VALUE"""),4540148)</f>
        <v>4540148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IFERROR(__xludf.DUMMYFUNCTION("""COMPUTED_VALUE"""),82.81)</f>
        <v>82.81</v>
      </c>
      <c r="D147" s="141">
        <f ca="1">IFERROR(__xludf.DUMMYFUNCTION("""COMPUTED_VALUE"""),82.82)</f>
        <v>82.82</v>
      </c>
      <c r="E147" s="141">
        <f ca="1">IFERROR(__xludf.DUMMYFUNCTION("""COMPUTED_VALUE"""),82.8)</f>
        <v>82.8</v>
      </c>
      <c r="F147" s="141">
        <f ca="1">IFERROR(__xludf.DUMMYFUNCTION("""COMPUTED_VALUE"""),82.8)</f>
        <v>82.8</v>
      </c>
      <c r="G147" s="143">
        <f ca="1">IFERROR(__xludf.DUMMYFUNCTION("""COMPUTED_VALUE"""),5763746)</f>
        <v>5763746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IFERROR(__xludf.DUMMYFUNCTION("""COMPUTED_VALUE"""),82.83)</f>
        <v>82.83</v>
      </c>
      <c r="D148" s="141">
        <f ca="1">IFERROR(__xludf.DUMMYFUNCTION("""COMPUTED_VALUE"""),82.84)</f>
        <v>82.84</v>
      </c>
      <c r="E148" s="141">
        <f ca="1">IFERROR(__xludf.DUMMYFUNCTION("""COMPUTED_VALUE"""),82.81)</f>
        <v>82.81</v>
      </c>
      <c r="F148" s="141">
        <f ca="1">IFERROR(__xludf.DUMMYFUNCTION("""COMPUTED_VALUE"""),82.84)</f>
        <v>82.84</v>
      </c>
      <c r="G148" s="143">
        <f ca="1">IFERROR(__xludf.DUMMYFUNCTION("""COMPUTED_VALUE"""),14151395)</f>
        <v>14151395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IFERROR(__xludf.DUMMYFUNCTION("""COMPUTED_VALUE"""),82.81)</f>
        <v>82.81</v>
      </c>
      <c r="D149" s="141">
        <f ca="1">IFERROR(__xludf.DUMMYFUNCTION("""COMPUTED_VALUE"""),82.82)</f>
        <v>82.82</v>
      </c>
      <c r="E149" s="141">
        <f ca="1">IFERROR(__xludf.DUMMYFUNCTION("""COMPUTED_VALUE"""),82.79)</f>
        <v>82.79</v>
      </c>
      <c r="F149" s="141">
        <f ca="1">IFERROR(__xludf.DUMMYFUNCTION("""COMPUTED_VALUE"""),82.81)</f>
        <v>82.81</v>
      </c>
      <c r="G149" s="143">
        <f ca="1">IFERROR(__xludf.DUMMYFUNCTION("""COMPUTED_VALUE"""),4878395)</f>
        <v>4878395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IFERROR(__xludf.DUMMYFUNCTION("""COMPUTED_VALUE"""),82.83)</f>
        <v>82.83</v>
      </c>
      <c r="D150" s="141">
        <f ca="1">IFERROR(__xludf.DUMMYFUNCTION("""COMPUTED_VALUE"""),82.85)</f>
        <v>82.85</v>
      </c>
      <c r="E150" s="141">
        <f ca="1">IFERROR(__xludf.DUMMYFUNCTION("""COMPUTED_VALUE"""),82.82)</f>
        <v>82.82</v>
      </c>
      <c r="F150" s="141">
        <f ca="1">IFERROR(__xludf.DUMMYFUNCTION("""COMPUTED_VALUE"""),82.84)</f>
        <v>82.84</v>
      </c>
      <c r="G150" s="143">
        <f ca="1">IFERROR(__xludf.DUMMYFUNCTION("""COMPUTED_VALUE"""),2506894)</f>
        <v>2506894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IFERROR(__xludf.DUMMYFUNCTION("""COMPUTED_VALUE"""),82.87)</f>
        <v>82.87</v>
      </c>
      <c r="D151" s="141">
        <f ca="1">IFERROR(__xludf.DUMMYFUNCTION("""COMPUTED_VALUE"""),82.88)</f>
        <v>82.88</v>
      </c>
      <c r="E151" s="141">
        <f ca="1">IFERROR(__xludf.DUMMYFUNCTION("""COMPUTED_VALUE"""),82.85)</f>
        <v>82.85</v>
      </c>
      <c r="F151" s="141">
        <f ca="1">IFERROR(__xludf.DUMMYFUNCTION("""COMPUTED_VALUE"""),82.87)</f>
        <v>82.87</v>
      </c>
      <c r="G151" s="143">
        <f ca="1">IFERROR(__xludf.DUMMYFUNCTION("""COMPUTED_VALUE"""),3094288)</f>
        <v>3094288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IFERROR(__xludf.DUMMYFUNCTION("""COMPUTED_VALUE"""),82.87)</f>
        <v>82.87</v>
      </c>
      <c r="D152" s="141">
        <f ca="1">IFERROR(__xludf.DUMMYFUNCTION("""COMPUTED_VALUE"""),82.91)</f>
        <v>82.91</v>
      </c>
      <c r="E152" s="141">
        <f ca="1">IFERROR(__xludf.DUMMYFUNCTION("""COMPUTED_VALUE"""),82.87)</f>
        <v>82.87</v>
      </c>
      <c r="F152" s="141">
        <f ca="1">IFERROR(__xludf.DUMMYFUNCTION("""COMPUTED_VALUE"""),82.89)</f>
        <v>82.89</v>
      </c>
      <c r="G152" s="143">
        <f ca="1">IFERROR(__xludf.DUMMYFUNCTION("""COMPUTED_VALUE"""),4339298)</f>
        <v>4339298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IFERROR(__xludf.DUMMYFUNCTION("""COMPUTED_VALUE"""),82.91)</f>
        <v>82.91</v>
      </c>
      <c r="D153" s="141">
        <f ca="1">IFERROR(__xludf.DUMMYFUNCTION("""COMPUTED_VALUE"""),82.91)</f>
        <v>82.91</v>
      </c>
      <c r="E153" s="141">
        <f ca="1">IFERROR(__xludf.DUMMYFUNCTION("""COMPUTED_VALUE"""),82.87)</f>
        <v>82.87</v>
      </c>
      <c r="F153" s="141">
        <f ca="1">IFERROR(__xludf.DUMMYFUNCTION("""COMPUTED_VALUE"""),82.89)</f>
        <v>82.89</v>
      </c>
      <c r="G153" s="143">
        <f ca="1">IFERROR(__xludf.DUMMYFUNCTION("""COMPUTED_VALUE"""),4157537)</f>
        <v>4157537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IFERROR(__xludf.DUMMYFUNCTION("""COMPUTED_VALUE"""),82.9)</f>
        <v>82.9</v>
      </c>
      <c r="D154" s="141">
        <f ca="1">IFERROR(__xludf.DUMMYFUNCTION("""COMPUTED_VALUE"""),82.95)</f>
        <v>82.95</v>
      </c>
      <c r="E154" s="141">
        <f ca="1">IFERROR(__xludf.DUMMYFUNCTION("""COMPUTED_VALUE"""),82.9)</f>
        <v>82.9</v>
      </c>
      <c r="F154" s="141">
        <f ca="1">IFERROR(__xludf.DUMMYFUNCTION("""COMPUTED_VALUE"""),82.92)</f>
        <v>82.92</v>
      </c>
      <c r="G154" s="143">
        <f ca="1">IFERROR(__xludf.DUMMYFUNCTION("""COMPUTED_VALUE"""),4135826)</f>
        <v>4135826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IFERROR(__xludf.DUMMYFUNCTION("""COMPUTED_VALUE"""),82.97)</f>
        <v>82.97</v>
      </c>
      <c r="D155" s="141">
        <f ca="1">IFERROR(__xludf.DUMMYFUNCTION("""COMPUTED_VALUE"""),83.01)</f>
        <v>83.01</v>
      </c>
      <c r="E155" s="141">
        <f ca="1">IFERROR(__xludf.DUMMYFUNCTION("""COMPUTED_VALUE"""),82.96)</f>
        <v>82.96</v>
      </c>
      <c r="F155" s="141">
        <f ca="1">IFERROR(__xludf.DUMMYFUNCTION("""COMPUTED_VALUE"""),82.99)</f>
        <v>82.99</v>
      </c>
      <c r="G155" s="143">
        <f ca="1">IFERROR(__xludf.DUMMYFUNCTION("""COMPUTED_VALUE"""),4272841)</f>
        <v>4272841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IFERROR(__xludf.DUMMYFUNCTION("""COMPUTED_VALUE"""),82.74)</f>
        <v>82.74</v>
      </c>
      <c r="D156" s="141">
        <f ca="1">IFERROR(__xludf.DUMMYFUNCTION("""COMPUTED_VALUE"""),82.75)</f>
        <v>82.75</v>
      </c>
      <c r="E156" s="141">
        <f ca="1">IFERROR(__xludf.DUMMYFUNCTION("""COMPUTED_VALUE"""),82.69)</f>
        <v>82.69</v>
      </c>
      <c r="F156" s="141">
        <f ca="1">IFERROR(__xludf.DUMMYFUNCTION("""COMPUTED_VALUE"""),82.7)</f>
        <v>82.7</v>
      </c>
      <c r="G156" s="143">
        <f ca="1">IFERROR(__xludf.DUMMYFUNCTION("""COMPUTED_VALUE"""),4079383)</f>
        <v>4079383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IFERROR(__xludf.DUMMYFUNCTION("""COMPUTED_VALUE"""),82.68)</f>
        <v>82.68</v>
      </c>
      <c r="D157" s="141">
        <f ca="1">IFERROR(__xludf.DUMMYFUNCTION("""COMPUTED_VALUE"""),82.71)</f>
        <v>82.71</v>
      </c>
      <c r="E157" s="141">
        <f ca="1">IFERROR(__xludf.DUMMYFUNCTION("""COMPUTED_VALUE"""),82.67)</f>
        <v>82.67</v>
      </c>
      <c r="F157" s="141">
        <f ca="1">IFERROR(__xludf.DUMMYFUNCTION("""COMPUTED_VALUE"""),82.69)</f>
        <v>82.69</v>
      </c>
      <c r="G157" s="143">
        <f ca="1">IFERROR(__xludf.DUMMYFUNCTION("""COMPUTED_VALUE"""),4449959)</f>
        <v>4449959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IFERROR(__xludf.DUMMYFUNCTION("""COMPUTED_VALUE"""),82.69)</f>
        <v>82.69</v>
      </c>
      <c r="D158" s="141">
        <f ca="1">IFERROR(__xludf.DUMMYFUNCTION("""COMPUTED_VALUE"""),82.74)</f>
        <v>82.74</v>
      </c>
      <c r="E158" s="141">
        <f ca="1">IFERROR(__xludf.DUMMYFUNCTION("""COMPUTED_VALUE"""),82.69)</f>
        <v>82.69</v>
      </c>
      <c r="F158" s="141">
        <f ca="1">IFERROR(__xludf.DUMMYFUNCTION("""COMPUTED_VALUE"""),82.73)</f>
        <v>82.73</v>
      </c>
      <c r="G158" s="143">
        <f ca="1">IFERROR(__xludf.DUMMYFUNCTION("""COMPUTED_VALUE"""),3945386)</f>
        <v>3945386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IFERROR(__xludf.DUMMYFUNCTION("""COMPUTED_VALUE"""),82.82)</f>
        <v>82.82</v>
      </c>
      <c r="D159" s="141">
        <f ca="1">IFERROR(__xludf.DUMMYFUNCTION("""COMPUTED_VALUE"""),82.88)</f>
        <v>82.88</v>
      </c>
      <c r="E159" s="141">
        <f ca="1">IFERROR(__xludf.DUMMYFUNCTION("""COMPUTED_VALUE"""),82.79)</f>
        <v>82.79</v>
      </c>
      <c r="F159" s="141">
        <f ca="1">IFERROR(__xludf.DUMMYFUNCTION("""COMPUTED_VALUE"""),82.86)</f>
        <v>82.86</v>
      </c>
      <c r="G159" s="143">
        <f ca="1">IFERROR(__xludf.DUMMYFUNCTION("""COMPUTED_VALUE"""),6013953)</f>
        <v>6013953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IFERROR(__xludf.DUMMYFUNCTION("""COMPUTED_VALUE"""),82.89)</f>
        <v>82.89</v>
      </c>
      <c r="D160" s="141">
        <f ca="1">IFERROR(__xludf.DUMMYFUNCTION("""COMPUTED_VALUE"""),82.89)</f>
        <v>82.89</v>
      </c>
      <c r="E160" s="141">
        <f ca="1">IFERROR(__xludf.DUMMYFUNCTION("""COMPUTED_VALUE"""),82.83)</f>
        <v>82.83</v>
      </c>
      <c r="F160" s="141">
        <f ca="1">IFERROR(__xludf.DUMMYFUNCTION("""COMPUTED_VALUE"""),82.86)</f>
        <v>82.86</v>
      </c>
      <c r="G160" s="143">
        <f ca="1">IFERROR(__xludf.DUMMYFUNCTION("""COMPUTED_VALUE"""),7414430)</f>
        <v>7414430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IFERROR(__xludf.DUMMYFUNCTION("""COMPUTED_VALUE"""),82.88)</f>
        <v>82.88</v>
      </c>
      <c r="D161" s="141">
        <f ca="1">IFERROR(__xludf.DUMMYFUNCTION("""COMPUTED_VALUE"""),82.89)</f>
        <v>82.89</v>
      </c>
      <c r="E161" s="141">
        <f ca="1">IFERROR(__xludf.DUMMYFUNCTION("""COMPUTED_VALUE"""),82.87)</f>
        <v>82.87</v>
      </c>
      <c r="F161" s="141">
        <f ca="1">IFERROR(__xludf.DUMMYFUNCTION("""COMPUTED_VALUE"""),82.88)</f>
        <v>82.88</v>
      </c>
      <c r="G161" s="143">
        <f ca="1">IFERROR(__xludf.DUMMYFUNCTION("""COMPUTED_VALUE"""),6928894)</f>
        <v>6928894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IFERROR(__xludf.DUMMYFUNCTION("""COMPUTED_VALUE"""),82.93)</f>
        <v>82.93</v>
      </c>
      <c r="D162" s="141">
        <f ca="1">IFERROR(__xludf.DUMMYFUNCTION("""COMPUTED_VALUE"""),82.95)</f>
        <v>82.95</v>
      </c>
      <c r="E162" s="141">
        <f ca="1">IFERROR(__xludf.DUMMYFUNCTION("""COMPUTED_VALUE"""),82.92)</f>
        <v>82.92</v>
      </c>
      <c r="F162" s="141">
        <f ca="1">IFERROR(__xludf.DUMMYFUNCTION("""COMPUTED_VALUE"""),82.93)</f>
        <v>82.93</v>
      </c>
      <c r="G162" s="143">
        <f ca="1">IFERROR(__xludf.DUMMYFUNCTION("""COMPUTED_VALUE"""),4736221)</f>
        <v>4736221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IFERROR(__xludf.DUMMYFUNCTION("""COMPUTED_VALUE"""),82.85)</f>
        <v>82.85</v>
      </c>
      <c r="D163" s="141">
        <f ca="1">IFERROR(__xludf.DUMMYFUNCTION("""COMPUTED_VALUE"""),82.89)</f>
        <v>82.89</v>
      </c>
      <c r="E163" s="141">
        <f ca="1">IFERROR(__xludf.DUMMYFUNCTION("""COMPUTED_VALUE"""),82.83)</f>
        <v>82.83</v>
      </c>
      <c r="F163" s="141">
        <f ca="1">IFERROR(__xludf.DUMMYFUNCTION("""COMPUTED_VALUE"""),82.85)</f>
        <v>82.85</v>
      </c>
      <c r="G163" s="143">
        <f ca="1">IFERROR(__xludf.DUMMYFUNCTION("""COMPUTED_VALUE"""),3509982)</f>
        <v>3509982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IFERROR(__xludf.DUMMYFUNCTION("""COMPUTED_VALUE"""),82.88)</f>
        <v>82.88</v>
      </c>
      <c r="D164" s="141">
        <f ca="1">IFERROR(__xludf.DUMMYFUNCTION("""COMPUTED_VALUE"""),82.95)</f>
        <v>82.95</v>
      </c>
      <c r="E164" s="141">
        <f ca="1">IFERROR(__xludf.DUMMYFUNCTION("""COMPUTED_VALUE"""),82.87)</f>
        <v>82.87</v>
      </c>
      <c r="F164" s="141">
        <f ca="1">IFERROR(__xludf.DUMMYFUNCTION("""COMPUTED_VALUE"""),82.93)</f>
        <v>82.93</v>
      </c>
      <c r="G164" s="143">
        <f ca="1">IFERROR(__xludf.DUMMYFUNCTION("""COMPUTED_VALUE"""),3377323)</f>
        <v>3377323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IFERROR(__xludf.DUMMYFUNCTION("""COMPUTED_VALUE"""),83.04)</f>
        <v>83.04</v>
      </c>
      <c r="D165" s="141">
        <f ca="1">IFERROR(__xludf.DUMMYFUNCTION("""COMPUTED_VALUE"""),83.07)</f>
        <v>83.07</v>
      </c>
      <c r="E165" s="141">
        <f ca="1">IFERROR(__xludf.DUMMYFUNCTION("""COMPUTED_VALUE"""),83.03)</f>
        <v>83.03</v>
      </c>
      <c r="F165" s="141">
        <f ca="1">IFERROR(__xludf.DUMMYFUNCTION("""COMPUTED_VALUE"""),83.06)</f>
        <v>83.06</v>
      </c>
      <c r="G165" s="143">
        <f ca="1">IFERROR(__xludf.DUMMYFUNCTION("""COMPUTED_VALUE"""),3564221)</f>
        <v>3564221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IFERROR(__xludf.DUMMYFUNCTION("""COMPUTED_VALUE"""),83.04)</f>
        <v>83.04</v>
      </c>
      <c r="D166" s="141">
        <f ca="1">IFERROR(__xludf.DUMMYFUNCTION("""COMPUTED_VALUE"""),83.05)</f>
        <v>83.05</v>
      </c>
      <c r="E166" s="141">
        <f ca="1">IFERROR(__xludf.DUMMYFUNCTION("""COMPUTED_VALUE"""),83.01)</f>
        <v>83.01</v>
      </c>
      <c r="F166" s="141">
        <f ca="1">IFERROR(__xludf.DUMMYFUNCTION("""COMPUTED_VALUE"""),83.03)</f>
        <v>83.03</v>
      </c>
      <c r="G166" s="143">
        <f ca="1">IFERROR(__xludf.DUMMYFUNCTION("""COMPUTED_VALUE"""),3293803)</f>
        <v>3293803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IFERROR(__xludf.DUMMYFUNCTION("""COMPUTED_VALUE"""),82.98)</f>
        <v>82.98</v>
      </c>
      <c r="D167" s="141">
        <f ca="1">IFERROR(__xludf.DUMMYFUNCTION("""COMPUTED_VALUE"""),83)</f>
        <v>83</v>
      </c>
      <c r="E167" s="141">
        <f ca="1">IFERROR(__xludf.DUMMYFUNCTION("""COMPUTED_VALUE"""),82.98)</f>
        <v>82.98</v>
      </c>
      <c r="F167" s="141">
        <f ca="1">IFERROR(__xludf.DUMMYFUNCTION("""COMPUTED_VALUE"""),82.98)</f>
        <v>82.98</v>
      </c>
      <c r="G167" s="143">
        <f ca="1">IFERROR(__xludf.DUMMYFUNCTION("""COMPUTED_VALUE"""),2145507)</f>
        <v>2145507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IFERROR(__xludf.DUMMYFUNCTION("""COMPUTED_VALUE"""),82.97)</f>
        <v>82.97</v>
      </c>
      <c r="D168" s="141">
        <f ca="1">IFERROR(__xludf.DUMMYFUNCTION("""COMPUTED_VALUE"""),83.01)</f>
        <v>83.01</v>
      </c>
      <c r="E168" s="141">
        <f ca="1">IFERROR(__xludf.DUMMYFUNCTION("""COMPUTED_VALUE"""),82.97)</f>
        <v>82.97</v>
      </c>
      <c r="F168" s="141">
        <f ca="1">IFERROR(__xludf.DUMMYFUNCTION("""COMPUTED_VALUE"""),82.98)</f>
        <v>82.98</v>
      </c>
      <c r="G168" s="143">
        <f ca="1">IFERROR(__xludf.DUMMYFUNCTION("""COMPUTED_VALUE"""),2653949)</f>
        <v>2653949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IFERROR(__xludf.DUMMYFUNCTION("""COMPUTED_VALUE"""),83.01)</f>
        <v>83.01</v>
      </c>
      <c r="D169" s="141">
        <f ca="1">IFERROR(__xludf.DUMMYFUNCTION("""COMPUTED_VALUE"""),83.02)</f>
        <v>83.02</v>
      </c>
      <c r="E169" s="141">
        <f ca="1">IFERROR(__xludf.DUMMYFUNCTION("""COMPUTED_VALUE"""),82.97)</f>
        <v>82.97</v>
      </c>
      <c r="F169" s="141">
        <f ca="1">IFERROR(__xludf.DUMMYFUNCTION("""COMPUTED_VALUE"""),82.99)</f>
        <v>82.99</v>
      </c>
      <c r="G169" s="143">
        <f ca="1">IFERROR(__xludf.DUMMYFUNCTION("""COMPUTED_VALUE"""),3451937)</f>
        <v>3451937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IFERROR(__xludf.DUMMYFUNCTION("""COMPUTED_VALUE"""),83.02)</f>
        <v>83.02</v>
      </c>
      <c r="D170" s="141">
        <f ca="1">IFERROR(__xludf.DUMMYFUNCTION("""COMPUTED_VALUE"""),83.08)</f>
        <v>83.08</v>
      </c>
      <c r="E170" s="141">
        <f ca="1">IFERROR(__xludf.DUMMYFUNCTION("""COMPUTED_VALUE"""),83)</f>
        <v>83</v>
      </c>
      <c r="F170" s="141">
        <f ca="1">IFERROR(__xludf.DUMMYFUNCTION("""COMPUTED_VALUE"""),83.06)</f>
        <v>83.06</v>
      </c>
      <c r="G170" s="143">
        <f ca="1">IFERROR(__xludf.DUMMYFUNCTION("""COMPUTED_VALUE"""),2797087)</f>
        <v>2797087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IFERROR(__xludf.DUMMYFUNCTION("""COMPUTED_VALUE"""),83.05)</f>
        <v>83.05</v>
      </c>
      <c r="D171" s="141">
        <f ca="1">IFERROR(__xludf.DUMMYFUNCTION("""COMPUTED_VALUE"""),83.07)</f>
        <v>83.07</v>
      </c>
      <c r="E171" s="141">
        <f ca="1">IFERROR(__xludf.DUMMYFUNCTION("""COMPUTED_VALUE"""),83.03)</f>
        <v>83.03</v>
      </c>
      <c r="F171" s="141">
        <f ca="1">IFERROR(__xludf.DUMMYFUNCTION("""COMPUTED_VALUE"""),83.06)</f>
        <v>83.06</v>
      </c>
      <c r="G171" s="143">
        <f ca="1">IFERROR(__xludf.DUMMYFUNCTION("""COMPUTED_VALUE"""),5223899)</f>
        <v>5223899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IFERROR(__xludf.DUMMYFUNCTION("""COMPUTED_VALUE"""),83.03)</f>
        <v>83.03</v>
      </c>
      <c r="D172" s="141">
        <f ca="1">IFERROR(__xludf.DUMMYFUNCTION("""COMPUTED_VALUE"""),83.04)</f>
        <v>83.04</v>
      </c>
      <c r="E172" s="141">
        <f ca="1">IFERROR(__xludf.DUMMYFUNCTION("""COMPUTED_VALUE"""),83.01)</f>
        <v>83.01</v>
      </c>
      <c r="F172" s="141">
        <f ca="1">IFERROR(__xludf.DUMMYFUNCTION("""COMPUTED_VALUE"""),83.04)</f>
        <v>83.04</v>
      </c>
      <c r="G172" s="143">
        <f ca="1">IFERROR(__xludf.DUMMYFUNCTION("""COMPUTED_VALUE"""),4492766)</f>
        <v>4492766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IFERROR(__xludf.DUMMYFUNCTION("""COMPUTED_VALUE"""),83.03)</f>
        <v>83.03</v>
      </c>
      <c r="D173" s="141">
        <f ca="1">IFERROR(__xludf.DUMMYFUNCTION("""COMPUTED_VALUE"""),83.09)</f>
        <v>83.09</v>
      </c>
      <c r="E173" s="141">
        <f ca="1">IFERROR(__xludf.DUMMYFUNCTION("""COMPUTED_VALUE"""),83.03)</f>
        <v>83.03</v>
      </c>
      <c r="F173" s="141">
        <f ca="1">IFERROR(__xludf.DUMMYFUNCTION("""COMPUTED_VALUE"""),83.07)</f>
        <v>83.07</v>
      </c>
      <c r="G173" s="143">
        <f ca="1">IFERROR(__xludf.DUMMYFUNCTION("""COMPUTED_VALUE"""),7833504)</f>
        <v>7833504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IFERROR(__xludf.DUMMYFUNCTION("""COMPUTED_VALUE"""),83.16)</f>
        <v>83.16</v>
      </c>
      <c r="D174" s="141">
        <f ca="1">IFERROR(__xludf.DUMMYFUNCTION("""COMPUTED_VALUE"""),83.2)</f>
        <v>83.2</v>
      </c>
      <c r="E174" s="141">
        <f ca="1">IFERROR(__xludf.DUMMYFUNCTION("""COMPUTED_VALUE"""),83.15)</f>
        <v>83.15</v>
      </c>
      <c r="F174" s="141">
        <f ca="1">IFERROR(__xludf.DUMMYFUNCTION("""COMPUTED_VALUE"""),83.18)</f>
        <v>83.18</v>
      </c>
      <c r="G174" s="143">
        <f ca="1">IFERROR(__xludf.DUMMYFUNCTION("""COMPUTED_VALUE"""),5652017)</f>
        <v>5652017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IFERROR(__xludf.DUMMYFUNCTION("""COMPUTED_VALUE"""),82.88)</f>
        <v>82.88</v>
      </c>
      <c r="D175" s="141">
        <f ca="1">IFERROR(__xludf.DUMMYFUNCTION("""COMPUTED_VALUE"""),82.89)</f>
        <v>82.89</v>
      </c>
      <c r="E175" s="141">
        <f ca="1">IFERROR(__xludf.DUMMYFUNCTION("""COMPUTED_VALUE"""),82.79)</f>
        <v>82.79</v>
      </c>
      <c r="F175" s="141">
        <f ca="1">IFERROR(__xludf.DUMMYFUNCTION("""COMPUTED_VALUE"""),82.81)</f>
        <v>82.81</v>
      </c>
      <c r="G175" s="143">
        <f ca="1">IFERROR(__xludf.DUMMYFUNCTION("""COMPUTED_VALUE"""),7067875)</f>
        <v>7067875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IFERROR(__xludf.DUMMYFUNCTION("""COMPUTED_VALUE"""),82.72)</f>
        <v>82.72</v>
      </c>
      <c r="D176" s="141">
        <f ca="1">IFERROR(__xludf.DUMMYFUNCTION("""COMPUTED_VALUE"""),82.82)</f>
        <v>82.82</v>
      </c>
      <c r="E176" s="141">
        <f ca="1">IFERROR(__xludf.DUMMYFUNCTION("""COMPUTED_VALUE"""),82.71)</f>
        <v>82.71</v>
      </c>
      <c r="F176" s="141">
        <f ca="1">IFERROR(__xludf.DUMMYFUNCTION("""COMPUTED_VALUE"""),82.8)</f>
        <v>82.8</v>
      </c>
      <c r="G176" s="143">
        <f ca="1">IFERROR(__xludf.DUMMYFUNCTION("""COMPUTED_VALUE"""),5813807)</f>
        <v>5813807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IFERROR(__xludf.DUMMYFUNCTION("""COMPUTED_VALUE"""),82.79)</f>
        <v>82.79</v>
      </c>
      <c r="D177" s="141">
        <f ca="1">IFERROR(__xludf.DUMMYFUNCTION("""COMPUTED_VALUE"""),82.8)</f>
        <v>82.8</v>
      </c>
      <c r="E177" s="141">
        <f ca="1">IFERROR(__xludf.DUMMYFUNCTION("""COMPUTED_VALUE"""),82.73)</f>
        <v>82.73</v>
      </c>
      <c r="F177" s="141">
        <f ca="1">IFERROR(__xludf.DUMMYFUNCTION("""COMPUTED_VALUE"""),82.75)</f>
        <v>82.75</v>
      </c>
      <c r="G177" s="143">
        <f ca="1">IFERROR(__xludf.DUMMYFUNCTION("""COMPUTED_VALUE"""),5024333)</f>
        <v>5024333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IFERROR(__xludf.DUMMYFUNCTION("""COMPUTED_VALUE"""),82.68)</f>
        <v>82.68</v>
      </c>
      <c r="D178" s="141">
        <f ca="1">IFERROR(__xludf.DUMMYFUNCTION("""COMPUTED_VALUE"""),82.71)</f>
        <v>82.71</v>
      </c>
      <c r="E178" s="141">
        <f ca="1">IFERROR(__xludf.DUMMYFUNCTION("""COMPUTED_VALUE"""),82.66)</f>
        <v>82.66</v>
      </c>
      <c r="F178" s="141">
        <f ca="1">IFERROR(__xludf.DUMMYFUNCTION("""COMPUTED_VALUE"""),82.69)</f>
        <v>82.69</v>
      </c>
      <c r="G178" s="143">
        <f ca="1">IFERROR(__xludf.DUMMYFUNCTION("""COMPUTED_VALUE"""),7133963)</f>
        <v>7133963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IFERROR(__xludf.DUMMYFUNCTION("""COMPUTED_VALUE"""),82.67)</f>
        <v>82.67</v>
      </c>
      <c r="D179" s="141">
        <f ca="1">IFERROR(__xludf.DUMMYFUNCTION("""COMPUTED_VALUE"""),82.81)</f>
        <v>82.81</v>
      </c>
      <c r="E179" s="141">
        <f ca="1">IFERROR(__xludf.DUMMYFUNCTION("""COMPUTED_VALUE"""),82.67)</f>
        <v>82.67</v>
      </c>
      <c r="F179" s="141">
        <f ca="1">IFERROR(__xludf.DUMMYFUNCTION("""COMPUTED_VALUE"""),82.73)</f>
        <v>82.73</v>
      </c>
      <c r="G179" s="143">
        <f ca="1">IFERROR(__xludf.DUMMYFUNCTION("""COMPUTED_VALUE"""),5746113)</f>
        <v>5746113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IFERROR(__xludf.DUMMYFUNCTION("""COMPUTED_VALUE"""),82.7)</f>
        <v>82.7</v>
      </c>
      <c r="D180" s="141">
        <f ca="1">IFERROR(__xludf.DUMMYFUNCTION("""COMPUTED_VALUE"""),82.78)</f>
        <v>82.78</v>
      </c>
      <c r="E180" s="141">
        <f ca="1">IFERROR(__xludf.DUMMYFUNCTION("""COMPUTED_VALUE"""),82.67)</f>
        <v>82.67</v>
      </c>
      <c r="F180" s="141">
        <f ca="1">IFERROR(__xludf.DUMMYFUNCTION("""COMPUTED_VALUE"""),82.77)</f>
        <v>82.77</v>
      </c>
      <c r="G180" s="143">
        <f ca="1">IFERROR(__xludf.DUMMYFUNCTION("""COMPUTED_VALUE"""),4888756)</f>
        <v>4888756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IFERROR(__xludf.DUMMYFUNCTION("""COMPUTED_VALUE"""),82.77)</f>
        <v>82.77</v>
      </c>
      <c r="D181" s="141">
        <f ca="1">IFERROR(__xludf.DUMMYFUNCTION("""COMPUTED_VALUE"""),82.8)</f>
        <v>82.8</v>
      </c>
      <c r="E181" s="141">
        <f ca="1">IFERROR(__xludf.DUMMYFUNCTION("""COMPUTED_VALUE"""),82.71)</f>
        <v>82.71</v>
      </c>
      <c r="F181" s="141">
        <f ca="1">IFERROR(__xludf.DUMMYFUNCTION("""COMPUTED_VALUE"""),82.72)</f>
        <v>82.72</v>
      </c>
      <c r="G181" s="143">
        <f ca="1">IFERROR(__xludf.DUMMYFUNCTION("""COMPUTED_VALUE"""),4496901)</f>
        <v>4496901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IFERROR(__xludf.DUMMYFUNCTION("""COMPUTED_VALUE"""),82.68)</f>
        <v>82.68</v>
      </c>
      <c r="D182" s="141">
        <f ca="1">IFERROR(__xludf.DUMMYFUNCTION("""COMPUTED_VALUE"""),82.69)</f>
        <v>82.69</v>
      </c>
      <c r="E182" s="141">
        <f ca="1">IFERROR(__xludf.DUMMYFUNCTION("""COMPUTED_VALUE"""),82.64)</f>
        <v>82.64</v>
      </c>
      <c r="F182" s="141">
        <f ca="1">IFERROR(__xludf.DUMMYFUNCTION("""COMPUTED_VALUE"""),82.64)</f>
        <v>82.64</v>
      </c>
      <c r="G182" s="143">
        <f ca="1">IFERROR(__xludf.DUMMYFUNCTION("""COMPUTED_VALUE"""),3977180)</f>
        <v>3977180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IFERROR(__xludf.DUMMYFUNCTION("""COMPUTED_VALUE"""),82.61)</f>
        <v>82.61</v>
      </c>
      <c r="D183" s="141">
        <f ca="1">IFERROR(__xludf.DUMMYFUNCTION("""COMPUTED_VALUE"""),82.63)</f>
        <v>82.63</v>
      </c>
      <c r="E183" s="141">
        <f ca="1">IFERROR(__xludf.DUMMYFUNCTION("""COMPUTED_VALUE"""),82.47)</f>
        <v>82.47</v>
      </c>
      <c r="F183" s="141">
        <f ca="1">IFERROR(__xludf.DUMMYFUNCTION("""COMPUTED_VALUE"""),82.5)</f>
        <v>82.5</v>
      </c>
      <c r="G183" s="143">
        <f ca="1">IFERROR(__xludf.DUMMYFUNCTION("""COMPUTED_VALUE"""),8506923)</f>
        <v>8506923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IFERROR(__xludf.DUMMYFUNCTION("""COMPUTED_VALUE"""),82.6)</f>
        <v>82.6</v>
      </c>
      <c r="D184" s="141">
        <f ca="1">IFERROR(__xludf.DUMMYFUNCTION("""COMPUTED_VALUE"""),82.61)</f>
        <v>82.61</v>
      </c>
      <c r="E184" s="141">
        <f ca="1">IFERROR(__xludf.DUMMYFUNCTION("""COMPUTED_VALUE"""),82.53)</f>
        <v>82.53</v>
      </c>
      <c r="F184" s="141">
        <f ca="1">IFERROR(__xludf.DUMMYFUNCTION("""COMPUTED_VALUE"""),82.55)</f>
        <v>82.55</v>
      </c>
      <c r="G184" s="143">
        <f ca="1">IFERROR(__xludf.DUMMYFUNCTION("""COMPUTED_VALUE"""),7184093)</f>
        <v>7184093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IFERROR(__xludf.DUMMYFUNCTION("""COMPUTED_VALUE"""),82.64)</f>
        <v>82.64</v>
      </c>
      <c r="D185" s="141">
        <f ca="1">IFERROR(__xludf.DUMMYFUNCTION("""COMPUTED_VALUE"""),82.65)</f>
        <v>82.65</v>
      </c>
      <c r="E185" s="141">
        <f ca="1">IFERROR(__xludf.DUMMYFUNCTION("""COMPUTED_VALUE"""),82.59)</f>
        <v>82.59</v>
      </c>
      <c r="F185" s="141">
        <f ca="1">IFERROR(__xludf.DUMMYFUNCTION("""COMPUTED_VALUE"""),82.65)</f>
        <v>82.65</v>
      </c>
      <c r="G185" s="143">
        <f ca="1">IFERROR(__xludf.DUMMYFUNCTION("""COMPUTED_VALUE"""),4785616)</f>
        <v>4785616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IFERROR(__xludf.DUMMYFUNCTION("""COMPUTED_VALUE"""),82.65)</f>
        <v>82.65</v>
      </c>
      <c r="D186" s="141">
        <f ca="1">IFERROR(__xludf.DUMMYFUNCTION("""COMPUTED_VALUE"""),82.68)</f>
        <v>82.68</v>
      </c>
      <c r="E186" s="141">
        <f ca="1">IFERROR(__xludf.DUMMYFUNCTION("""COMPUTED_VALUE"""),82.65)</f>
        <v>82.65</v>
      </c>
      <c r="F186" s="141">
        <f ca="1">IFERROR(__xludf.DUMMYFUNCTION("""COMPUTED_VALUE"""),82.66)</f>
        <v>82.66</v>
      </c>
      <c r="G186" s="143">
        <f ca="1">IFERROR(__xludf.DUMMYFUNCTION("""COMPUTED_VALUE"""),3379676)</f>
        <v>3379676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IFERROR(__xludf.DUMMYFUNCTION("""COMPUTED_VALUE"""),82.6)</f>
        <v>82.6</v>
      </c>
      <c r="D187" s="141">
        <f ca="1">IFERROR(__xludf.DUMMYFUNCTION("""COMPUTED_VALUE"""),82.63)</f>
        <v>82.63</v>
      </c>
      <c r="E187" s="141">
        <f ca="1">IFERROR(__xludf.DUMMYFUNCTION("""COMPUTED_VALUE"""),82.51)</f>
        <v>82.51</v>
      </c>
      <c r="F187" s="141">
        <f ca="1">IFERROR(__xludf.DUMMYFUNCTION("""COMPUTED_VALUE"""),82.51)</f>
        <v>82.51</v>
      </c>
      <c r="G187" s="143">
        <f ca="1">IFERROR(__xludf.DUMMYFUNCTION("""COMPUTED_VALUE"""),5624608)</f>
        <v>5624608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IFERROR(__xludf.DUMMYFUNCTION("""COMPUTED_VALUE"""),82.39)</f>
        <v>82.39</v>
      </c>
      <c r="D188" s="141">
        <f ca="1">IFERROR(__xludf.DUMMYFUNCTION("""COMPUTED_VALUE"""),82.53)</f>
        <v>82.53</v>
      </c>
      <c r="E188" s="141">
        <f ca="1">IFERROR(__xludf.DUMMYFUNCTION("""COMPUTED_VALUE"""),82.37)</f>
        <v>82.37</v>
      </c>
      <c r="F188" s="141">
        <f ca="1">IFERROR(__xludf.DUMMYFUNCTION("""COMPUTED_VALUE"""),82.49)</f>
        <v>82.49</v>
      </c>
      <c r="G188" s="143">
        <f ca="1">IFERROR(__xludf.DUMMYFUNCTION("""COMPUTED_VALUE"""),12151286)</f>
        <v>12151286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IFERROR(__xludf.DUMMYFUNCTION("""COMPUTED_VALUE"""),82.37)</f>
        <v>82.37</v>
      </c>
      <c r="D189" s="141">
        <f ca="1">IFERROR(__xludf.DUMMYFUNCTION("""COMPUTED_VALUE"""),82.38)</f>
        <v>82.38</v>
      </c>
      <c r="E189" s="141">
        <f ca="1">IFERROR(__xludf.DUMMYFUNCTION("""COMPUTED_VALUE"""),82.28)</f>
        <v>82.28</v>
      </c>
      <c r="F189" s="141">
        <f ca="1">IFERROR(__xludf.DUMMYFUNCTION("""COMPUTED_VALUE"""),82.31)</f>
        <v>82.31</v>
      </c>
      <c r="G189" s="143">
        <f ca="1">IFERROR(__xludf.DUMMYFUNCTION("""COMPUTED_VALUE"""),11512259)</f>
        <v>11512259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IFERROR(__xludf.DUMMYFUNCTION("""COMPUTED_VALUE"""),82.36)</f>
        <v>82.36</v>
      </c>
      <c r="D190" s="141">
        <f ca="1">IFERROR(__xludf.DUMMYFUNCTION("""COMPUTED_VALUE"""),82.49)</f>
        <v>82.49</v>
      </c>
      <c r="E190" s="141">
        <f ca="1">IFERROR(__xludf.DUMMYFUNCTION("""COMPUTED_VALUE"""),82.34)</f>
        <v>82.34</v>
      </c>
      <c r="F190" s="141">
        <f ca="1">IFERROR(__xludf.DUMMYFUNCTION("""COMPUTED_VALUE"""),82.43)</f>
        <v>82.43</v>
      </c>
      <c r="G190" s="143">
        <f ca="1">IFERROR(__xludf.DUMMYFUNCTION("""COMPUTED_VALUE"""),8918052)</f>
        <v>8918052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IFERROR(__xludf.DUMMYFUNCTION("""COMPUTED_VALUE"""),82.33)</f>
        <v>82.33</v>
      </c>
      <c r="D191" s="141">
        <f ca="1">IFERROR(__xludf.DUMMYFUNCTION("""COMPUTED_VALUE"""),82.39)</f>
        <v>82.39</v>
      </c>
      <c r="E191" s="141">
        <f ca="1">IFERROR(__xludf.DUMMYFUNCTION("""COMPUTED_VALUE"""),82.27)</f>
        <v>82.27</v>
      </c>
      <c r="F191" s="141">
        <f ca="1">IFERROR(__xludf.DUMMYFUNCTION("""COMPUTED_VALUE"""),82.31)</f>
        <v>82.31</v>
      </c>
      <c r="G191" s="143">
        <f ca="1">IFERROR(__xludf.DUMMYFUNCTION("""COMPUTED_VALUE"""),8547155)</f>
        <v>8547155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IFERROR(__xludf.DUMMYFUNCTION("""COMPUTED_VALUE"""),82.4)</f>
        <v>82.4</v>
      </c>
      <c r="D192" s="141">
        <f ca="1">IFERROR(__xludf.DUMMYFUNCTION("""COMPUTED_VALUE"""),82.43)</f>
        <v>82.43</v>
      </c>
      <c r="E192" s="141">
        <f ca="1">IFERROR(__xludf.DUMMYFUNCTION("""COMPUTED_VALUE"""),82.37)</f>
        <v>82.37</v>
      </c>
      <c r="F192" s="141">
        <f ca="1">IFERROR(__xludf.DUMMYFUNCTION("""COMPUTED_VALUE"""),82.4)</f>
        <v>82.4</v>
      </c>
      <c r="G192" s="143">
        <f ca="1">IFERROR(__xludf.DUMMYFUNCTION("""COMPUTED_VALUE"""),5556037)</f>
        <v>5556037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IFERROR(__xludf.DUMMYFUNCTION("""COMPUTED_VALUE"""),82.33)</f>
        <v>82.33</v>
      </c>
      <c r="D193" s="141">
        <f ca="1">IFERROR(__xludf.DUMMYFUNCTION("""COMPUTED_VALUE"""),82.36)</f>
        <v>82.36</v>
      </c>
      <c r="E193" s="141">
        <f ca="1">IFERROR(__xludf.DUMMYFUNCTION("""COMPUTED_VALUE"""),82.22)</f>
        <v>82.22</v>
      </c>
      <c r="F193" s="141">
        <f ca="1">IFERROR(__xludf.DUMMYFUNCTION("""COMPUTED_VALUE"""),82.22)</f>
        <v>82.22</v>
      </c>
      <c r="G193" s="143">
        <f ca="1">IFERROR(__xludf.DUMMYFUNCTION("""COMPUTED_VALUE"""),7405871)</f>
        <v>7405871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IFERROR(__xludf.DUMMYFUNCTION("""COMPUTED_VALUE"""),82.28)</f>
        <v>82.28</v>
      </c>
      <c r="D194" s="141">
        <f ca="1">IFERROR(__xludf.DUMMYFUNCTION("""COMPUTED_VALUE"""),82.39)</f>
        <v>82.39</v>
      </c>
      <c r="E194" s="141">
        <f ca="1">IFERROR(__xludf.DUMMYFUNCTION("""COMPUTED_VALUE"""),82.28)</f>
        <v>82.28</v>
      </c>
      <c r="F194" s="141">
        <f ca="1">IFERROR(__xludf.DUMMYFUNCTION("""COMPUTED_VALUE"""),82.39)</f>
        <v>82.39</v>
      </c>
      <c r="G194" s="143">
        <f ca="1">IFERROR(__xludf.DUMMYFUNCTION("""COMPUTED_VALUE"""),7966358)</f>
        <v>7966358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IFERROR(__xludf.DUMMYFUNCTION("""COMPUTED_VALUE"""),82.48)</f>
        <v>82.48</v>
      </c>
      <c r="D195" s="141">
        <f ca="1">IFERROR(__xludf.DUMMYFUNCTION("""COMPUTED_VALUE"""),82.54)</f>
        <v>82.54</v>
      </c>
      <c r="E195" s="141">
        <f ca="1">IFERROR(__xludf.DUMMYFUNCTION("""COMPUTED_VALUE"""),82.47)</f>
        <v>82.47</v>
      </c>
      <c r="F195" s="141">
        <f ca="1">IFERROR(__xludf.DUMMYFUNCTION("""COMPUTED_VALUE"""),82.5)</f>
        <v>82.5</v>
      </c>
      <c r="G195" s="143">
        <f ca="1">IFERROR(__xludf.DUMMYFUNCTION("""COMPUTED_VALUE"""),5461177)</f>
        <v>5461177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IFERROR(__xludf.DUMMYFUNCTION("""COMPUTED_VALUE"""),82.59)</f>
        <v>82.59</v>
      </c>
      <c r="D196" s="141">
        <f ca="1">IFERROR(__xludf.DUMMYFUNCTION("""COMPUTED_VALUE"""),82.62)</f>
        <v>82.62</v>
      </c>
      <c r="E196" s="141">
        <f ca="1">IFERROR(__xludf.DUMMYFUNCTION("""COMPUTED_VALUE"""),82.55)</f>
        <v>82.55</v>
      </c>
      <c r="F196" s="141">
        <f ca="1">IFERROR(__xludf.DUMMYFUNCTION("""COMPUTED_VALUE"""),82.57)</f>
        <v>82.57</v>
      </c>
      <c r="G196" s="143">
        <f ca="1">IFERROR(__xludf.DUMMYFUNCTION("""COMPUTED_VALUE"""),10880070)</f>
        <v>10880070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IFERROR(__xludf.DUMMYFUNCTION("""COMPUTED_VALUE"""),82.32)</f>
        <v>82.32</v>
      </c>
      <c r="D197" s="141">
        <f ca="1">IFERROR(__xludf.DUMMYFUNCTION("""COMPUTED_VALUE"""),82.35)</f>
        <v>82.35</v>
      </c>
      <c r="E197" s="141">
        <f ca="1">IFERROR(__xludf.DUMMYFUNCTION("""COMPUTED_VALUE"""),82.29)</f>
        <v>82.29</v>
      </c>
      <c r="F197" s="141">
        <f ca="1">IFERROR(__xludf.DUMMYFUNCTION("""COMPUTED_VALUE"""),82.32)</f>
        <v>82.32</v>
      </c>
      <c r="G197" s="143">
        <f ca="1">IFERROR(__xludf.DUMMYFUNCTION("""COMPUTED_VALUE"""),7672043)</f>
        <v>7672043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IFERROR(__xludf.DUMMYFUNCTION("""COMPUTED_VALUE"""),82.33)</f>
        <v>82.33</v>
      </c>
      <c r="D198" s="141">
        <f ca="1">IFERROR(__xludf.DUMMYFUNCTION("""COMPUTED_VALUE"""),82.39)</f>
        <v>82.39</v>
      </c>
      <c r="E198" s="141">
        <f ca="1">IFERROR(__xludf.DUMMYFUNCTION("""COMPUTED_VALUE"""),82.32)</f>
        <v>82.32</v>
      </c>
      <c r="F198" s="141">
        <f ca="1">IFERROR(__xludf.DUMMYFUNCTION("""COMPUTED_VALUE"""),82.36)</f>
        <v>82.36</v>
      </c>
      <c r="G198" s="143">
        <f ca="1">IFERROR(__xludf.DUMMYFUNCTION("""COMPUTED_VALUE"""),4735174)</f>
        <v>4735174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IFERROR(__xludf.DUMMYFUNCTION("""COMPUTED_VALUE"""),82.29)</f>
        <v>82.29</v>
      </c>
      <c r="D199" s="141">
        <f ca="1">IFERROR(__xludf.DUMMYFUNCTION("""COMPUTED_VALUE"""),82.31)</f>
        <v>82.31</v>
      </c>
      <c r="E199" s="141">
        <f ca="1">IFERROR(__xludf.DUMMYFUNCTION("""COMPUTED_VALUE"""),82.26)</f>
        <v>82.26</v>
      </c>
      <c r="F199" s="141">
        <f ca="1">IFERROR(__xludf.DUMMYFUNCTION("""COMPUTED_VALUE"""),82.28)</f>
        <v>82.28</v>
      </c>
      <c r="G199" s="143">
        <f ca="1">IFERROR(__xludf.DUMMYFUNCTION("""COMPUTED_VALUE"""),3659923)</f>
        <v>3659923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IFERROR(__xludf.DUMMYFUNCTION("""COMPUTED_VALUE"""),82.3)</f>
        <v>82.3</v>
      </c>
      <c r="D200" s="141">
        <f ca="1">IFERROR(__xludf.DUMMYFUNCTION("""COMPUTED_VALUE"""),82.38)</f>
        <v>82.38</v>
      </c>
      <c r="E200" s="141">
        <f ca="1">IFERROR(__xludf.DUMMYFUNCTION("""COMPUTED_VALUE"""),82.25)</f>
        <v>82.25</v>
      </c>
      <c r="F200" s="141">
        <f ca="1">IFERROR(__xludf.DUMMYFUNCTION("""COMPUTED_VALUE"""),82.34)</f>
        <v>82.34</v>
      </c>
      <c r="G200" s="143">
        <f ca="1">IFERROR(__xludf.DUMMYFUNCTION("""COMPUTED_VALUE"""),3130472)</f>
        <v>3130472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IFERROR(__xludf.DUMMYFUNCTION("""COMPUTED_VALUE"""),82.48)</f>
        <v>82.48</v>
      </c>
      <c r="D201" s="141">
        <f ca="1">IFERROR(__xludf.DUMMYFUNCTION("""COMPUTED_VALUE"""),82.48)</f>
        <v>82.48</v>
      </c>
      <c r="E201" s="141">
        <f ca="1">IFERROR(__xludf.DUMMYFUNCTION("""COMPUTED_VALUE"""),82.39)</f>
        <v>82.39</v>
      </c>
      <c r="F201" s="141">
        <f ca="1">IFERROR(__xludf.DUMMYFUNCTION("""COMPUTED_VALUE"""),82.42)</f>
        <v>82.42</v>
      </c>
      <c r="G201" s="143">
        <f ca="1">IFERROR(__xludf.DUMMYFUNCTION("""COMPUTED_VALUE"""),6026830)</f>
        <v>6026830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IFERROR(__xludf.DUMMYFUNCTION("""COMPUTED_VALUE"""),82.42)</f>
        <v>82.42</v>
      </c>
      <c r="D202" s="141">
        <f ca="1">IFERROR(__xludf.DUMMYFUNCTION("""COMPUTED_VALUE"""),82.48)</f>
        <v>82.48</v>
      </c>
      <c r="E202" s="141">
        <f ca="1">IFERROR(__xludf.DUMMYFUNCTION("""COMPUTED_VALUE"""),82.39)</f>
        <v>82.39</v>
      </c>
      <c r="F202" s="141">
        <f ca="1">IFERROR(__xludf.DUMMYFUNCTION("""COMPUTED_VALUE"""),82.44)</f>
        <v>82.44</v>
      </c>
      <c r="G202" s="143">
        <f ca="1">IFERROR(__xludf.DUMMYFUNCTION("""COMPUTED_VALUE"""),6123474)</f>
        <v>6123474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IFERROR(__xludf.DUMMYFUNCTION("""COMPUTED_VALUE"""),82.44)</f>
        <v>82.44</v>
      </c>
      <c r="D203" s="141">
        <f ca="1">IFERROR(__xludf.DUMMYFUNCTION("""COMPUTED_VALUE"""),82.46)</f>
        <v>82.46</v>
      </c>
      <c r="E203" s="141">
        <f ca="1">IFERROR(__xludf.DUMMYFUNCTION("""COMPUTED_VALUE"""),82.4)</f>
        <v>82.4</v>
      </c>
      <c r="F203" s="141">
        <f ca="1">IFERROR(__xludf.DUMMYFUNCTION("""COMPUTED_VALUE"""),82.41)</f>
        <v>82.41</v>
      </c>
      <c r="G203" s="143">
        <f ca="1">IFERROR(__xludf.DUMMYFUNCTION("""COMPUTED_VALUE"""),5766645)</f>
        <v>5766645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IFERROR(__xludf.DUMMYFUNCTION("""COMPUTED_VALUE"""),82.43)</f>
        <v>82.43</v>
      </c>
      <c r="D204" s="141">
        <f ca="1">IFERROR(__xludf.DUMMYFUNCTION("""COMPUTED_VALUE"""),82.47)</f>
        <v>82.47</v>
      </c>
      <c r="E204" s="141">
        <f ca="1">IFERROR(__xludf.DUMMYFUNCTION("""COMPUTED_VALUE"""),82.4)</f>
        <v>82.4</v>
      </c>
      <c r="F204" s="141">
        <f ca="1">IFERROR(__xludf.DUMMYFUNCTION("""COMPUTED_VALUE"""),82.47)</f>
        <v>82.47</v>
      </c>
      <c r="G204" s="143">
        <f ca="1">IFERROR(__xludf.DUMMYFUNCTION("""COMPUTED_VALUE"""),2919868)</f>
        <v>2919868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IFERROR(__xludf.DUMMYFUNCTION("""COMPUTED_VALUE"""),82.46)</f>
        <v>82.46</v>
      </c>
      <c r="D205" s="141">
        <f ca="1">IFERROR(__xludf.DUMMYFUNCTION("""COMPUTED_VALUE"""),82.53)</f>
        <v>82.53</v>
      </c>
      <c r="E205" s="141">
        <f ca="1">IFERROR(__xludf.DUMMYFUNCTION("""COMPUTED_VALUE"""),82.45)</f>
        <v>82.45</v>
      </c>
      <c r="F205" s="141">
        <f ca="1">IFERROR(__xludf.DUMMYFUNCTION("""COMPUTED_VALUE"""),82.53)</f>
        <v>82.53</v>
      </c>
      <c r="G205" s="143">
        <f ca="1">IFERROR(__xludf.DUMMYFUNCTION("""COMPUTED_VALUE"""),3521048)</f>
        <v>3521048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IFERROR(__xludf.DUMMYFUNCTION("""COMPUTED_VALUE"""),82.52)</f>
        <v>82.52</v>
      </c>
      <c r="D206" s="141">
        <f ca="1">IFERROR(__xludf.DUMMYFUNCTION("""COMPUTED_VALUE"""),82.52)</f>
        <v>82.52</v>
      </c>
      <c r="E206" s="141">
        <f ca="1">IFERROR(__xludf.DUMMYFUNCTION("""COMPUTED_VALUE"""),82.48)</f>
        <v>82.48</v>
      </c>
      <c r="F206" s="141">
        <f ca="1">IFERROR(__xludf.DUMMYFUNCTION("""COMPUTED_VALUE"""),82.51)</f>
        <v>82.51</v>
      </c>
      <c r="G206" s="143">
        <f ca="1">IFERROR(__xludf.DUMMYFUNCTION("""COMPUTED_VALUE"""),3072830)</f>
        <v>3072830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IFERROR(__xludf.DUMMYFUNCTION("""COMPUTED_VALUE"""),82.53)</f>
        <v>82.53</v>
      </c>
      <c r="D207" s="141">
        <f ca="1">IFERROR(__xludf.DUMMYFUNCTION("""COMPUTED_VALUE"""),82.53)</f>
        <v>82.53</v>
      </c>
      <c r="E207" s="141">
        <f ca="1">IFERROR(__xludf.DUMMYFUNCTION("""COMPUTED_VALUE"""),82.48)</f>
        <v>82.48</v>
      </c>
      <c r="F207" s="141">
        <f ca="1">IFERROR(__xludf.DUMMYFUNCTION("""COMPUTED_VALUE"""),82.48)</f>
        <v>82.48</v>
      </c>
      <c r="G207" s="143">
        <f ca="1">IFERROR(__xludf.DUMMYFUNCTION("""COMPUTED_VALUE"""),2875613)</f>
        <v>2875613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IFERROR(__xludf.DUMMYFUNCTION("""COMPUTED_VALUE"""),82.61)</f>
        <v>82.61</v>
      </c>
      <c r="D208" s="141">
        <f ca="1">IFERROR(__xludf.DUMMYFUNCTION("""COMPUTED_VALUE"""),82.66)</f>
        <v>82.66</v>
      </c>
      <c r="E208" s="141">
        <f ca="1">IFERROR(__xludf.DUMMYFUNCTION("""COMPUTED_VALUE"""),82.6)</f>
        <v>82.6</v>
      </c>
      <c r="F208" s="141">
        <f ca="1">IFERROR(__xludf.DUMMYFUNCTION("""COMPUTED_VALUE"""),82.64)</f>
        <v>82.64</v>
      </c>
      <c r="G208" s="143">
        <f ca="1">IFERROR(__xludf.DUMMYFUNCTION("""COMPUTED_VALUE"""),4856665)</f>
        <v>4856665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IFERROR(__xludf.DUMMYFUNCTION("""COMPUTED_VALUE"""),82.63)</f>
        <v>82.63</v>
      </c>
      <c r="D209" s="141">
        <f ca="1">IFERROR(__xludf.DUMMYFUNCTION("""COMPUTED_VALUE"""),82.63)</f>
        <v>82.63</v>
      </c>
      <c r="E209" s="141">
        <f ca="1">IFERROR(__xludf.DUMMYFUNCTION("""COMPUTED_VALUE"""),82.58)</f>
        <v>82.58</v>
      </c>
      <c r="F209" s="141">
        <f ca="1">IFERROR(__xludf.DUMMYFUNCTION("""COMPUTED_VALUE"""),82.6)</f>
        <v>82.6</v>
      </c>
      <c r="G209" s="143">
        <f ca="1">IFERROR(__xludf.DUMMYFUNCTION("""COMPUTED_VALUE"""),1800410)</f>
        <v>1800410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IFERROR(__xludf.DUMMYFUNCTION("""COMPUTED_VALUE"""),82.56)</f>
        <v>82.56</v>
      </c>
      <c r="D210" s="141">
        <f ca="1">IFERROR(__xludf.DUMMYFUNCTION("""COMPUTED_VALUE"""),82.56)</f>
        <v>82.56</v>
      </c>
      <c r="E210" s="141">
        <f ca="1">IFERROR(__xludf.DUMMYFUNCTION("""COMPUTED_VALUE"""),82.48)</f>
        <v>82.48</v>
      </c>
      <c r="F210" s="141">
        <f ca="1">IFERROR(__xludf.DUMMYFUNCTION("""COMPUTED_VALUE"""),82.48)</f>
        <v>82.48</v>
      </c>
      <c r="G210" s="143">
        <f ca="1">IFERROR(__xludf.DUMMYFUNCTION("""COMPUTED_VALUE"""),3375628)</f>
        <v>3375628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IFERROR(__xludf.DUMMYFUNCTION("""COMPUTED_VALUE"""),82.55)</f>
        <v>82.55</v>
      </c>
      <c r="D211" s="141">
        <f ca="1">IFERROR(__xludf.DUMMYFUNCTION("""COMPUTED_VALUE"""),82.55)</f>
        <v>82.55</v>
      </c>
      <c r="E211" s="141">
        <f ca="1">IFERROR(__xludf.DUMMYFUNCTION("""COMPUTED_VALUE"""),82.51)</f>
        <v>82.51</v>
      </c>
      <c r="F211" s="141">
        <f ca="1">IFERROR(__xludf.DUMMYFUNCTION("""COMPUTED_VALUE"""),82.52)</f>
        <v>82.52</v>
      </c>
      <c r="G211" s="143">
        <f ca="1">IFERROR(__xludf.DUMMYFUNCTION("""COMPUTED_VALUE"""),2126091)</f>
        <v>2126091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IFERROR(__xludf.DUMMYFUNCTION("""COMPUTED_VALUE"""),82.52)</f>
        <v>82.52</v>
      </c>
      <c r="D212" s="141">
        <f ca="1">IFERROR(__xludf.DUMMYFUNCTION("""COMPUTED_VALUE"""),82.53)</f>
        <v>82.53</v>
      </c>
      <c r="E212" s="141">
        <f ca="1">IFERROR(__xludf.DUMMYFUNCTION("""COMPUTED_VALUE"""),82.45)</f>
        <v>82.45</v>
      </c>
      <c r="F212" s="141">
        <f ca="1">IFERROR(__xludf.DUMMYFUNCTION("""COMPUTED_VALUE"""),82.48)</f>
        <v>82.48</v>
      </c>
      <c r="G212" s="143">
        <f ca="1">IFERROR(__xludf.DUMMYFUNCTION("""COMPUTED_VALUE"""),3086102)</f>
        <v>3086102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IFERROR(__xludf.DUMMYFUNCTION("""COMPUTED_VALUE"""),82.51)</f>
        <v>82.51</v>
      </c>
      <c r="D213" s="141">
        <f ca="1">IFERROR(__xludf.DUMMYFUNCTION("""COMPUTED_VALUE"""),82.59)</f>
        <v>82.59</v>
      </c>
      <c r="E213" s="141">
        <f ca="1">IFERROR(__xludf.DUMMYFUNCTION("""COMPUTED_VALUE"""),82.49)</f>
        <v>82.49</v>
      </c>
      <c r="F213" s="141">
        <f ca="1">IFERROR(__xludf.DUMMYFUNCTION("""COMPUTED_VALUE"""),82.57)</f>
        <v>82.57</v>
      </c>
      <c r="G213" s="143">
        <f ca="1">IFERROR(__xludf.DUMMYFUNCTION("""COMPUTED_VALUE"""),3271875)</f>
        <v>3271875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IFERROR(__xludf.DUMMYFUNCTION("""COMPUTED_VALUE"""),82.56)</f>
        <v>82.56</v>
      </c>
      <c r="D214" s="141">
        <f ca="1">IFERROR(__xludf.DUMMYFUNCTION("""COMPUTED_VALUE"""),82.58)</f>
        <v>82.58</v>
      </c>
      <c r="E214" s="141">
        <f ca="1">IFERROR(__xludf.DUMMYFUNCTION("""COMPUTED_VALUE"""),82.54)</f>
        <v>82.54</v>
      </c>
      <c r="F214" s="141">
        <f ca="1">IFERROR(__xludf.DUMMYFUNCTION("""COMPUTED_VALUE"""),82.55)</f>
        <v>82.55</v>
      </c>
      <c r="G214" s="143">
        <f ca="1">IFERROR(__xludf.DUMMYFUNCTION("""COMPUTED_VALUE"""),2376376)</f>
        <v>2376376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IFERROR(__xludf.DUMMYFUNCTION("""COMPUTED_VALUE"""),82.52)</f>
        <v>82.52</v>
      </c>
      <c r="D215" s="141">
        <f ca="1">IFERROR(__xludf.DUMMYFUNCTION("""COMPUTED_VALUE"""),82.53)</f>
        <v>82.53</v>
      </c>
      <c r="E215" s="141">
        <f ca="1">IFERROR(__xludf.DUMMYFUNCTION("""COMPUTED_VALUE"""),82.49)</f>
        <v>82.49</v>
      </c>
      <c r="F215" s="141">
        <f ca="1">IFERROR(__xludf.DUMMYFUNCTION("""COMPUTED_VALUE"""),82.5)</f>
        <v>82.5</v>
      </c>
      <c r="G215" s="143">
        <f ca="1">IFERROR(__xludf.DUMMYFUNCTION("""COMPUTED_VALUE"""),4175907)</f>
        <v>4175907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IFERROR(__xludf.DUMMYFUNCTION("""COMPUTED_VALUE"""),82.47)</f>
        <v>82.47</v>
      </c>
      <c r="D216" s="141">
        <f ca="1">IFERROR(__xludf.DUMMYFUNCTION("""COMPUTED_VALUE"""),82.47)</f>
        <v>82.47</v>
      </c>
      <c r="E216" s="141">
        <f ca="1">IFERROR(__xludf.DUMMYFUNCTION("""COMPUTED_VALUE"""),82.36)</f>
        <v>82.36</v>
      </c>
      <c r="F216" s="141">
        <f ca="1">IFERROR(__xludf.DUMMYFUNCTION("""COMPUTED_VALUE"""),82.39)</f>
        <v>82.39</v>
      </c>
      <c r="G216" s="143">
        <f ca="1">IFERROR(__xludf.DUMMYFUNCTION("""COMPUTED_VALUE"""),4900949)</f>
        <v>4900949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IFERROR(__xludf.DUMMYFUNCTION("""COMPUTED_VALUE"""),82.47)</f>
        <v>82.47</v>
      </c>
      <c r="D217" s="141">
        <f ca="1">IFERROR(__xludf.DUMMYFUNCTION("""COMPUTED_VALUE"""),82.49)</f>
        <v>82.49</v>
      </c>
      <c r="E217" s="141">
        <f ca="1">IFERROR(__xludf.DUMMYFUNCTION("""COMPUTED_VALUE"""),82.45)</f>
        <v>82.45</v>
      </c>
      <c r="F217" s="141">
        <f ca="1">IFERROR(__xludf.DUMMYFUNCTION("""COMPUTED_VALUE"""),82.48)</f>
        <v>82.48</v>
      </c>
      <c r="G217" s="143">
        <f ca="1">IFERROR(__xludf.DUMMYFUNCTION("""COMPUTED_VALUE"""),4183183)</f>
        <v>4183183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IFERROR(__xludf.DUMMYFUNCTION("""COMPUTED_VALUE"""),82.24)</f>
        <v>82.24</v>
      </c>
      <c r="D218" s="141">
        <f ca="1">IFERROR(__xludf.DUMMYFUNCTION("""COMPUTED_VALUE"""),82.31)</f>
        <v>82.31</v>
      </c>
      <c r="E218" s="141">
        <f ca="1">IFERROR(__xludf.DUMMYFUNCTION("""COMPUTED_VALUE"""),82.22)</f>
        <v>82.22</v>
      </c>
      <c r="F218" s="141">
        <f ca="1">IFERROR(__xludf.DUMMYFUNCTION("""COMPUTED_VALUE"""),82.25)</f>
        <v>82.25</v>
      </c>
      <c r="G218" s="143">
        <f ca="1">IFERROR(__xludf.DUMMYFUNCTION("""COMPUTED_VALUE"""),2999474)</f>
        <v>2999474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IFERROR(__xludf.DUMMYFUNCTION("""COMPUTED_VALUE"""),82.21)</f>
        <v>82.21</v>
      </c>
      <c r="D219" s="141">
        <f ca="1">IFERROR(__xludf.DUMMYFUNCTION("""COMPUTED_VALUE"""),82.21)</f>
        <v>82.21</v>
      </c>
      <c r="E219" s="141">
        <f ca="1">IFERROR(__xludf.DUMMYFUNCTION("""COMPUTED_VALUE"""),82.1)</f>
        <v>82.1</v>
      </c>
      <c r="F219" s="141">
        <f ca="1">IFERROR(__xludf.DUMMYFUNCTION("""COMPUTED_VALUE"""),82.15)</f>
        <v>82.15</v>
      </c>
      <c r="G219" s="143">
        <f ca="1">IFERROR(__xludf.DUMMYFUNCTION("""COMPUTED_VALUE"""),4021123)</f>
        <v>4021123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IFERROR(__xludf.DUMMYFUNCTION("""COMPUTED_VALUE"""),82.19)</f>
        <v>82.19</v>
      </c>
      <c r="D220" s="141">
        <f ca="1">IFERROR(__xludf.DUMMYFUNCTION("""COMPUTED_VALUE"""),82.22)</f>
        <v>82.22</v>
      </c>
      <c r="E220" s="141">
        <f ca="1">IFERROR(__xludf.DUMMYFUNCTION("""COMPUTED_VALUE"""),82.18)</f>
        <v>82.18</v>
      </c>
      <c r="F220" s="141">
        <f ca="1">IFERROR(__xludf.DUMMYFUNCTION("""COMPUTED_VALUE"""),82.19)</f>
        <v>82.19</v>
      </c>
      <c r="G220" s="143">
        <f ca="1">IFERROR(__xludf.DUMMYFUNCTION("""COMPUTED_VALUE"""),3736667)</f>
        <v>3736667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IFERROR(__xludf.DUMMYFUNCTION("""COMPUTED_VALUE"""),82.29)</f>
        <v>82.29</v>
      </c>
      <c r="D221" s="141">
        <f ca="1">IFERROR(__xludf.DUMMYFUNCTION("""COMPUTED_VALUE"""),82.31)</f>
        <v>82.31</v>
      </c>
      <c r="E221" s="141">
        <f ca="1">IFERROR(__xludf.DUMMYFUNCTION("""COMPUTED_VALUE"""),82.27)</f>
        <v>82.27</v>
      </c>
      <c r="F221" s="141">
        <f ca="1">IFERROR(__xludf.DUMMYFUNCTION("""COMPUTED_VALUE"""),82.3)</f>
        <v>82.3</v>
      </c>
      <c r="G221" s="143">
        <f ca="1">IFERROR(__xludf.DUMMYFUNCTION("""COMPUTED_VALUE"""),2842339)</f>
        <v>2842339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IFERROR(__xludf.DUMMYFUNCTION("""COMPUTED_VALUE"""),82.36)</f>
        <v>82.36</v>
      </c>
      <c r="D222" s="141">
        <f ca="1">IFERROR(__xludf.DUMMYFUNCTION("""COMPUTED_VALUE"""),82.36)</f>
        <v>82.36</v>
      </c>
      <c r="E222" s="141">
        <f ca="1">IFERROR(__xludf.DUMMYFUNCTION("""COMPUTED_VALUE"""),82.22)</f>
        <v>82.22</v>
      </c>
      <c r="F222" s="141">
        <f ca="1">IFERROR(__xludf.DUMMYFUNCTION("""COMPUTED_VALUE"""),82.23)</f>
        <v>82.23</v>
      </c>
      <c r="G222" s="143">
        <f ca="1">IFERROR(__xludf.DUMMYFUNCTION("""COMPUTED_VALUE"""),2564842)</f>
        <v>2564842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IFERROR(__xludf.DUMMYFUNCTION("""COMPUTED_VALUE"""),82.33)</f>
        <v>82.33</v>
      </c>
      <c r="D223" s="141">
        <f ca="1">IFERROR(__xludf.DUMMYFUNCTION("""COMPUTED_VALUE"""),82.33)</f>
        <v>82.33</v>
      </c>
      <c r="E223" s="141">
        <f ca="1">IFERROR(__xludf.DUMMYFUNCTION("""COMPUTED_VALUE"""),82.29)</f>
        <v>82.29</v>
      </c>
      <c r="F223" s="141">
        <f ca="1">IFERROR(__xludf.DUMMYFUNCTION("""COMPUTED_VALUE"""),82.3)</f>
        <v>82.3</v>
      </c>
      <c r="G223" s="143">
        <f ca="1">IFERROR(__xludf.DUMMYFUNCTION("""COMPUTED_VALUE"""),1597901)</f>
        <v>1597901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IFERROR(__xludf.DUMMYFUNCTION("""COMPUTED_VALUE"""),82.28)</f>
        <v>82.28</v>
      </c>
      <c r="D224" s="141">
        <f ca="1">IFERROR(__xludf.DUMMYFUNCTION("""COMPUTED_VALUE"""),82.29)</f>
        <v>82.29</v>
      </c>
      <c r="E224" s="141">
        <f ca="1">IFERROR(__xludf.DUMMYFUNCTION("""COMPUTED_VALUE"""),82.22)</f>
        <v>82.22</v>
      </c>
      <c r="F224" s="141">
        <f ca="1">IFERROR(__xludf.DUMMYFUNCTION("""COMPUTED_VALUE"""),82.22)</f>
        <v>82.22</v>
      </c>
      <c r="G224" s="143">
        <f ca="1">IFERROR(__xludf.DUMMYFUNCTION("""COMPUTED_VALUE"""),1693985)</f>
        <v>1693985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IFERROR(__xludf.DUMMYFUNCTION("""COMPUTED_VALUE"""),82.18)</f>
        <v>82.18</v>
      </c>
      <c r="D225" s="141">
        <f ca="1">IFERROR(__xludf.DUMMYFUNCTION("""COMPUTED_VALUE"""),82.18)</f>
        <v>82.18</v>
      </c>
      <c r="E225" s="141">
        <f ca="1">IFERROR(__xludf.DUMMYFUNCTION("""COMPUTED_VALUE"""),82.15)</f>
        <v>82.15</v>
      </c>
      <c r="F225" s="141">
        <f ca="1">IFERROR(__xludf.DUMMYFUNCTION("""COMPUTED_VALUE"""),82.16)</f>
        <v>82.16</v>
      </c>
      <c r="G225" s="143">
        <f ca="1">IFERROR(__xludf.DUMMYFUNCTION("""COMPUTED_VALUE"""),3292280)</f>
        <v>3292280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IFERROR(__xludf.DUMMYFUNCTION("""COMPUTED_VALUE"""),82.18)</f>
        <v>82.18</v>
      </c>
      <c r="D226" s="141">
        <f ca="1">IFERROR(__xludf.DUMMYFUNCTION("""COMPUTED_VALUE"""),82.2)</f>
        <v>82.2</v>
      </c>
      <c r="E226" s="141">
        <f ca="1">IFERROR(__xludf.DUMMYFUNCTION("""COMPUTED_VALUE"""),82.14)</f>
        <v>82.14</v>
      </c>
      <c r="F226" s="141">
        <f ca="1">IFERROR(__xludf.DUMMYFUNCTION("""COMPUTED_VALUE"""),82.19)</f>
        <v>82.19</v>
      </c>
      <c r="G226" s="143">
        <f ca="1">IFERROR(__xludf.DUMMYFUNCTION("""COMPUTED_VALUE"""),2667479)</f>
        <v>2667479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IFERROR(__xludf.DUMMYFUNCTION("""COMPUTED_VALUE"""),82.22)</f>
        <v>82.22</v>
      </c>
      <c r="D227" s="141">
        <f ca="1">IFERROR(__xludf.DUMMYFUNCTION("""COMPUTED_VALUE"""),82.23)</f>
        <v>82.23</v>
      </c>
      <c r="E227" s="141">
        <f ca="1">IFERROR(__xludf.DUMMYFUNCTION("""COMPUTED_VALUE"""),82.15)</f>
        <v>82.15</v>
      </c>
      <c r="F227" s="141">
        <f ca="1">IFERROR(__xludf.DUMMYFUNCTION("""COMPUTED_VALUE"""),82.16)</f>
        <v>82.16</v>
      </c>
      <c r="G227" s="143">
        <f ca="1">IFERROR(__xludf.DUMMYFUNCTION("""COMPUTED_VALUE"""),2185577)</f>
        <v>2185577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IFERROR(__xludf.DUMMYFUNCTION("""COMPUTED_VALUE"""),82.09)</f>
        <v>82.09</v>
      </c>
      <c r="D228" s="141">
        <f ca="1">IFERROR(__xludf.DUMMYFUNCTION("""COMPUTED_VALUE"""),82.1)</f>
        <v>82.1</v>
      </c>
      <c r="E228" s="141">
        <f ca="1">IFERROR(__xludf.DUMMYFUNCTION("""COMPUTED_VALUE"""),82.06)</f>
        <v>82.06</v>
      </c>
      <c r="F228" s="141">
        <f ca="1">IFERROR(__xludf.DUMMYFUNCTION("""COMPUTED_VALUE"""),82.06)</f>
        <v>82.06</v>
      </c>
      <c r="G228" s="143">
        <f ca="1">IFERROR(__xludf.DUMMYFUNCTION("""COMPUTED_VALUE"""),3543593)</f>
        <v>3543593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IFERROR(__xludf.DUMMYFUNCTION("""COMPUTED_VALUE"""),82.11)</f>
        <v>82.11</v>
      </c>
      <c r="D229" s="141">
        <f ca="1">IFERROR(__xludf.DUMMYFUNCTION("""COMPUTED_VALUE"""),82.14)</f>
        <v>82.14</v>
      </c>
      <c r="E229" s="141">
        <f ca="1">IFERROR(__xludf.DUMMYFUNCTION("""COMPUTED_VALUE"""),82.06)</f>
        <v>82.06</v>
      </c>
      <c r="F229" s="141">
        <f ca="1">IFERROR(__xludf.DUMMYFUNCTION("""COMPUTED_VALUE"""),82.1)</f>
        <v>82.1</v>
      </c>
      <c r="G229" s="143">
        <f ca="1">IFERROR(__xludf.DUMMYFUNCTION("""COMPUTED_VALUE"""),3800959)</f>
        <v>3800959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IFERROR(__xludf.DUMMYFUNCTION("""COMPUTED_VALUE"""),82.04)</f>
        <v>82.04</v>
      </c>
      <c r="D230" s="141">
        <f ca="1">IFERROR(__xludf.DUMMYFUNCTION("""COMPUTED_VALUE"""),82.07)</f>
        <v>82.07</v>
      </c>
      <c r="E230" s="141">
        <f ca="1">IFERROR(__xludf.DUMMYFUNCTION("""COMPUTED_VALUE"""),82)</f>
        <v>82</v>
      </c>
      <c r="F230" s="141">
        <f ca="1">IFERROR(__xludf.DUMMYFUNCTION("""COMPUTED_VALUE"""),82.04)</f>
        <v>82.04</v>
      </c>
      <c r="G230" s="143">
        <f ca="1">IFERROR(__xludf.DUMMYFUNCTION("""COMPUTED_VALUE"""),3046904)</f>
        <v>3046904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IFERROR(__xludf.DUMMYFUNCTION("""COMPUTED_VALUE"""),82.04)</f>
        <v>82.04</v>
      </c>
      <c r="D231" s="141">
        <f ca="1">IFERROR(__xludf.DUMMYFUNCTION("""COMPUTED_VALUE"""),82.19)</f>
        <v>82.19</v>
      </c>
      <c r="E231" s="141">
        <f ca="1">IFERROR(__xludf.DUMMYFUNCTION("""COMPUTED_VALUE"""),82.04)</f>
        <v>82.04</v>
      </c>
      <c r="F231" s="141">
        <f ca="1">IFERROR(__xludf.DUMMYFUNCTION("""COMPUTED_VALUE"""),82.15)</f>
        <v>82.15</v>
      </c>
      <c r="G231" s="143">
        <f ca="1">IFERROR(__xludf.DUMMYFUNCTION("""COMPUTED_VALUE"""),6917128)</f>
        <v>6917128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IFERROR(__xludf.DUMMYFUNCTION("""COMPUTED_VALUE"""),82.07)</f>
        <v>82.07</v>
      </c>
      <c r="D232" s="141">
        <f ca="1">IFERROR(__xludf.DUMMYFUNCTION("""COMPUTED_VALUE"""),82.16)</f>
        <v>82.16</v>
      </c>
      <c r="E232" s="141">
        <f ca="1">IFERROR(__xludf.DUMMYFUNCTION("""COMPUTED_VALUE"""),82.05)</f>
        <v>82.05</v>
      </c>
      <c r="F232" s="141">
        <f ca="1">IFERROR(__xludf.DUMMYFUNCTION("""COMPUTED_VALUE"""),82.14)</f>
        <v>82.14</v>
      </c>
      <c r="G232" s="143">
        <f ca="1">IFERROR(__xludf.DUMMYFUNCTION("""COMPUTED_VALUE"""),5047294)</f>
        <v>5047294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IFERROR(__xludf.DUMMYFUNCTION("""COMPUTED_VALUE"""),82.17)</f>
        <v>82.17</v>
      </c>
      <c r="D233" s="141">
        <f ca="1">IFERROR(__xludf.DUMMYFUNCTION("""COMPUTED_VALUE"""),82.18)</f>
        <v>82.18</v>
      </c>
      <c r="E233" s="141">
        <f ca="1">IFERROR(__xludf.DUMMYFUNCTION("""COMPUTED_VALUE"""),82.06)</f>
        <v>82.06</v>
      </c>
      <c r="F233" s="141">
        <f ca="1">IFERROR(__xludf.DUMMYFUNCTION("""COMPUTED_VALUE"""),82.12)</f>
        <v>82.12</v>
      </c>
      <c r="G233" s="143">
        <f ca="1">IFERROR(__xludf.DUMMYFUNCTION("""COMPUTED_VALUE"""),2722348)</f>
        <v>2722348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IFERROR(__xludf.DUMMYFUNCTION("""COMPUTED_VALUE"""),82.2)</f>
        <v>82.2</v>
      </c>
      <c r="D234" s="141">
        <f ca="1">IFERROR(__xludf.DUMMYFUNCTION("""COMPUTED_VALUE"""),82.21)</f>
        <v>82.21</v>
      </c>
      <c r="E234" s="141">
        <f ca="1">IFERROR(__xludf.DUMMYFUNCTION("""COMPUTED_VALUE"""),82.16)</f>
        <v>82.16</v>
      </c>
      <c r="F234" s="141">
        <f ca="1">IFERROR(__xludf.DUMMYFUNCTION("""COMPUTED_VALUE"""),82.21)</f>
        <v>82.21</v>
      </c>
      <c r="G234" s="143">
        <f ca="1">IFERROR(__xludf.DUMMYFUNCTION("""COMPUTED_VALUE"""),2783588)</f>
        <v>2783588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IFERROR(__xludf.DUMMYFUNCTION("""COMPUTED_VALUE"""),82.22)</f>
        <v>82.22</v>
      </c>
      <c r="D235" s="141">
        <f ca="1">IFERROR(__xludf.DUMMYFUNCTION("""COMPUTED_VALUE"""),82.24)</f>
        <v>82.24</v>
      </c>
      <c r="E235" s="141">
        <f ca="1">IFERROR(__xludf.DUMMYFUNCTION("""COMPUTED_VALUE"""),82.21)</f>
        <v>82.21</v>
      </c>
      <c r="F235" s="141">
        <f ca="1">IFERROR(__xludf.DUMMYFUNCTION("""COMPUTED_VALUE"""),82.22)</f>
        <v>82.22</v>
      </c>
      <c r="G235" s="143">
        <f ca="1">IFERROR(__xludf.DUMMYFUNCTION("""COMPUTED_VALUE"""),2002424)</f>
        <v>2002424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IFERROR(__xludf.DUMMYFUNCTION("""COMPUTED_VALUE"""),82.22)</f>
        <v>82.22</v>
      </c>
      <c r="D236" s="141">
        <f ca="1">IFERROR(__xludf.DUMMYFUNCTION("""COMPUTED_VALUE"""),82.3)</f>
        <v>82.3</v>
      </c>
      <c r="E236" s="141">
        <f ca="1">IFERROR(__xludf.DUMMYFUNCTION("""COMPUTED_VALUE"""),82.21)</f>
        <v>82.21</v>
      </c>
      <c r="F236" s="141">
        <f ca="1">IFERROR(__xludf.DUMMYFUNCTION("""COMPUTED_VALUE"""),82.26)</f>
        <v>82.26</v>
      </c>
      <c r="G236" s="143">
        <f ca="1">IFERROR(__xludf.DUMMYFUNCTION("""COMPUTED_VALUE"""),2578906)</f>
        <v>2578906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IFERROR(__xludf.DUMMYFUNCTION("""COMPUTED_VALUE"""),82.3)</f>
        <v>82.3</v>
      </c>
      <c r="D237" s="141">
        <f ca="1">IFERROR(__xludf.DUMMYFUNCTION("""COMPUTED_VALUE"""),82.33)</f>
        <v>82.33</v>
      </c>
      <c r="E237" s="141">
        <f ca="1">IFERROR(__xludf.DUMMYFUNCTION("""COMPUTED_VALUE"""),82.28)</f>
        <v>82.28</v>
      </c>
      <c r="F237" s="141">
        <f ca="1">IFERROR(__xludf.DUMMYFUNCTION("""COMPUTED_VALUE"""),82.3)</f>
        <v>82.3</v>
      </c>
      <c r="G237" s="143">
        <f ca="1">IFERROR(__xludf.DUMMYFUNCTION("""COMPUTED_VALUE"""),2521445)</f>
        <v>2521445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IFERROR(__xludf.DUMMYFUNCTION("""COMPUTED_VALUE"""),81.98)</f>
        <v>81.98</v>
      </c>
      <c r="D238" s="141">
        <f ca="1">IFERROR(__xludf.DUMMYFUNCTION("""COMPUTED_VALUE"""),82.02)</f>
        <v>82.02</v>
      </c>
      <c r="E238" s="141">
        <f ca="1">IFERROR(__xludf.DUMMYFUNCTION("""COMPUTED_VALUE"""),81.94)</f>
        <v>81.94</v>
      </c>
      <c r="F238" s="141">
        <f ca="1">IFERROR(__xludf.DUMMYFUNCTION("""COMPUTED_VALUE"""),82.01)</f>
        <v>82.01</v>
      </c>
      <c r="G238" s="143">
        <f ca="1">IFERROR(__xludf.DUMMYFUNCTION("""COMPUTED_VALUE"""),2975918)</f>
        <v>2975918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IFERROR(__xludf.DUMMYFUNCTION("""COMPUTED_VALUE"""),82.04)</f>
        <v>82.04</v>
      </c>
      <c r="D239" s="141">
        <f ca="1">IFERROR(__xludf.DUMMYFUNCTION("""COMPUTED_VALUE"""),82.04)</f>
        <v>82.04</v>
      </c>
      <c r="E239" s="141">
        <f ca="1">IFERROR(__xludf.DUMMYFUNCTION("""COMPUTED_VALUE"""),82)</f>
        <v>82</v>
      </c>
      <c r="F239" s="141">
        <f ca="1">IFERROR(__xludf.DUMMYFUNCTION("""COMPUTED_VALUE"""),82.01)</f>
        <v>82.01</v>
      </c>
      <c r="G239" s="143">
        <f ca="1">IFERROR(__xludf.DUMMYFUNCTION("""COMPUTED_VALUE"""),1890906)</f>
        <v>1890906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IFERROR(__xludf.DUMMYFUNCTION("""COMPUTED_VALUE"""),81.96)</f>
        <v>81.96</v>
      </c>
      <c r="D240" s="141">
        <f ca="1">IFERROR(__xludf.DUMMYFUNCTION("""COMPUTED_VALUE"""),81.99)</f>
        <v>81.99</v>
      </c>
      <c r="E240" s="141">
        <f ca="1">IFERROR(__xludf.DUMMYFUNCTION("""COMPUTED_VALUE"""),81.95)</f>
        <v>81.95</v>
      </c>
      <c r="F240" s="141">
        <f ca="1">IFERROR(__xludf.DUMMYFUNCTION("""COMPUTED_VALUE"""),81.97)</f>
        <v>81.97</v>
      </c>
      <c r="G240" s="143">
        <f ca="1">IFERROR(__xludf.DUMMYFUNCTION("""COMPUTED_VALUE"""),3261733)</f>
        <v>3261733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IFERROR(__xludf.DUMMYFUNCTION("""COMPUTED_VALUE"""),82.05)</f>
        <v>82.05</v>
      </c>
      <c r="D241" s="141">
        <f ca="1">IFERROR(__xludf.DUMMYFUNCTION("""COMPUTED_VALUE"""),82.06)</f>
        <v>82.06</v>
      </c>
      <c r="E241" s="141">
        <f ca="1">IFERROR(__xludf.DUMMYFUNCTION("""COMPUTED_VALUE"""),82.02)</f>
        <v>82.02</v>
      </c>
      <c r="F241" s="141">
        <f ca="1">IFERROR(__xludf.DUMMYFUNCTION("""COMPUTED_VALUE"""),82.03)</f>
        <v>82.03</v>
      </c>
      <c r="G241" s="143">
        <f ca="1">IFERROR(__xludf.DUMMYFUNCTION("""COMPUTED_VALUE"""),3010561)</f>
        <v>3010561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IFERROR(__xludf.DUMMYFUNCTION("""COMPUTED_VALUE"""),81.92)</f>
        <v>81.92</v>
      </c>
      <c r="D242" s="141">
        <f ca="1">IFERROR(__xludf.DUMMYFUNCTION("""COMPUTED_VALUE"""),81.93)</f>
        <v>81.93</v>
      </c>
      <c r="E242" s="141">
        <f ca="1">IFERROR(__xludf.DUMMYFUNCTION("""COMPUTED_VALUE"""),81.86)</f>
        <v>81.86</v>
      </c>
      <c r="F242" s="141">
        <f ca="1">IFERROR(__xludf.DUMMYFUNCTION("""COMPUTED_VALUE"""),81.86)</f>
        <v>81.86</v>
      </c>
      <c r="G242" s="143">
        <f ca="1">IFERROR(__xludf.DUMMYFUNCTION("""COMPUTED_VALUE"""),5008143)</f>
        <v>5008143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IFERROR(__xludf.DUMMYFUNCTION("""COMPUTED_VALUE"""),81.93)</f>
        <v>81.93</v>
      </c>
      <c r="D243" s="141">
        <f ca="1">IFERROR(__xludf.DUMMYFUNCTION("""COMPUTED_VALUE"""),81.95)</f>
        <v>81.95</v>
      </c>
      <c r="E243" s="141">
        <f ca="1">IFERROR(__xludf.DUMMYFUNCTION("""COMPUTED_VALUE"""),81.89)</f>
        <v>81.89</v>
      </c>
      <c r="F243" s="141">
        <f ca="1">IFERROR(__xludf.DUMMYFUNCTION("""COMPUTED_VALUE"""),81.9)</f>
        <v>81.900000000000006</v>
      </c>
      <c r="G243" s="143">
        <f ca="1">IFERROR(__xludf.DUMMYFUNCTION("""COMPUTED_VALUE"""),5010199)</f>
        <v>5010199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IFERROR(__xludf.DUMMYFUNCTION("""COMPUTED_VALUE"""),81.94)</f>
        <v>81.94</v>
      </c>
      <c r="D244" s="141">
        <f ca="1">IFERROR(__xludf.DUMMYFUNCTION("""COMPUTED_VALUE"""),81.98)</f>
        <v>81.98</v>
      </c>
      <c r="E244" s="141">
        <f ca="1">IFERROR(__xludf.DUMMYFUNCTION("""COMPUTED_VALUE"""),81.92)</f>
        <v>81.92</v>
      </c>
      <c r="F244" s="141">
        <f ca="1">IFERROR(__xludf.DUMMYFUNCTION("""COMPUTED_VALUE"""),81.94)</f>
        <v>81.94</v>
      </c>
      <c r="G244" s="143">
        <f ca="1">IFERROR(__xludf.DUMMYFUNCTION("""COMPUTED_VALUE"""),3242450)</f>
        <v>3242450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IFERROR(__xludf.DUMMYFUNCTION("""COMPUTED_VALUE"""),81.97)</f>
        <v>81.97</v>
      </c>
      <c r="D245" s="141">
        <f ca="1">IFERROR(__xludf.DUMMYFUNCTION("""COMPUTED_VALUE"""),81.99)</f>
        <v>81.99</v>
      </c>
      <c r="E245" s="141">
        <f ca="1">IFERROR(__xludf.DUMMYFUNCTION("""COMPUTED_VALUE"""),81.94)</f>
        <v>81.94</v>
      </c>
      <c r="F245" s="141">
        <f ca="1">IFERROR(__xludf.DUMMYFUNCTION("""COMPUTED_VALUE"""),81.94)</f>
        <v>81.94</v>
      </c>
      <c r="G245" s="143">
        <f ca="1">IFERROR(__xludf.DUMMYFUNCTION("""COMPUTED_VALUE"""),3446574)</f>
        <v>3446574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IFERROR(__xludf.DUMMYFUNCTION("""COMPUTED_VALUE"""),81.96)</f>
        <v>81.96</v>
      </c>
      <c r="D246" s="141">
        <f ca="1">IFERROR(__xludf.DUMMYFUNCTION("""COMPUTED_VALUE"""),82.1)</f>
        <v>82.1</v>
      </c>
      <c r="E246" s="141">
        <f ca="1">IFERROR(__xludf.DUMMYFUNCTION("""COMPUTED_VALUE"""),81.94)</f>
        <v>81.94</v>
      </c>
      <c r="F246" s="141">
        <f ca="1">IFERROR(__xludf.DUMMYFUNCTION("""COMPUTED_VALUE"""),82.09)</f>
        <v>82.09</v>
      </c>
      <c r="G246" s="143">
        <f ca="1">IFERROR(__xludf.DUMMYFUNCTION("""COMPUTED_VALUE"""),4527992)</f>
        <v>4527992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IFERROR(__xludf.DUMMYFUNCTION("""COMPUTED_VALUE"""),82.07)</f>
        <v>82.07</v>
      </c>
      <c r="D247" s="141">
        <f ca="1">IFERROR(__xludf.DUMMYFUNCTION("""COMPUTED_VALUE"""),82.09)</f>
        <v>82.09</v>
      </c>
      <c r="E247" s="141">
        <f ca="1">IFERROR(__xludf.DUMMYFUNCTION("""COMPUTED_VALUE"""),82.03)</f>
        <v>82.03</v>
      </c>
      <c r="F247" s="141">
        <f ca="1">IFERROR(__xludf.DUMMYFUNCTION("""COMPUTED_VALUE"""),82.07)</f>
        <v>82.07</v>
      </c>
      <c r="G247" s="143">
        <f ca="1">IFERROR(__xludf.DUMMYFUNCTION("""COMPUTED_VALUE"""),3967428)</f>
        <v>3967428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IFERROR(__xludf.DUMMYFUNCTION("""COMPUTED_VALUE"""),82.14)</f>
        <v>82.14</v>
      </c>
      <c r="D248" s="141">
        <f ca="1">IFERROR(__xludf.DUMMYFUNCTION("""COMPUTED_VALUE"""),82.15)</f>
        <v>82.15</v>
      </c>
      <c r="E248" s="141">
        <f ca="1">IFERROR(__xludf.DUMMYFUNCTION("""COMPUTED_VALUE"""),82.09)</f>
        <v>82.09</v>
      </c>
      <c r="F248" s="141">
        <f ca="1">IFERROR(__xludf.DUMMYFUNCTION("""COMPUTED_VALUE"""),82.11)</f>
        <v>82.11</v>
      </c>
      <c r="G248" s="143">
        <f ca="1">IFERROR(__xludf.DUMMYFUNCTION("""COMPUTED_VALUE"""),3625923)</f>
        <v>3625923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IFERROR(__xludf.DUMMYFUNCTION("""COMPUTED_VALUE"""),82.1)</f>
        <v>82.1</v>
      </c>
      <c r="D249" s="141">
        <f ca="1">IFERROR(__xludf.DUMMYFUNCTION("""COMPUTED_VALUE"""),82.15)</f>
        <v>82.15</v>
      </c>
      <c r="E249" s="141">
        <f ca="1">IFERROR(__xludf.DUMMYFUNCTION("""COMPUTED_VALUE"""),82.09)</f>
        <v>82.09</v>
      </c>
      <c r="F249" s="141">
        <f ca="1">IFERROR(__xludf.DUMMYFUNCTION("""COMPUTED_VALUE"""),82.13)</f>
        <v>82.13</v>
      </c>
      <c r="G249" s="143">
        <f ca="1">IFERROR(__xludf.DUMMYFUNCTION("""COMPUTED_VALUE"""),1766847)</f>
        <v>1766847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IFERROR(__xludf.DUMMYFUNCTION("""COMPUTED_VALUE"""),82.11)</f>
        <v>82.11</v>
      </c>
      <c r="D250" s="141">
        <f ca="1">IFERROR(__xludf.DUMMYFUNCTION("""COMPUTED_VALUE"""),82.13)</f>
        <v>82.13</v>
      </c>
      <c r="E250" s="141">
        <f ca="1">IFERROR(__xludf.DUMMYFUNCTION("""COMPUTED_VALUE"""),81.88)</f>
        <v>81.88</v>
      </c>
      <c r="F250" s="141">
        <f ca="1">IFERROR(__xludf.DUMMYFUNCTION("""COMPUTED_VALUE"""),81.88)</f>
        <v>81.88</v>
      </c>
      <c r="G250" s="143">
        <f ca="1">IFERROR(__xludf.DUMMYFUNCTION("""COMPUTED_VALUE"""),5236627)</f>
        <v>5236627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IFERROR(__xludf.DUMMYFUNCTION("""COMPUTED_VALUE"""),81.99)</f>
        <v>81.99</v>
      </c>
      <c r="D251" s="141">
        <f ca="1">IFERROR(__xludf.DUMMYFUNCTION("""COMPUTED_VALUE"""),82.04)</f>
        <v>82.04</v>
      </c>
      <c r="E251" s="141">
        <f ca="1">IFERROR(__xludf.DUMMYFUNCTION("""COMPUTED_VALUE"""),81.98)</f>
        <v>81.98</v>
      </c>
      <c r="F251" s="141">
        <f ca="1">IFERROR(__xludf.DUMMYFUNCTION("""COMPUTED_VALUE"""),81.99)</f>
        <v>81.99</v>
      </c>
      <c r="G251" s="143">
        <f ca="1">IFERROR(__xludf.DUMMYFUNCTION("""COMPUTED_VALUE"""),3044203)</f>
        <v>3044203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IFERROR(__xludf.DUMMYFUNCTION("""COMPUTED_VALUE"""),81.93)</f>
        <v>81.93</v>
      </c>
      <c r="D252" s="141">
        <f ca="1">IFERROR(__xludf.DUMMYFUNCTION("""COMPUTED_VALUE"""),81.95)</f>
        <v>81.95</v>
      </c>
      <c r="E252" s="141">
        <f ca="1">IFERROR(__xludf.DUMMYFUNCTION("""COMPUTED_VALUE"""),81.91)</f>
        <v>81.91</v>
      </c>
      <c r="F252" s="141">
        <f ca="1">IFERROR(__xludf.DUMMYFUNCTION("""COMPUTED_VALUE"""),81.91)</f>
        <v>81.91</v>
      </c>
      <c r="G252" s="143">
        <f ca="1">IFERROR(__xludf.DUMMYFUNCTION("""COMPUTED_VALUE"""),2502150)</f>
        <v>2502150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IFERROR(__xludf.DUMMYFUNCTION("""COMPUTED_VALUE"""),81.97)</f>
        <v>81.97</v>
      </c>
      <c r="D253" s="141">
        <f ca="1">IFERROR(__xludf.DUMMYFUNCTION("""COMPUTED_VALUE"""),82)</f>
        <v>82</v>
      </c>
      <c r="E253" s="141">
        <f ca="1">IFERROR(__xludf.DUMMYFUNCTION("""COMPUTED_VALUE"""),81.97)</f>
        <v>81.97</v>
      </c>
      <c r="F253" s="141">
        <f ca="1">IFERROR(__xludf.DUMMYFUNCTION("""COMPUTED_VALUE"""),81.97)</f>
        <v>81.97</v>
      </c>
      <c r="G253" s="143">
        <f ca="1">IFERROR(__xludf.DUMMYFUNCTION("""COMPUTED_VALUE"""),6606786)</f>
        <v>6606786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IFERROR(__xludf.DUMMYFUNCTION("""COMPUTED_VALUE"""),82.05)</f>
        <v>82.05</v>
      </c>
      <c r="D254" s="141">
        <f ca="1">IFERROR(__xludf.DUMMYFUNCTION("""COMPUTED_VALUE"""),82.09)</f>
        <v>82.09</v>
      </c>
      <c r="E254" s="141">
        <f ca="1">IFERROR(__xludf.DUMMYFUNCTION("""COMPUTED_VALUE"""),82.04)</f>
        <v>82.04</v>
      </c>
      <c r="F254" s="141">
        <f ca="1">IFERROR(__xludf.DUMMYFUNCTION("""COMPUTED_VALUE"""),82.07)</f>
        <v>82.07</v>
      </c>
      <c r="G254" s="143">
        <f ca="1">IFERROR(__xludf.DUMMYFUNCTION("""COMPUTED_VALUE"""),3660405)</f>
        <v>3660405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IFERROR(__xludf.DUMMYFUNCTION("""COMPUTED_VALUE"""),82.11)</f>
        <v>82.11</v>
      </c>
      <c r="D255" s="141">
        <f ca="1">IFERROR(__xludf.DUMMYFUNCTION("""COMPUTED_VALUE"""),82.15)</f>
        <v>82.15</v>
      </c>
      <c r="E255" s="141">
        <f ca="1">IFERROR(__xludf.DUMMYFUNCTION("""COMPUTED_VALUE"""),82.09)</f>
        <v>82.09</v>
      </c>
      <c r="F255" s="141">
        <f ca="1">IFERROR(__xludf.DUMMYFUNCTION("""COMPUTED_VALUE"""),82.09)</f>
        <v>82.09</v>
      </c>
      <c r="G255" s="143">
        <f ca="1">IFERROR(__xludf.DUMMYFUNCTION("""COMPUTED_VALUE"""),4011970)</f>
        <v>4011970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IFERROR(__xludf.DUMMYFUNCTION("""COMPUTED_VALUE"""),82.16)</f>
        <v>82.16</v>
      </c>
      <c r="D256" s="141">
        <f ca="1">IFERROR(__xludf.DUMMYFUNCTION("""COMPUTED_VALUE"""),82.21)</f>
        <v>82.21</v>
      </c>
      <c r="E256" s="141">
        <f ca="1">IFERROR(__xludf.DUMMYFUNCTION("""COMPUTED_VALUE"""),82.16)</f>
        <v>82.16</v>
      </c>
      <c r="F256" s="141">
        <f ca="1">IFERROR(__xludf.DUMMYFUNCTION("""COMPUTED_VALUE"""),82.19)</f>
        <v>82.19</v>
      </c>
      <c r="G256" s="143">
        <f ca="1">IFERROR(__xludf.DUMMYFUNCTION("""COMPUTED_VALUE"""),2949017)</f>
        <v>2949017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IFERROR(__xludf.DUMMYFUNCTION("""COMPUTED_VALUE"""),82.17)</f>
        <v>82.17</v>
      </c>
      <c r="D257" s="141">
        <f ca="1">IFERROR(__xludf.DUMMYFUNCTION("""COMPUTED_VALUE"""),82.17)</f>
        <v>82.17</v>
      </c>
      <c r="E257" s="141">
        <f ca="1">IFERROR(__xludf.DUMMYFUNCTION("""COMPUTED_VALUE"""),82.14)</f>
        <v>82.14</v>
      </c>
      <c r="F257" s="141">
        <f ca="1">IFERROR(__xludf.DUMMYFUNCTION("""COMPUTED_VALUE"""),82.17)</f>
        <v>82.17</v>
      </c>
      <c r="G257" s="143">
        <f ca="1">IFERROR(__xludf.DUMMYFUNCTION("""COMPUTED_VALUE"""),2234617)</f>
        <v>2234617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IFERROR(__xludf.DUMMYFUNCTION("""COMPUTED_VALUE"""),82.15)</f>
        <v>82.15</v>
      </c>
      <c r="D258" s="141">
        <f ca="1">IFERROR(__xludf.DUMMYFUNCTION("""COMPUTED_VALUE"""),82.15)</f>
        <v>82.15</v>
      </c>
      <c r="E258" s="141">
        <f ca="1">IFERROR(__xludf.DUMMYFUNCTION("""COMPUTED_VALUE"""),82.1)</f>
        <v>82.1</v>
      </c>
      <c r="F258" s="141">
        <f ca="1">IFERROR(__xludf.DUMMYFUNCTION("""COMPUTED_VALUE"""),82.11)</f>
        <v>82.11</v>
      </c>
      <c r="G258" s="143">
        <f ca="1">IFERROR(__xludf.DUMMYFUNCTION("""COMPUTED_VALUE"""),3358822)</f>
        <v>3358822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IFERROR(__xludf.DUMMYFUNCTION("""COMPUTED_VALUE"""),81.86)</f>
        <v>81.86</v>
      </c>
      <c r="D259" s="141">
        <f ca="1">IFERROR(__xludf.DUMMYFUNCTION("""COMPUTED_VALUE"""),81.9)</f>
        <v>81.900000000000006</v>
      </c>
      <c r="E259" s="141">
        <f ca="1">IFERROR(__xludf.DUMMYFUNCTION("""COMPUTED_VALUE"""),81.83)</f>
        <v>81.83</v>
      </c>
      <c r="F259" s="141">
        <f ca="1">IFERROR(__xludf.DUMMYFUNCTION("""COMPUTED_VALUE"""),81.84)</f>
        <v>81.84</v>
      </c>
      <c r="G259" s="143">
        <f ca="1">IFERROR(__xludf.DUMMYFUNCTION("""COMPUTED_VALUE"""),3433657)</f>
        <v>3433657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IFERROR(__xludf.DUMMYFUNCTION("""COMPUTED_VALUE"""),81.93)</f>
        <v>81.93</v>
      </c>
      <c r="D260" s="141">
        <f ca="1">IFERROR(__xludf.DUMMYFUNCTION("""COMPUTED_VALUE"""),81.97)</f>
        <v>81.97</v>
      </c>
      <c r="E260" s="141">
        <f ca="1">IFERROR(__xludf.DUMMYFUNCTION("""COMPUTED_VALUE"""),81.92)</f>
        <v>81.92</v>
      </c>
      <c r="F260" s="141">
        <f ca="1">IFERROR(__xludf.DUMMYFUNCTION("""COMPUTED_VALUE"""),81.94)</f>
        <v>81.94</v>
      </c>
      <c r="G260" s="143">
        <f ca="1">IFERROR(__xludf.DUMMYFUNCTION("""COMPUTED_VALUE"""),3507924)</f>
        <v>3507924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IFERROR(__xludf.DUMMYFUNCTION("""COMPUTED_VALUE"""),81.96)</f>
        <v>81.96</v>
      </c>
      <c r="D261" s="141">
        <f ca="1">IFERROR(__xludf.DUMMYFUNCTION("""COMPUTED_VALUE"""),81.98)</f>
        <v>81.98</v>
      </c>
      <c r="E261" s="141">
        <f ca="1">IFERROR(__xludf.DUMMYFUNCTION("""COMPUTED_VALUE"""),81.94)</f>
        <v>81.94</v>
      </c>
      <c r="F261" s="141">
        <f ca="1">IFERROR(__xludf.DUMMYFUNCTION("""COMPUTED_VALUE"""),81.98)</f>
        <v>81.98</v>
      </c>
      <c r="G261" s="143">
        <f ca="1">IFERROR(__xludf.DUMMYFUNCTION("""COMPUTED_VALUE"""),5755716)</f>
        <v>5755716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IFERROR(__xludf.DUMMYFUNCTION("""COMPUTED_VALUE"""),81.94)</f>
        <v>81.94</v>
      </c>
      <c r="D262" s="141">
        <f ca="1">IFERROR(__xludf.DUMMYFUNCTION("""COMPUTED_VALUE"""),81.95)</f>
        <v>81.95</v>
      </c>
      <c r="E262" s="141">
        <f ca="1">IFERROR(__xludf.DUMMYFUNCTION("""COMPUTED_VALUE"""),81.86)</f>
        <v>81.86</v>
      </c>
      <c r="F262" s="141">
        <f ca="1">IFERROR(__xludf.DUMMYFUNCTION("""COMPUTED_VALUE"""),81.86)</f>
        <v>81.86</v>
      </c>
      <c r="G262" s="143">
        <f ca="1">IFERROR(__xludf.DUMMYFUNCTION("""COMPUTED_VALUE"""),3199616)</f>
        <v>3199616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IFERROR(__xludf.DUMMYFUNCTION("""COMPUTED_VALUE"""),81.86)</f>
        <v>81.86</v>
      </c>
      <c r="D263" s="141">
        <f ca="1">IFERROR(__xludf.DUMMYFUNCTION("""COMPUTED_VALUE"""),81.86)</f>
        <v>81.86</v>
      </c>
      <c r="E263" s="141">
        <f ca="1">IFERROR(__xludf.DUMMYFUNCTION("""COMPUTED_VALUE"""),81.81)</f>
        <v>81.81</v>
      </c>
      <c r="F263" s="141">
        <f ca="1">IFERROR(__xludf.DUMMYFUNCTION("""COMPUTED_VALUE"""),81.84)</f>
        <v>81.84</v>
      </c>
      <c r="G263" s="143">
        <f ca="1">IFERROR(__xludf.DUMMYFUNCTION("""COMPUTED_VALUE"""),2179344)</f>
        <v>2179344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IFERROR(__xludf.DUMMYFUNCTION("""COMPUTED_VALUE"""),81.89)</f>
        <v>81.89</v>
      </c>
      <c r="D264" s="141">
        <f ca="1">IFERROR(__xludf.DUMMYFUNCTION("""COMPUTED_VALUE"""),81.94)</f>
        <v>81.94</v>
      </c>
      <c r="E264" s="141">
        <f ca="1">IFERROR(__xludf.DUMMYFUNCTION("""COMPUTED_VALUE"""),81.88)</f>
        <v>81.88</v>
      </c>
      <c r="F264" s="141">
        <f ca="1">IFERROR(__xludf.DUMMYFUNCTION("""COMPUTED_VALUE"""),81.91)</f>
        <v>81.91</v>
      </c>
      <c r="G264" s="143">
        <f ca="1">IFERROR(__xludf.DUMMYFUNCTION("""COMPUTED_VALUE"""),2645963)</f>
        <v>2645963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IFERROR(__xludf.DUMMYFUNCTION("""COMPUTED_VALUE"""),81.91)</f>
        <v>81.91</v>
      </c>
      <c r="D265" s="141">
        <f ca="1">IFERROR(__xludf.DUMMYFUNCTION("""COMPUTED_VALUE"""),81.93)</f>
        <v>81.93</v>
      </c>
      <c r="E265" s="141">
        <f ca="1">IFERROR(__xludf.DUMMYFUNCTION("""COMPUTED_VALUE"""),81.88)</f>
        <v>81.88</v>
      </c>
      <c r="F265" s="141">
        <f ca="1">IFERROR(__xludf.DUMMYFUNCTION("""COMPUTED_VALUE"""),81.88)</f>
        <v>81.88</v>
      </c>
      <c r="G265" s="143">
        <f ca="1">IFERROR(__xludf.DUMMYFUNCTION("""COMPUTED_VALUE"""),2173895)</f>
        <v>2173895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IFERROR(__xludf.DUMMYFUNCTION("""COMPUTED_VALUE"""),81.87)</f>
        <v>81.87</v>
      </c>
      <c r="D266" s="141">
        <f ca="1">IFERROR(__xludf.DUMMYFUNCTION("""COMPUTED_VALUE"""),81.87)</f>
        <v>81.87</v>
      </c>
      <c r="E266" s="141">
        <f ca="1">IFERROR(__xludf.DUMMYFUNCTION("""COMPUTED_VALUE"""),81.79)</f>
        <v>81.790000000000006</v>
      </c>
      <c r="F266" s="141">
        <f ca="1">IFERROR(__xludf.DUMMYFUNCTION("""COMPUTED_VALUE"""),81.79)</f>
        <v>81.790000000000006</v>
      </c>
      <c r="G266" s="143">
        <f ca="1">IFERROR(__xludf.DUMMYFUNCTION("""COMPUTED_VALUE"""),2808923)</f>
        <v>2808923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IFERROR(__xludf.DUMMYFUNCTION("""COMPUTED_VALUE"""),81.93)</f>
        <v>81.93</v>
      </c>
      <c r="D267" s="141">
        <f ca="1">IFERROR(__xludf.DUMMYFUNCTION("""COMPUTED_VALUE"""),81.97)</f>
        <v>81.97</v>
      </c>
      <c r="E267" s="141">
        <f ca="1">IFERROR(__xludf.DUMMYFUNCTION("""COMPUTED_VALUE"""),81.89)</f>
        <v>81.89</v>
      </c>
      <c r="F267" s="141">
        <f ca="1">IFERROR(__xludf.DUMMYFUNCTION("""COMPUTED_VALUE"""),81.93)</f>
        <v>81.93</v>
      </c>
      <c r="G267" s="143">
        <f ca="1">IFERROR(__xludf.DUMMYFUNCTION("""COMPUTED_VALUE"""),2767063)</f>
        <v>2767063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IFERROR(__xludf.DUMMYFUNCTION("""COMPUTED_VALUE"""),81.97)</f>
        <v>81.97</v>
      </c>
      <c r="D268" s="141">
        <f ca="1">IFERROR(__xludf.DUMMYFUNCTION("""COMPUTED_VALUE"""),82.03)</f>
        <v>82.03</v>
      </c>
      <c r="E268" s="141">
        <f ca="1">IFERROR(__xludf.DUMMYFUNCTION("""COMPUTED_VALUE"""),81.97)</f>
        <v>81.97</v>
      </c>
      <c r="F268" s="141">
        <f ca="1">IFERROR(__xludf.DUMMYFUNCTION("""COMPUTED_VALUE"""),82)</f>
        <v>82</v>
      </c>
      <c r="G268" s="143">
        <f ca="1">IFERROR(__xludf.DUMMYFUNCTION("""COMPUTED_VALUE"""),5041126)</f>
        <v>5041126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IFERROR(__xludf.DUMMYFUNCTION("""COMPUTED_VALUE"""),81.98)</f>
        <v>81.98</v>
      </c>
      <c r="D269" s="141">
        <f ca="1">IFERROR(__xludf.DUMMYFUNCTION("""COMPUTED_VALUE"""),82)</f>
        <v>82</v>
      </c>
      <c r="E269" s="141">
        <f ca="1">IFERROR(__xludf.DUMMYFUNCTION("""COMPUTED_VALUE"""),81.96)</f>
        <v>81.96</v>
      </c>
      <c r="F269" s="141">
        <f ca="1">IFERROR(__xludf.DUMMYFUNCTION("""COMPUTED_VALUE"""),82)</f>
        <v>82</v>
      </c>
      <c r="G269" s="143">
        <f ca="1">IFERROR(__xludf.DUMMYFUNCTION("""COMPUTED_VALUE"""),2730721)</f>
        <v>2730721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IFERROR(__xludf.DUMMYFUNCTION("""COMPUTED_VALUE"""),82.06)</f>
        <v>82.06</v>
      </c>
      <c r="D270" s="141">
        <f ca="1">IFERROR(__xludf.DUMMYFUNCTION("""COMPUTED_VALUE"""),82.09)</f>
        <v>82.09</v>
      </c>
      <c r="E270" s="141">
        <f ca="1">IFERROR(__xludf.DUMMYFUNCTION("""COMPUTED_VALUE"""),81.99)</f>
        <v>81.99</v>
      </c>
      <c r="F270" s="141">
        <f ca="1">IFERROR(__xludf.DUMMYFUNCTION("""COMPUTED_VALUE"""),81.99)</f>
        <v>81.99</v>
      </c>
      <c r="G270" s="143">
        <f ca="1">IFERROR(__xludf.DUMMYFUNCTION("""COMPUTED_VALUE"""),4355356)</f>
        <v>4355356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IFERROR(__xludf.DUMMYFUNCTION("""COMPUTED_VALUE"""),81.99)</f>
        <v>81.99</v>
      </c>
      <c r="D271" s="141">
        <f ca="1">IFERROR(__xludf.DUMMYFUNCTION("""COMPUTED_VALUE"""),81.99)</f>
        <v>81.99</v>
      </c>
      <c r="E271" s="141">
        <f ca="1">IFERROR(__xludf.DUMMYFUNCTION("""COMPUTED_VALUE"""),81.92)</f>
        <v>81.92</v>
      </c>
      <c r="F271" s="141">
        <f ca="1">IFERROR(__xludf.DUMMYFUNCTION("""COMPUTED_VALUE"""),81.96)</f>
        <v>81.96</v>
      </c>
      <c r="G271" s="143">
        <f ca="1">IFERROR(__xludf.DUMMYFUNCTION("""COMPUTED_VALUE"""),2909640)</f>
        <v>2909640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IFERROR(__xludf.DUMMYFUNCTION("""COMPUTED_VALUE"""),81.93)</f>
        <v>81.93</v>
      </c>
      <c r="D272" s="141">
        <f ca="1">IFERROR(__xludf.DUMMYFUNCTION("""COMPUTED_VALUE"""),81.93)</f>
        <v>81.93</v>
      </c>
      <c r="E272" s="141">
        <f ca="1">IFERROR(__xludf.DUMMYFUNCTION("""COMPUTED_VALUE"""),81.88)</f>
        <v>81.88</v>
      </c>
      <c r="F272" s="141">
        <f ca="1">IFERROR(__xludf.DUMMYFUNCTION("""COMPUTED_VALUE"""),81.89)</f>
        <v>81.89</v>
      </c>
      <c r="G272" s="143">
        <f ca="1">IFERROR(__xludf.DUMMYFUNCTION("""COMPUTED_VALUE"""),1845259)</f>
        <v>1845259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IFERROR(__xludf.DUMMYFUNCTION("""COMPUTED_VALUE"""),81.89)</f>
        <v>81.89</v>
      </c>
      <c r="D273" s="141">
        <f ca="1">IFERROR(__xludf.DUMMYFUNCTION("""COMPUTED_VALUE"""),81.89)</f>
        <v>81.89</v>
      </c>
      <c r="E273" s="141">
        <f ca="1">IFERROR(__xludf.DUMMYFUNCTION("""COMPUTED_VALUE"""),81.83)</f>
        <v>81.83</v>
      </c>
      <c r="F273" s="141">
        <f ca="1">IFERROR(__xludf.DUMMYFUNCTION("""COMPUTED_VALUE"""),81.83)</f>
        <v>81.83</v>
      </c>
      <c r="G273" s="143">
        <f ca="1">IFERROR(__xludf.DUMMYFUNCTION("""COMPUTED_VALUE"""),3168440)</f>
        <v>3168440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IFERROR(__xludf.DUMMYFUNCTION("""COMPUTED_VALUE"""),81.78)</f>
        <v>81.78</v>
      </c>
      <c r="D274" s="141">
        <f ca="1">IFERROR(__xludf.DUMMYFUNCTION("""COMPUTED_VALUE"""),81.79)</f>
        <v>81.790000000000006</v>
      </c>
      <c r="E274" s="141">
        <f ca="1">IFERROR(__xludf.DUMMYFUNCTION("""COMPUTED_VALUE"""),81.76)</f>
        <v>81.760000000000005</v>
      </c>
      <c r="F274" s="141">
        <f ca="1">IFERROR(__xludf.DUMMYFUNCTION("""COMPUTED_VALUE"""),81.77)</f>
        <v>81.77</v>
      </c>
      <c r="G274" s="143">
        <f ca="1">IFERROR(__xludf.DUMMYFUNCTION("""COMPUTED_VALUE"""),3129390)</f>
        <v>3129390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IFERROR(__xludf.DUMMYFUNCTION("""COMPUTED_VALUE"""),81.82)</f>
        <v>81.819999999999993</v>
      </c>
      <c r="D275" s="141">
        <f ca="1">IFERROR(__xludf.DUMMYFUNCTION("""COMPUTED_VALUE"""),81.87)</f>
        <v>81.87</v>
      </c>
      <c r="E275" s="141">
        <f ca="1">IFERROR(__xludf.DUMMYFUNCTION("""COMPUTED_VALUE"""),81.81)</f>
        <v>81.81</v>
      </c>
      <c r="F275" s="141">
        <f ca="1">IFERROR(__xludf.DUMMYFUNCTION("""COMPUTED_VALUE"""),81.85)</f>
        <v>81.849999999999994</v>
      </c>
      <c r="G275" s="143">
        <f ca="1">IFERROR(__xludf.DUMMYFUNCTION("""COMPUTED_VALUE"""),2982797)</f>
        <v>2982797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IFERROR(__xludf.DUMMYFUNCTION("""COMPUTED_VALUE"""),81.86)</f>
        <v>81.86</v>
      </c>
      <c r="D276" s="141">
        <f ca="1">IFERROR(__xludf.DUMMYFUNCTION("""COMPUTED_VALUE"""),81.89)</f>
        <v>81.89</v>
      </c>
      <c r="E276" s="141">
        <f ca="1">IFERROR(__xludf.DUMMYFUNCTION("""COMPUTED_VALUE"""),81.85)</f>
        <v>81.849999999999994</v>
      </c>
      <c r="F276" s="141">
        <f ca="1">IFERROR(__xludf.DUMMYFUNCTION("""COMPUTED_VALUE"""),81.87)</f>
        <v>81.87</v>
      </c>
      <c r="G276" s="143">
        <f ca="1">IFERROR(__xludf.DUMMYFUNCTION("""COMPUTED_VALUE"""),3071597)</f>
        <v>3071597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IFERROR(__xludf.DUMMYFUNCTION("""COMPUTED_VALUE"""),81.91)</f>
        <v>81.91</v>
      </c>
      <c r="D277" s="141">
        <f ca="1">IFERROR(__xludf.DUMMYFUNCTION("""COMPUTED_VALUE"""),81.97)</f>
        <v>81.97</v>
      </c>
      <c r="E277" s="141">
        <f ca="1">IFERROR(__xludf.DUMMYFUNCTION("""COMPUTED_VALUE"""),81.9)</f>
        <v>81.900000000000006</v>
      </c>
      <c r="F277" s="141">
        <f ca="1">IFERROR(__xludf.DUMMYFUNCTION("""COMPUTED_VALUE"""),81.94)</f>
        <v>81.94</v>
      </c>
      <c r="G277" s="143">
        <f ca="1">IFERROR(__xludf.DUMMYFUNCTION("""COMPUTED_VALUE"""),2955598)</f>
        <v>2955598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IFERROR(__xludf.DUMMYFUNCTION("""COMPUTED_VALUE"""),81.9)</f>
        <v>81.900000000000006</v>
      </c>
      <c r="D278" s="141">
        <f ca="1">IFERROR(__xludf.DUMMYFUNCTION("""COMPUTED_VALUE"""),82.03)</f>
        <v>82.03</v>
      </c>
      <c r="E278" s="141">
        <f ca="1">IFERROR(__xludf.DUMMYFUNCTION("""COMPUTED_VALUE"""),81.86)</f>
        <v>81.86</v>
      </c>
      <c r="F278" s="141">
        <f ca="1">IFERROR(__xludf.DUMMYFUNCTION("""COMPUTED_VALUE"""),81.99)</f>
        <v>81.99</v>
      </c>
      <c r="G278" s="143">
        <f ca="1">IFERROR(__xludf.DUMMYFUNCTION("""COMPUTED_VALUE"""),4688406)</f>
        <v>4688406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F28:F1000">
    <cfRule type="expression" dxfId="21" priority="1">
      <formula>AND(F28=MAX(F$28:F$1000),F28&gt;0)</formula>
    </cfRule>
    <cfRule type="expression" dxfId="20" priority="2">
      <formula>AND(F28=MIN(F$28:F$1000),F28&gt;0)</formula>
    </cfRule>
  </conditionalFormatting>
  <conditionalFormatting sqref="F29:F1000">
    <cfRule type="expression" dxfId="19" priority="3">
      <formula>F29&gt;F27</formula>
    </cfRule>
    <cfRule type="expression" dxfId="18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600-000000000000}">
      <formula1>"1 Month,3 Months,6 Months,12 Months,36 Months"</formula1>
    </dataValidation>
  </dataValidations>
  <hyperlinks>
    <hyperlink ref="G2" r:id="rId1" xr:uid="{00000000-0004-0000-1600-000000000000}"/>
  </hyperlinks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109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IFERROR(__xludf.DUMMYFUNCTION("GOOGLEFINANCE(B18,""name"")"),"iShares 20+ Year Treasury Bond ETF")</f>
        <v>iShares 20+ Year Treasury Bond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IFERROR(__xludf.DUMMYFUNCTION("GOOGLEFINANCE(B18,""price"")"),82.85)</f>
        <v>82.85</v>
      </c>
      <c r="C10" s="322"/>
      <c r="D10" s="100">
        <f ca="1">IFERROR(__xludf.DUMMYFUNCTION("IFERROR(GOOGLEFINANCE(B18,""change""),""-"")"),-1.39)</f>
        <v>-1.39</v>
      </c>
      <c r="E10" s="103">
        <f ca="1">IFERROR(__xludf.DUMMYFUNCTION("IFERROR(GOOGLEFINANCE(B18,""changepct"")/100,""-"")"),-0.0165)</f>
        <v>-1.6500000000000001E-2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IFERROR(__xludf.DUMMYFUNCTION("IFERROR(GOOGLEFINANCE(B18,""marketcap""),""-"")"),10339679809)</f>
        <v>10339679809</v>
      </c>
      <c r="C14" s="115" t="str">
        <f ca="1">IFERROR(__xludf.DUMMYFUNCTION("IFERROR(GOOGLEFINANCE(B18,""pe""),""-"")"),"-")</f>
        <v>-</v>
      </c>
      <c r="D14" s="115">
        <f ca="1">IFERROR(__xludf.DUMMYFUNCTION("IFERROR(GOOGLEFINANCE(B18,""beta""),""-"")"),0.51)</f>
        <v>0.51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TLT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IFERROR(__xludf.DUMMYFUNCTION("""COMPUTED_VALUE"""),86.77)</f>
        <v>86.77</v>
      </c>
      <c r="D28" s="141">
        <f ca="1">IFERROR(__xludf.DUMMYFUNCTION("""COMPUTED_VALUE"""),86.96)</f>
        <v>86.96</v>
      </c>
      <c r="E28" s="141">
        <f ca="1">IFERROR(__xludf.DUMMYFUNCTION("""COMPUTED_VALUE"""),86.56)</f>
        <v>86.56</v>
      </c>
      <c r="F28" s="141">
        <f ca="1">IFERROR(__xludf.DUMMYFUNCTION("""COMPUTED_VALUE"""),86.87)</f>
        <v>86.87</v>
      </c>
      <c r="G28" s="143">
        <f ca="1">IFERROR(__xludf.DUMMYFUNCTION("""COMPUTED_VALUE"""),40670866)</f>
        <v>40670866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IFERROR(__xludf.DUMMYFUNCTION("""COMPUTED_VALUE"""),87.13)</f>
        <v>87.13</v>
      </c>
      <c r="D29" s="141">
        <f ca="1">IFERROR(__xludf.DUMMYFUNCTION("""COMPUTED_VALUE"""),87.41)</f>
        <v>87.41</v>
      </c>
      <c r="E29" s="141">
        <f ca="1">IFERROR(__xludf.DUMMYFUNCTION("""COMPUTED_VALUE"""),86.84)</f>
        <v>86.84</v>
      </c>
      <c r="F29" s="141">
        <f ca="1">IFERROR(__xludf.DUMMYFUNCTION("""COMPUTED_VALUE"""),86.92)</f>
        <v>86.92</v>
      </c>
      <c r="G29" s="143">
        <f ca="1">IFERROR(__xludf.DUMMYFUNCTION("""COMPUTED_VALUE"""),49814080)</f>
        <v>49814080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IFERROR(__xludf.DUMMYFUNCTION("""COMPUTED_VALUE"""),87.56)</f>
        <v>87.56</v>
      </c>
      <c r="D30" s="141">
        <f ca="1">IFERROR(__xludf.DUMMYFUNCTION("""COMPUTED_VALUE"""),87.93)</f>
        <v>87.93</v>
      </c>
      <c r="E30" s="141">
        <f ca="1">IFERROR(__xludf.DUMMYFUNCTION("""COMPUTED_VALUE"""),87.52)</f>
        <v>87.52</v>
      </c>
      <c r="F30" s="141">
        <f ca="1">IFERROR(__xludf.DUMMYFUNCTION("""COMPUTED_VALUE"""),87.82)</f>
        <v>87.82</v>
      </c>
      <c r="G30" s="143">
        <f ca="1">IFERROR(__xludf.DUMMYFUNCTION("""COMPUTED_VALUE"""),63434525)</f>
        <v>63434525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IFERROR(__xludf.DUMMYFUNCTION("""COMPUTED_VALUE"""),87.96)</f>
        <v>87.96</v>
      </c>
      <c r="D31" s="141">
        <f ca="1">IFERROR(__xludf.DUMMYFUNCTION("""COMPUTED_VALUE"""),88.15)</f>
        <v>88.15</v>
      </c>
      <c r="E31" s="141">
        <f ca="1">IFERROR(__xludf.DUMMYFUNCTION("""COMPUTED_VALUE"""),87.65)</f>
        <v>87.65</v>
      </c>
      <c r="F31" s="141">
        <f ca="1">IFERROR(__xludf.DUMMYFUNCTION("""COMPUTED_VALUE"""),88.06)</f>
        <v>88.06</v>
      </c>
      <c r="G31" s="143">
        <f ca="1">IFERROR(__xludf.DUMMYFUNCTION("""COMPUTED_VALUE"""),36425167)</f>
        <v>36425167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IFERROR(__xludf.DUMMYFUNCTION("""COMPUTED_VALUE"""),87.85)</f>
        <v>87.85</v>
      </c>
      <c r="D32" s="141">
        <f ca="1">IFERROR(__xludf.DUMMYFUNCTION("""COMPUTED_VALUE"""),88.45)</f>
        <v>88.45</v>
      </c>
      <c r="E32" s="141">
        <f ca="1">IFERROR(__xludf.DUMMYFUNCTION("""COMPUTED_VALUE"""),87.78)</f>
        <v>87.78</v>
      </c>
      <c r="F32" s="141">
        <f ca="1">IFERROR(__xludf.DUMMYFUNCTION("""COMPUTED_VALUE"""),88.33)</f>
        <v>88.33</v>
      </c>
      <c r="G32" s="143">
        <f ca="1">IFERROR(__xludf.DUMMYFUNCTION("""COMPUTED_VALUE"""),28586109)</f>
        <v>28586109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IFERROR(__xludf.DUMMYFUNCTION("""COMPUTED_VALUE"""),87.84)</f>
        <v>87.84</v>
      </c>
      <c r="D33" s="141">
        <f ca="1">IFERROR(__xludf.DUMMYFUNCTION("""COMPUTED_VALUE"""),88.05)</f>
        <v>88.05</v>
      </c>
      <c r="E33" s="141">
        <f ca="1">IFERROR(__xludf.DUMMYFUNCTION("""COMPUTED_VALUE"""),86.92)</f>
        <v>86.92</v>
      </c>
      <c r="F33" s="141">
        <f ca="1">IFERROR(__xludf.DUMMYFUNCTION("""COMPUTED_VALUE"""),87.82)</f>
        <v>87.82</v>
      </c>
      <c r="G33" s="143">
        <f ca="1">IFERROR(__xludf.DUMMYFUNCTION("""COMPUTED_VALUE"""),42589347)</f>
        <v>42589347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IFERROR(__xludf.DUMMYFUNCTION("""COMPUTED_VALUE"""),87.92)</f>
        <v>87.92</v>
      </c>
      <c r="D34" s="141">
        <f ca="1">IFERROR(__xludf.DUMMYFUNCTION("""COMPUTED_VALUE"""),88.25)</f>
        <v>88.25</v>
      </c>
      <c r="E34" s="141">
        <f ca="1">IFERROR(__xludf.DUMMYFUNCTION("""COMPUTED_VALUE"""),87.59)</f>
        <v>87.59</v>
      </c>
      <c r="F34" s="141">
        <f ca="1">IFERROR(__xludf.DUMMYFUNCTION("""COMPUTED_VALUE"""),87.67)</f>
        <v>87.67</v>
      </c>
      <c r="G34" s="143">
        <f ca="1">IFERROR(__xludf.DUMMYFUNCTION("""COMPUTED_VALUE"""),29213145)</f>
        <v>29213145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IFERROR(__xludf.DUMMYFUNCTION("""COMPUTED_VALUE"""),87.36)</f>
        <v>87.36</v>
      </c>
      <c r="D35" s="141">
        <f ca="1">IFERROR(__xludf.DUMMYFUNCTION("""COMPUTED_VALUE"""),87.39)</f>
        <v>87.39</v>
      </c>
      <c r="E35" s="141">
        <f ca="1">IFERROR(__xludf.DUMMYFUNCTION("""COMPUTED_VALUE"""),87.15)</f>
        <v>87.15</v>
      </c>
      <c r="F35" s="141">
        <f ca="1">IFERROR(__xludf.DUMMYFUNCTION("""COMPUTED_VALUE"""),87.29)</f>
        <v>87.29</v>
      </c>
      <c r="G35" s="143">
        <f ca="1">IFERROR(__xludf.DUMMYFUNCTION("""COMPUTED_VALUE"""),21596334)</f>
        <v>21596334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IFERROR(__xludf.DUMMYFUNCTION("""COMPUTED_VALUE"""),87.54)</f>
        <v>87.54</v>
      </c>
      <c r="D36" s="141">
        <f ca="1">IFERROR(__xludf.DUMMYFUNCTION("""COMPUTED_VALUE"""),87.67)</f>
        <v>87.67</v>
      </c>
      <c r="E36" s="141">
        <f ca="1">IFERROR(__xludf.DUMMYFUNCTION("""COMPUTED_VALUE"""),87.28)</f>
        <v>87.28</v>
      </c>
      <c r="F36" s="141">
        <f ca="1">IFERROR(__xludf.DUMMYFUNCTION("""COMPUTED_VALUE"""),87.39)</f>
        <v>87.39</v>
      </c>
      <c r="G36" s="143">
        <f ca="1">IFERROR(__xludf.DUMMYFUNCTION("""COMPUTED_VALUE"""),20100909)</f>
        <v>20100909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IFERROR(__xludf.DUMMYFUNCTION("""COMPUTED_VALUE"""),86.9)</f>
        <v>86.9</v>
      </c>
      <c r="D37" s="141">
        <f ca="1">IFERROR(__xludf.DUMMYFUNCTION("""COMPUTED_VALUE"""),86.97)</f>
        <v>86.97</v>
      </c>
      <c r="E37" s="141">
        <f ca="1">IFERROR(__xludf.DUMMYFUNCTION("""COMPUTED_VALUE"""),86.55)</f>
        <v>86.55</v>
      </c>
      <c r="F37" s="141">
        <f ca="1">IFERROR(__xludf.DUMMYFUNCTION("""COMPUTED_VALUE"""),86.95)</f>
        <v>86.95</v>
      </c>
      <c r="G37" s="143">
        <f ca="1">IFERROR(__xludf.DUMMYFUNCTION("""COMPUTED_VALUE"""),41087211)</f>
        <v>41087211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IFERROR(__xludf.DUMMYFUNCTION("""COMPUTED_VALUE"""),87.44)</f>
        <v>87.44</v>
      </c>
      <c r="D38" s="141">
        <f ca="1">IFERROR(__xludf.DUMMYFUNCTION("""COMPUTED_VALUE"""),87.81)</f>
        <v>87.81</v>
      </c>
      <c r="E38" s="141">
        <f ca="1">IFERROR(__xludf.DUMMYFUNCTION("""COMPUTED_VALUE"""),87.43)</f>
        <v>87.43</v>
      </c>
      <c r="F38" s="141">
        <f ca="1">IFERROR(__xludf.DUMMYFUNCTION("""COMPUTED_VALUE"""),87.67)</f>
        <v>87.67</v>
      </c>
      <c r="G38" s="143">
        <f ca="1">IFERROR(__xludf.DUMMYFUNCTION("""COMPUTED_VALUE"""),30817493)</f>
        <v>30817493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IFERROR(__xludf.DUMMYFUNCTION("""COMPUTED_VALUE"""),87.51)</f>
        <v>87.51</v>
      </c>
      <c r="D39" s="141">
        <f ca="1">IFERROR(__xludf.DUMMYFUNCTION("""COMPUTED_VALUE"""),87.51)</f>
        <v>87.51</v>
      </c>
      <c r="E39" s="141">
        <f ca="1">IFERROR(__xludf.DUMMYFUNCTION("""COMPUTED_VALUE"""),86.89)</f>
        <v>86.89</v>
      </c>
      <c r="F39" s="141">
        <f ca="1">IFERROR(__xludf.DUMMYFUNCTION("""COMPUTED_VALUE"""),87.02)</f>
        <v>87.02</v>
      </c>
      <c r="G39" s="143">
        <f ca="1">IFERROR(__xludf.DUMMYFUNCTION("""COMPUTED_VALUE"""),33397435)</f>
        <v>33397435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IFERROR(__xludf.DUMMYFUNCTION("""COMPUTED_VALUE"""),86.66)</f>
        <v>86.66</v>
      </c>
      <c r="D40" s="141">
        <f ca="1">IFERROR(__xludf.DUMMYFUNCTION("""COMPUTED_VALUE"""),86.78)</f>
        <v>86.78</v>
      </c>
      <c r="E40" s="141">
        <f ca="1">IFERROR(__xludf.DUMMYFUNCTION("""COMPUTED_VALUE"""),86.25)</f>
        <v>86.25</v>
      </c>
      <c r="F40" s="141">
        <f ca="1">IFERROR(__xludf.DUMMYFUNCTION("""COMPUTED_VALUE"""),86.4)</f>
        <v>86.4</v>
      </c>
      <c r="G40" s="143">
        <f ca="1">IFERROR(__xludf.DUMMYFUNCTION("""COMPUTED_VALUE"""),36343551)</f>
        <v>36343551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IFERROR(__xludf.DUMMYFUNCTION("""COMPUTED_VALUE"""),86.5)</f>
        <v>86.5</v>
      </c>
      <c r="D41" s="141">
        <f ca="1">IFERROR(__xludf.DUMMYFUNCTION("""COMPUTED_VALUE"""),86.54)</f>
        <v>86.54</v>
      </c>
      <c r="E41" s="141">
        <f ca="1">IFERROR(__xludf.DUMMYFUNCTION("""COMPUTED_VALUE"""),85.99)</f>
        <v>85.99</v>
      </c>
      <c r="F41" s="141">
        <f ca="1">IFERROR(__xludf.DUMMYFUNCTION("""COMPUTED_VALUE"""),86.15)</f>
        <v>86.15</v>
      </c>
      <c r="G41" s="143">
        <f ca="1">IFERROR(__xludf.DUMMYFUNCTION("""COMPUTED_VALUE"""),26777514)</f>
        <v>26777514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IFERROR(__xludf.DUMMYFUNCTION("""COMPUTED_VALUE"""),86.45)</f>
        <v>86.45</v>
      </c>
      <c r="D42" s="141">
        <f ca="1">IFERROR(__xludf.DUMMYFUNCTION("""COMPUTED_VALUE"""),86.75)</f>
        <v>86.75</v>
      </c>
      <c r="E42" s="141">
        <f ca="1">IFERROR(__xludf.DUMMYFUNCTION("""COMPUTED_VALUE"""),86.45)</f>
        <v>86.45</v>
      </c>
      <c r="F42" s="141">
        <f ca="1">IFERROR(__xludf.DUMMYFUNCTION("""COMPUTED_VALUE"""),86.65)</f>
        <v>86.65</v>
      </c>
      <c r="G42" s="143">
        <f ca="1">IFERROR(__xludf.DUMMYFUNCTION("""COMPUTED_VALUE"""),28780625)</f>
        <v>28780625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IFERROR(__xludf.DUMMYFUNCTION("""COMPUTED_VALUE"""),86.59)</f>
        <v>86.59</v>
      </c>
      <c r="D43" s="141">
        <f ca="1">IFERROR(__xludf.DUMMYFUNCTION("""COMPUTED_VALUE"""),86.97)</f>
        <v>86.97</v>
      </c>
      <c r="E43" s="141">
        <f ca="1">IFERROR(__xludf.DUMMYFUNCTION("""COMPUTED_VALUE"""),86.56)</f>
        <v>86.56</v>
      </c>
      <c r="F43" s="141">
        <f ca="1">IFERROR(__xludf.DUMMYFUNCTION("""COMPUTED_VALUE"""),86.84)</f>
        <v>86.84</v>
      </c>
      <c r="G43" s="143">
        <f ca="1">IFERROR(__xludf.DUMMYFUNCTION("""COMPUTED_VALUE"""),25912477)</f>
        <v>25912477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IFERROR(__xludf.DUMMYFUNCTION("""COMPUTED_VALUE"""),86.56)</f>
        <v>86.56</v>
      </c>
      <c r="D44" s="141">
        <f ca="1">IFERROR(__xludf.DUMMYFUNCTION("""COMPUTED_VALUE"""),86.68)</f>
        <v>86.68</v>
      </c>
      <c r="E44" s="141">
        <f ca="1">IFERROR(__xludf.DUMMYFUNCTION("""COMPUTED_VALUE"""),86.11)</f>
        <v>86.11</v>
      </c>
      <c r="F44" s="141">
        <f ca="1">IFERROR(__xludf.DUMMYFUNCTION("""COMPUTED_VALUE"""),86.41)</f>
        <v>86.41</v>
      </c>
      <c r="G44" s="143">
        <f ca="1">IFERROR(__xludf.DUMMYFUNCTION("""COMPUTED_VALUE"""),28643888)</f>
        <v>28643888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IFERROR(__xludf.DUMMYFUNCTION("""COMPUTED_VALUE"""),86.83)</f>
        <v>86.83</v>
      </c>
      <c r="D45" s="141">
        <f ca="1">IFERROR(__xludf.DUMMYFUNCTION("""COMPUTED_VALUE"""),87.3)</f>
        <v>87.3</v>
      </c>
      <c r="E45" s="141">
        <f ca="1">IFERROR(__xludf.DUMMYFUNCTION("""COMPUTED_VALUE"""),86.72)</f>
        <v>86.72</v>
      </c>
      <c r="F45" s="141">
        <f ca="1">IFERROR(__xludf.DUMMYFUNCTION("""COMPUTED_VALUE"""),87.05)</f>
        <v>87.05</v>
      </c>
      <c r="G45" s="143">
        <f ca="1">IFERROR(__xludf.DUMMYFUNCTION("""COMPUTED_VALUE"""),49871851)</f>
        <v>49871851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IFERROR(__xludf.DUMMYFUNCTION("""COMPUTED_VALUE"""),86.73)</f>
        <v>86.73</v>
      </c>
      <c r="D46" s="141">
        <f ca="1">IFERROR(__xludf.DUMMYFUNCTION("""COMPUTED_VALUE"""),87.05)</f>
        <v>87.05</v>
      </c>
      <c r="E46" s="141">
        <f ca="1">IFERROR(__xludf.DUMMYFUNCTION("""COMPUTED_VALUE"""),86.65)</f>
        <v>86.65</v>
      </c>
      <c r="F46" s="141">
        <f ca="1">IFERROR(__xludf.DUMMYFUNCTION("""COMPUTED_VALUE"""),86.8)</f>
        <v>86.8</v>
      </c>
      <c r="G46" s="143">
        <f ca="1">IFERROR(__xludf.DUMMYFUNCTION("""COMPUTED_VALUE"""),27011924)</f>
        <v>27011924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IFERROR(__xludf.DUMMYFUNCTION("""COMPUTED_VALUE"""),86.51)</f>
        <v>86.51</v>
      </c>
      <c r="D47" s="141">
        <f ca="1">IFERROR(__xludf.DUMMYFUNCTION("""COMPUTED_VALUE"""),86.79)</f>
        <v>86.79</v>
      </c>
      <c r="E47" s="141">
        <f ca="1">IFERROR(__xludf.DUMMYFUNCTION("""COMPUTED_VALUE"""),86.22)</f>
        <v>86.22</v>
      </c>
      <c r="F47" s="141">
        <f ca="1">IFERROR(__xludf.DUMMYFUNCTION("""COMPUTED_VALUE"""),86.75)</f>
        <v>86.75</v>
      </c>
      <c r="G47" s="143">
        <f ca="1">IFERROR(__xludf.DUMMYFUNCTION("""COMPUTED_VALUE"""),30259346)</f>
        <v>30259346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IFERROR(__xludf.DUMMYFUNCTION("""COMPUTED_VALUE"""),86.11)</f>
        <v>86.11</v>
      </c>
      <c r="D48" s="141">
        <f ca="1">IFERROR(__xludf.DUMMYFUNCTION("""COMPUTED_VALUE"""),86.66)</f>
        <v>86.66</v>
      </c>
      <c r="E48" s="141">
        <f ca="1">IFERROR(__xludf.DUMMYFUNCTION("""COMPUTED_VALUE"""),86)</f>
        <v>86</v>
      </c>
      <c r="F48" s="141">
        <f ca="1">IFERROR(__xludf.DUMMYFUNCTION("""COMPUTED_VALUE"""),86.65)</f>
        <v>86.65</v>
      </c>
      <c r="G48" s="143">
        <f ca="1">IFERROR(__xludf.DUMMYFUNCTION("""COMPUTED_VALUE"""),38142761)</f>
        <v>38142761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IFERROR(__xludf.DUMMYFUNCTION("""COMPUTED_VALUE"""),86.78)</f>
        <v>86.78</v>
      </c>
      <c r="D49" s="141">
        <f ca="1">IFERROR(__xludf.DUMMYFUNCTION("""COMPUTED_VALUE"""),87.26)</f>
        <v>87.26</v>
      </c>
      <c r="E49" s="141">
        <f ca="1">IFERROR(__xludf.DUMMYFUNCTION("""COMPUTED_VALUE"""),86.66)</f>
        <v>86.66</v>
      </c>
      <c r="F49" s="141">
        <f ca="1">IFERROR(__xludf.DUMMYFUNCTION("""COMPUTED_VALUE"""),87.22)</f>
        <v>87.22</v>
      </c>
      <c r="G49" s="143">
        <f ca="1">IFERROR(__xludf.DUMMYFUNCTION("""COMPUTED_VALUE"""),32205937)</f>
        <v>32205937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IFERROR(__xludf.DUMMYFUNCTION("""COMPUTED_VALUE"""),86.76)</f>
        <v>86.76</v>
      </c>
      <c r="D50" s="141">
        <f ca="1">IFERROR(__xludf.DUMMYFUNCTION("""COMPUTED_VALUE"""),86.86)</f>
        <v>86.86</v>
      </c>
      <c r="E50" s="141">
        <f ca="1">IFERROR(__xludf.DUMMYFUNCTION("""COMPUTED_VALUE"""),86.44)</f>
        <v>86.44</v>
      </c>
      <c r="F50" s="141">
        <f ca="1">IFERROR(__xludf.DUMMYFUNCTION("""COMPUTED_VALUE"""),86.6)</f>
        <v>86.6</v>
      </c>
      <c r="G50" s="143">
        <f ca="1">IFERROR(__xludf.DUMMYFUNCTION("""COMPUTED_VALUE"""),41686429)</f>
        <v>41686429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IFERROR(__xludf.DUMMYFUNCTION("""COMPUTED_VALUE"""),85.63)</f>
        <v>85.63</v>
      </c>
      <c r="D51" s="141">
        <f ca="1">IFERROR(__xludf.DUMMYFUNCTION("""COMPUTED_VALUE"""),85.84)</f>
        <v>85.84</v>
      </c>
      <c r="E51" s="141">
        <f ca="1">IFERROR(__xludf.DUMMYFUNCTION("""COMPUTED_VALUE"""),85.48)</f>
        <v>85.48</v>
      </c>
      <c r="F51" s="141">
        <f ca="1">IFERROR(__xludf.DUMMYFUNCTION("""COMPUTED_VALUE"""),85.63)</f>
        <v>85.63</v>
      </c>
      <c r="G51" s="143">
        <f ca="1">IFERROR(__xludf.DUMMYFUNCTION("""COMPUTED_VALUE"""),48760602)</f>
        <v>48760602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IFERROR(__xludf.DUMMYFUNCTION("""COMPUTED_VALUE"""),85.93)</f>
        <v>85.93</v>
      </c>
      <c r="D52" s="141">
        <f ca="1">IFERROR(__xludf.DUMMYFUNCTION("""COMPUTED_VALUE"""),86.81)</f>
        <v>86.81</v>
      </c>
      <c r="E52" s="141">
        <f ca="1">IFERROR(__xludf.DUMMYFUNCTION("""COMPUTED_VALUE"""),85.89)</f>
        <v>85.89</v>
      </c>
      <c r="F52" s="141">
        <f ca="1">IFERROR(__xludf.DUMMYFUNCTION("""COMPUTED_VALUE"""),86.57)</f>
        <v>86.57</v>
      </c>
      <c r="G52" s="143">
        <f ca="1">IFERROR(__xludf.DUMMYFUNCTION("""COMPUTED_VALUE"""),52499540)</f>
        <v>52499540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IFERROR(__xludf.DUMMYFUNCTION("""COMPUTED_VALUE"""),87.02)</f>
        <v>87.02</v>
      </c>
      <c r="D53" s="141">
        <f ca="1">IFERROR(__xludf.DUMMYFUNCTION("""COMPUTED_VALUE"""),87.24)</f>
        <v>87.24</v>
      </c>
      <c r="E53" s="141">
        <f ca="1">IFERROR(__xludf.DUMMYFUNCTION("""COMPUTED_VALUE"""),86.58)</f>
        <v>86.58</v>
      </c>
      <c r="F53" s="141">
        <f ca="1">IFERROR(__xludf.DUMMYFUNCTION("""COMPUTED_VALUE"""),87.23)</f>
        <v>87.23</v>
      </c>
      <c r="G53" s="143">
        <f ca="1">IFERROR(__xludf.DUMMYFUNCTION("""COMPUTED_VALUE"""),40501553)</f>
        <v>40501553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IFERROR(__xludf.DUMMYFUNCTION("""COMPUTED_VALUE"""),88.22)</f>
        <v>88.22</v>
      </c>
      <c r="D54" s="141">
        <f ca="1">IFERROR(__xludf.DUMMYFUNCTION("""COMPUTED_VALUE"""),88.61)</f>
        <v>88.61</v>
      </c>
      <c r="E54" s="141">
        <f ca="1">IFERROR(__xludf.DUMMYFUNCTION("""COMPUTED_VALUE"""),88.14)</f>
        <v>88.14</v>
      </c>
      <c r="F54" s="141">
        <f ca="1">IFERROR(__xludf.DUMMYFUNCTION("""COMPUTED_VALUE"""),88.56)</f>
        <v>88.56</v>
      </c>
      <c r="G54" s="143">
        <f ca="1">IFERROR(__xludf.DUMMYFUNCTION("""COMPUTED_VALUE"""),69667951)</f>
        <v>69667951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IFERROR(__xludf.DUMMYFUNCTION("""COMPUTED_VALUE"""),89.17)</f>
        <v>89.17</v>
      </c>
      <c r="D55" s="141">
        <f ca="1">IFERROR(__xludf.DUMMYFUNCTION("""COMPUTED_VALUE"""),89.76)</f>
        <v>89.76</v>
      </c>
      <c r="E55" s="141">
        <f ca="1">IFERROR(__xludf.DUMMYFUNCTION("""COMPUTED_VALUE"""),89.12)</f>
        <v>89.12</v>
      </c>
      <c r="F55" s="141">
        <f ca="1">IFERROR(__xludf.DUMMYFUNCTION("""COMPUTED_VALUE"""),89.74)</f>
        <v>89.74</v>
      </c>
      <c r="G55" s="143">
        <f ca="1">IFERROR(__xludf.DUMMYFUNCTION("""COMPUTED_VALUE"""),54538678)</f>
        <v>54538678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IFERROR(__xludf.DUMMYFUNCTION("""COMPUTED_VALUE"""),89.4)</f>
        <v>89.4</v>
      </c>
      <c r="D56" s="141">
        <f ca="1">IFERROR(__xludf.DUMMYFUNCTION("""COMPUTED_VALUE"""),89.55)</f>
        <v>89.55</v>
      </c>
      <c r="E56" s="141">
        <f ca="1">IFERROR(__xludf.DUMMYFUNCTION("""COMPUTED_VALUE"""),88.99)</f>
        <v>88.99</v>
      </c>
      <c r="F56" s="141">
        <f ca="1">IFERROR(__xludf.DUMMYFUNCTION("""COMPUTED_VALUE"""),89.23)</f>
        <v>89.23</v>
      </c>
      <c r="G56" s="143">
        <f ca="1">IFERROR(__xludf.DUMMYFUNCTION("""COMPUTED_VALUE"""),37126428)</f>
        <v>37126428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IFERROR(__xludf.DUMMYFUNCTION("""COMPUTED_VALUE"""),89.4)</f>
        <v>89.4</v>
      </c>
      <c r="D57" s="141">
        <f ca="1">IFERROR(__xludf.DUMMYFUNCTION("""COMPUTED_VALUE"""),90.07)</f>
        <v>90.07</v>
      </c>
      <c r="E57" s="141">
        <f ca="1">IFERROR(__xludf.DUMMYFUNCTION("""COMPUTED_VALUE"""),89.19)</f>
        <v>89.19</v>
      </c>
      <c r="F57" s="141">
        <f ca="1">IFERROR(__xludf.DUMMYFUNCTION("""COMPUTED_VALUE"""),89.74)</f>
        <v>89.74</v>
      </c>
      <c r="G57" s="143">
        <f ca="1">IFERROR(__xludf.DUMMYFUNCTION("""COMPUTED_VALUE"""),40713570)</f>
        <v>40713570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IFERROR(__xludf.DUMMYFUNCTION("""COMPUTED_VALUE"""),89.91)</f>
        <v>89.91</v>
      </c>
      <c r="D58" s="141">
        <f ca="1">IFERROR(__xludf.DUMMYFUNCTION("""COMPUTED_VALUE"""),90.48)</f>
        <v>90.48</v>
      </c>
      <c r="E58" s="141">
        <f ca="1">IFERROR(__xludf.DUMMYFUNCTION("""COMPUTED_VALUE"""),89.9)</f>
        <v>89.9</v>
      </c>
      <c r="F58" s="141">
        <f ca="1">IFERROR(__xludf.DUMMYFUNCTION("""COMPUTED_VALUE"""),90.34)</f>
        <v>90.34</v>
      </c>
      <c r="G58" s="143">
        <f ca="1">IFERROR(__xludf.DUMMYFUNCTION("""COMPUTED_VALUE"""),46694392)</f>
        <v>46694392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IFERROR(__xludf.DUMMYFUNCTION("""COMPUTED_VALUE"""),89.83)</f>
        <v>89.83</v>
      </c>
      <c r="D59" s="141">
        <f ca="1">IFERROR(__xludf.DUMMYFUNCTION("""COMPUTED_VALUE"""),89.98)</f>
        <v>89.98</v>
      </c>
      <c r="E59" s="141">
        <f ca="1">IFERROR(__xludf.DUMMYFUNCTION("""COMPUTED_VALUE"""),89.49)</f>
        <v>89.49</v>
      </c>
      <c r="F59" s="141">
        <f ca="1">IFERROR(__xludf.DUMMYFUNCTION("""COMPUTED_VALUE"""),89.95)</f>
        <v>89.95</v>
      </c>
      <c r="G59" s="143">
        <f ca="1">IFERROR(__xludf.DUMMYFUNCTION("""COMPUTED_VALUE"""),32968578)</f>
        <v>32968578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IFERROR(__xludf.DUMMYFUNCTION("""COMPUTED_VALUE"""),90.15)</f>
        <v>90.15</v>
      </c>
      <c r="D60" s="141">
        <f ca="1">IFERROR(__xludf.DUMMYFUNCTION("""COMPUTED_VALUE"""),90.46)</f>
        <v>90.46</v>
      </c>
      <c r="E60" s="141">
        <f ca="1">IFERROR(__xludf.DUMMYFUNCTION("""COMPUTED_VALUE"""),90.07)</f>
        <v>90.07</v>
      </c>
      <c r="F60" s="141">
        <f ca="1">IFERROR(__xludf.DUMMYFUNCTION("""COMPUTED_VALUE"""),90.16)</f>
        <v>90.16</v>
      </c>
      <c r="G60" s="143">
        <f ca="1">IFERROR(__xludf.DUMMYFUNCTION("""COMPUTED_VALUE"""),24820119)</f>
        <v>24820119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IFERROR(__xludf.DUMMYFUNCTION("""COMPUTED_VALUE"""),90.09)</f>
        <v>90.09</v>
      </c>
      <c r="D61" s="141">
        <f ca="1">IFERROR(__xludf.DUMMYFUNCTION("""COMPUTED_VALUE"""),90.5)</f>
        <v>90.5</v>
      </c>
      <c r="E61" s="141">
        <f ca="1">IFERROR(__xludf.DUMMYFUNCTION("""COMPUTED_VALUE"""),90.04)</f>
        <v>90.04</v>
      </c>
      <c r="F61" s="141">
        <f ca="1">IFERROR(__xludf.DUMMYFUNCTION("""COMPUTED_VALUE"""),90.35)</f>
        <v>90.35</v>
      </c>
      <c r="G61" s="143">
        <f ca="1">IFERROR(__xludf.DUMMYFUNCTION("""COMPUTED_VALUE"""),26794226)</f>
        <v>26794226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IFERROR(__xludf.DUMMYFUNCTION("""COMPUTED_VALUE"""),90.71)</f>
        <v>90.71</v>
      </c>
      <c r="D62" s="141">
        <f ca="1">IFERROR(__xludf.DUMMYFUNCTION("""COMPUTED_VALUE"""),91.04)</f>
        <v>91.04</v>
      </c>
      <c r="E62" s="141">
        <f ca="1">IFERROR(__xludf.DUMMYFUNCTION("""COMPUTED_VALUE"""),89.87)</f>
        <v>89.87</v>
      </c>
      <c r="F62" s="141">
        <f ca="1">IFERROR(__xludf.DUMMYFUNCTION("""COMPUTED_VALUE"""),90.12)</f>
        <v>90.12</v>
      </c>
      <c r="G62" s="143">
        <f ca="1">IFERROR(__xludf.DUMMYFUNCTION("""COMPUTED_VALUE"""),49121751)</f>
        <v>49121751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IFERROR(__xludf.DUMMYFUNCTION("""COMPUTED_VALUE"""),89.26)</f>
        <v>89.26</v>
      </c>
      <c r="D63" s="141">
        <f ca="1">IFERROR(__xludf.DUMMYFUNCTION("""COMPUTED_VALUE"""),89.47)</f>
        <v>89.47</v>
      </c>
      <c r="E63" s="141">
        <f ca="1">IFERROR(__xludf.DUMMYFUNCTION("""COMPUTED_VALUE"""),88.9)</f>
        <v>88.9</v>
      </c>
      <c r="F63" s="141">
        <f ca="1">IFERROR(__xludf.DUMMYFUNCTION("""COMPUTED_VALUE"""),89.19)</f>
        <v>89.19</v>
      </c>
      <c r="G63" s="143">
        <f ca="1">IFERROR(__xludf.DUMMYFUNCTION("""COMPUTED_VALUE"""),55717920)</f>
        <v>55717920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IFERROR(__xludf.DUMMYFUNCTION("""COMPUTED_VALUE"""),89.07)</f>
        <v>89.07</v>
      </c>
      <c r="D64" s="141">
        <f ca="1">IFERROR(__xludf.DUMMYFUNCTION("""COMPUTED_VALUE"""),89.23)</f>
        <v>89.23</v>
      </c>
      <c r="E64" s="141">
        <f ca="1">IFERROR(__xludf.DUMMYFUNCTION("""COMPUTED_VALUE"""),88.79)</f>
        <v>88.79</v>
      </c>
      <c r="F64" s="141">
        <f ca="1">IFERROR(__xludf.DUMMYFUNCTION("""COMPUTED_VALUE"""),89.02)</f>
        <v>89.02</v>
      </c>
      <c r="G64" s="143">
        <f ca="1">IFERROR(__xludf.DUMMYFUNCTION("""COMPUTED_VALUE"""),32509221)</f>
        <v>32509221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IFERROR(__xludf.DUMMYFUNCTION("""COMPUTED_VALUE"""),88.82)</f>
        <v>88.82</v>
      </c>
      <c r="D65" s="141">
        <f ca="1">IFERROR(__xludf.DUMMYFUNCTION("""COMPUTED_VALUE"""),88.91)</f>
        <v>88.91</v>
      </c>
      <c r="E65" s="141">
        <f ca="1">IFERROR(__xludf.DUMMYFUNCTION("""COMPUTED_VALUE"""),88.54)</f>
        <v>88.54</v>
      </c>
      <c r="F65" s="141">
        <f ca="1">IFERROR(__xludf.DUMMYFUNCTION("""COMPUTED_VALUE"""),88.7)</f>
        <v>88.7</v>
      </c>
      <c r="G65" s="143">
        <f ca="1">IFERROR(__xludf.DUMMYFUNCTION("""COMPUTED_VALUE"""),24758223)</f>
        <v>24758223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IFERROR(__xludf.DUMMYFUNCTION("""COMPUTED_VALUE"""),88.97)</f>
        <v>88.97</v>
      </c>
      <c r="D66" s="141">
        <f ca="1">IFERROR(__xludf.DUMMYFUNCTION("""COMPUTED_VALUE"""),89.36)</f>
        <v>89.36</v>
      </c>
      <c r="E66" s="141">
        <f ca="1">IFERROR(__xludf.DUMMYFUNCTION("""COMPUTED_VALUE"""),88.75)</f>
        <v>88.75</v>
      </c>
      <c r="F66" s="141">
        <f ca="1">IFERROR(__xludf.DUMMYFUNCTION("""COMPUTED_VALUE"""),89.32)</f>
        <v>89.32</v>
      </c>
      <c r="G66" s="143">
        <f ca="1">IFERROR(__xludf.DUMMYFUNCTION("""COMPUTED_VALUE"""),26689041)</f>
        <v>26689041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IFERROR(__xludf.DUMMYFUNCTION("""COMPUTED_VALUE"""),89.08)</f>
        <v>89.08</v>
      </c>
      <c r="D67" s="141">
        <f ca="1">IFERROR(__xludf.DUMMYFUNCTION("""COMPUTED_VALUE"""),89.16)</f>
        <v>89.16</v>
      </c>
      <c r="E67" s="141">
        <f ca="1">IFERROR(__xludf.DUMMYFUNCTION("""COMPUTED_VALUE"""),88.7)</f>
        <v>88.7</v>
      </c>
      <c r="F67" s="141">
        <f ca="1">IFERROR(__xludf.DUMMYFUNCTION("""COMPUTED_VALUE"""),88.98)</f>
        <v>88.98</v>
      </c>
      <c r="G67" s="143">
        <f ca="1">IFERROR(__xludf.DUMMYFUNCTION("""COMPUTED_VALUE"""),28097977)</f>
        <v>28097977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IFERROR(__xludf.DUMMYFUNCTION("""COMPUTED_VALUE"""),88.85)</f>
        <v>88.85</v>
      </c>
      <c r="D68" s="141">
        <f ca="1">IFERROR(__xludf.DUMMYFUNCTION("""COMPUTED_VALUE"""),89.03)</f>
        <v>89.03</v>
      </c>
      <c r="E68" s="141">
        <f ca="1">IFERROR(__xludf.DUMMYFUNCTION("""COMPUTED_VALUE"""),88.46)</f>
        <v>88.46</v>
      </c>
      <c r="F68" s="141">
        <f ca="1">IFERROR(__xludf.DUMMYFUNCTION("""COMPUTED_VALUE"""),88.98)</f>
        <v>88.98</v>
      </c>
      <c r="G68" s="143">
        <f ca="1">IFERROR(__xludf.DUMMYFUNCTION("""COMPUTED_VALUE"""),29882469)</f>
        <v>29882469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IFERROR(__xludf.DUMMYFUNCTION("""COMPUTED_VALUE"""),88.99)</f>
        <v>88.99</v>
      </c>
      <c r="D69" s="141">
        <f ca="1">IFERROR(__xludf.DUMMYFUNCTION("""COMPUTED_VALUE"""),89.47)</f>
        <v>89.47</v>
      </c>
      <c r="E69" s="141">
        <f ca="1">IFERROR(__xludf.DUMMYFUNCTION("""COMPUTED_VALUE"""),88.69)</f>
        <v>88.69</v>
      </c>
      <c r="F69" s="141">
        <f ca="1">IFERROR(__xludf.DUMMYFUNCTION("""COMPUTED_VALUE"""),88.9)</f>
        <v>88.9</v>
      </c>
      <c r="G69" s="143">
        <f ca="1">IFERROR(__xludf.DUMMYFUNCTION("""COMPUTED_VALUE"""),30955062)</f>
        <v>30955062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IFERROR(__xludf.DUMMYFUNCTION("""COMPUTED_VALUE"""),89.29)</f>
        <v>89.29</v>
      </c>
      <c r="D70" s="141">
        <f ca="1">IFERROR(__xludf.DUMMYFUNCTION("""COMPUTED_VALUE"""),89.74)</f>
        <v>89.74</v>
      </c>
      <c r="E70" s="141">
        <f ca="1">IFERROR(__xludf.DUMMYFUNCTION("""COMPUTED_VALUE"""),89.26)</f>
        <v>89.26</v>
      </c>
      <c r="F70" s="141">
        <f ca="1">IFERROR(__xludf.DUMMYFUNCTION("""COMPUTED_VALUE"""),89.63)</f>
        <v>89.63</v>
      </c>
      <c r="G70" s="143">
        <f ca="1">IFERROR(__xludf.DUMMYFUNCTION("""COMPUTED_VALUE"""),32286167)</f>
        <v>32286167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IFERROR(__xludf.DUMMYFUNCTION("""COMPUTED_VALUE"""),89.66)</f>
        <v>89.66</v>
      </c>
      <c r="D71" s="141">
        <f ca="1">IFERROR(__xludf.DUMMYFUNCTION("""COMPUTED_VALUE"""),90.04)</f>
        <v>90.04</v>
      </c>
      <c r="E71" s="141">
        <f ca="1">IFERROR(__xludf.DUMMYFUNCTION("""COMPUTED_VALUE"""),89.21)</f>
        <v>89.21</v>
      </c>
      <c r="F71" s="141">
        <f ca="1">IFERROR(__xludf.DUMMYFUNCTION("""COMPUTED_VALUE"""),89.37)</f>
        <v>89.37</v>
      </c>
      <c r="G71" s="143">
        <f ca="1">IFERROR(__xludf.DUMMYFUNCTION("""COMPUTED_VALUE"""),38583989)</f>
        <v>38583989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IFERROR(__xludf.DUMMYFUNCTION("""COMPUTED_VALUE"""),89.45)</f>
        <v>89.45</v>
      </c>
      <c r="D72" s="141">
        <f ca="1">IFERROR(__xludf.DUMMYFUNCTION("""COMPUTED_VALUE"""),89.64)</f>
        <v>89.64</v>
      </c>
      <c r="E72" s="141">
        <f ca="1">IFERROR(__xludf.DUMMYFUNCTION("""COMPUTED_VALUE"""),89.09)</f>
        <v>89.09</v>
      </c>
      <c r="F72" s="141">
        <f ca="1">IFERROR(__xludf.DUMMYFUNCTION("""COMPUTED_VALUE"""),89.29)</f>
        <v>89.29</v>
      </c>
      <c r="G72" s="143">
        <f ca="1">IFERROR(__xludf.DUMMYFUNCTION("""COMPUTED_VALUE"""),39408913)</f>
        <v>39408913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IFERROR(__xludf.DUMMYFUNCTION("""COMPUTED_VALUE"""),89.31)</f>
        <v>89.31</v>
      </c>
      <c r="D73" s="141">
        <f ca="1">IFERROR(__xludf.DUMMYFUNCTION("""COMPUTED_VALUE"""),89.69)</f>
        <v>89.69</v>
      </c>
      <c r="E73" s="141">
        <f ca="1">IFERROR(__xludf.DUMMYFUNCTION("""COMPUTED_VALUE"""),89.19)</f>
        <v>89.19</v>
      </c>
      <c r="F73" s="141">
        <f ca="1">IFERROR(__xludf.DUMMYFUNCTION("""COMPUTED_VALUE"""),89.55)</f>
        <v>89.55</v>
      </c>
      <c r="G73" s="143">
        <f ca="1">IFERROR(__xludf.DUMMYFUNCTION("""COMPUTED_VALUE"""),23208338)</f>
        <v>23208338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IFERROR(__xludf.DUMMYFUNCTION("""COMPUTED_VALUE"""),89.63)</f>
        <v>89.63</v>
      </c>
      <c r="D74" s="141">
        <f ca="1">IFERROR(__xludf.DUMMYFUNCTION("""COMPUTED_VALUE"""),89.72)</f>
        <v>89.72</v>
      </c>
      <c r="E74" s="141">
        <f ca="1">IFERROR(__xludf.DUMMYFUNCTION("""COMPUTED_VALUE"""),89.27)</f>
        <v>89.27</v>
      </c>
      <c r="F74" s="141">
        <f ca="1">IFERROR(__xludf.DUMMYFUNCTION("""COMPUTED_VALUE"""),89.38)</f>
        <v>89.38</v>
      </c>
      <c r="G74" s="143">
        <f ca="1">IFERROR(__xludf.DUMMYFUNCTION("""COMPUTED_VALUE"""),25884474)</f>
        <v>25884474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IFERROR(__xludf.DUMMYFUNCTION("""COMPUTED_VALUE"""),88.71)</f>
        <v>88.71</v>
      </c>
      <c r="D75" s="141">
        <f ca="1">IFERROR(__xludf.DUMMYFUNCTION("""COMPUTED_VALUE"""),89.16)</f>
        <v>89.16</v>
      </c>
      <c r="E75" s="141">
        <f ca="1">IFERROR(__xludf.DUMMYFUNCTION("""COMPUTED_VALUE"""),88.65)</f>
        <v>88.65</v>
      </c>
      <c r="F75" s="141">
        <f ca="1">IFERROR(__xludf.DUMMYFUNCTION("""COMPUTED_VALUE"""),88.67)</f>
        <v>88.67</v>
      </c>
      <c r="G75" s="143">
        <f ca="1">IFERROR(__xludf.DUMMYFUNCTION("""COMPUTED_VALUE"""),28370984)</f>
        <v>28370984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IFERROR(__xludf.DUMMYFUNCTION("""COMPUTED_VALUE"""),88.97)</f>
        <v>88.97</v>
      </c>
      <c r="D76" s="141">
        <f ca="1">IFERROR(__xludf.DUMMYFUNCTION("""COMPUTED_VALUE"""),89.38)</f>
        <v>89.38</v>
      </c>
      <c r="E76" s="141">
        <f ca="1">IFERROR(__xludf.DUMMYFUNCTION("""COMPUTED_VALUE"""),88.81)</f>
        <v>88.81</v>
      </c>
      <c r="F76" s="141">
        <f ca="1">IFERROR(__xludf.DUMMYFUNCTION("""COMPUTED_VALUE"""),89.18)</f>
        <v>89.18</v>
      </c>
      <c r="G76" s="143">
        <f ca="1">IFERROR(__xludf.DUMMYFUNCTION("""COMPUTED_VALUE"""),29103348)</f>
        <v>29103348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IFERROR(__xludf.DUMMYFUNCTION("""COMPUTED_VALUE"""),89.6)</f>
        <v>89.6</v>
      </c>
      <c r="D77" s="141">
        <f ca="1">IFERROR(__xludf.DUMMYFUNCTION("""COMPUTED_VALUE"""),89.62)</f>
        <v>89.62</v>
      </c>
      <c r="E77" s="141">
        <f ca="1">IFERROR(__xludf.DUMMYFUNCTION("""COMPUTED_VALUE"""),89.13)</f>
        <v>89.13</v>
      </c>
      <c r="F77" s="141">
        <f ca="1">IFERROR(__xludf.DUMMYFUNCTION("""COMPUTED_VALUE"""),89.25)</f>
        <v>89.25</v>
      </c>
      <c r="G77" s="143">
        <f ca="1">IFERROR(__xludf.DUMMYFUNCTION("""COMPUTED_VALUE"""),22506241)</f>
        <v>22506241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IFERROR(__xludf.DUMMYFUNCTION("""COMPUTED_VALUE"""),89.17)</f>
        <v>89.17</v>
      </c>
      <c r="D78" s="141">
        <f ca="1">IFERROR(__xludf.DUMMYFUNCTION("""COMPUTED_VALUE"""),89.29)</f>
        <v>89.29</v>
      </c>
      <c r="E78" s="141">
        <f ca="1">IFERROR(__xludf.DUMMYFUNCTION("""COMPUTED_VALUE"""),89.01)</f>
        <v>89.01</v>
      </c>
      <c r="F78" s="141">
        <f ca="1">IFERROR(__xludf.DUMMYFUNCTION("""COMPUTED_VALUE"""),89.18)</f>
        <v>89.18</v>
      </c>
      <c r="G78" s="143">
        <f ca="1">IFERROR(__xludf.DUMMYFUNCTION("""COMPUTED_VALUE"""),21578690)</f>
        <v>21578690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IFERROR(__xludf.DUMMYFUNCTION("""COMPUTED_VALUE"""),89.98)</f>
        <v>89.98</v>
      </c>
      <c r="D79" s="141">
        <f ca="1">IFERROR(__xludf.DUMMYFUNCTION("""COMPUTED_VALUE"""),90.72)</f>
        <v>90.72</v>
      </c>
      <c r="E79" s="141">
        <f ca="1">IFERROR(__xludf.DUMMYFUNCTION("""COMPUTED_VALUE"""),89.9)</f>
        <v>89.9</v>
      </c>
      <c r="F79" s="141">
        <f ca="1">IFERROR(__xludf.DUMMYFUNCTION("""COMPUTED_VALUE"""),90.62)</f>
        <v>90.62</v>
      </c>
      <c r="G79" s="143">
        <f ca="1">IFERROR(__xludf.DUMMYFUNCTION("""COMPUTED_VALUE"""),59389374)</f>
        <v>59389374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IFERROR(__xludf.DUMMYFUNCTION("""COMPUTED_VALUE"""),90.28)</f>
        <v>90.28</v>
      </c>
      <c r="D80" s="141">
        <f ca="1">IFERROR(__xludf.DUMMYFUNCTION("""COMPUTED_VALUE"""),90.58)</f>
        <v>90.58</v>
      </c>
      <c r="E80" s="141">
        <f ca="1">IFERROR(__xludf.DUMMYFUNCTION("""COMPUTED_VALUE"""),89.86)</f>
        <v>89.86</v>
      </c>
      <c r="F80" s="141">
        <f ca="1">IFERROR(__xludf.DUMMYFUNCTION("""COMPUTED_VALUE"""),90.57)</f>
        <v>90.57</v>
      </c>
      <c r="G80" s="143">
        <f ca="1">IFERROR(__xludf.DUMMYFUNCTION("""COMPUTED_VALUE"""),28035544)</f>
        <v>28035544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IFERROR(__xludf.DUMMYFUNCTION("""COMPUTED_VALUE"""),90.65)</f>
        <v>90.65</v>
      </c>
      <c r="D81" s="141">
        <f ca="1">IFERROR(__xludf.DUMMYFUNCTION("""COMPUTED_VALUE"""),90.92)</f>
        <v>90.92</v>
      </c>
      <c r="E81" s="141">
        <f ca="1">IFERROR(__xludf.DUMMYFUNCTION("""COMPUTED_VALUE"""),90.43)</f>
        <v>90.43</v>
      </c>
      <c r="F81" s="141">
        <f ca="1">IFERROR(__xludf.DUMMYFUNCTION("""COMPUTED_VALUE"""),90.86)</f>
        <v>90.86</v>
      </c>
      <c r="G81" s="143">
        <f ca="1">IFERROR(__xludf.DUMMYFUNCTION("""COMPUTED_VALUE"""),29800001)</f>
        <v>29800001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IFERROR(__xludf.DUMMYFUNCTION("""COMPUTED_VALUE"""),90.96)</f>
        <v>90.96</v>
      </c>
      <c r="D82" s="141">
        <f ca="1">IFERROR(__xludf.DUMMYFUNCTION("""COMPUTED_VALUE"""),91.3)</f>
        <v>91.3</v>
      </c>
      <c r="E82" s="141">
        <f ca="1">IFERROR(__xludf.DUMMYFUNCTION("""COMPUTED_VALUE"""),90.47)</f>
        <v>90.47</v>
      </c>
      <c r="F82" s="141">
        <f ca="1">IFERROR(__xludf.DUMMYFUNCTION("""COMPUTED_VALUE"""),90.66)</f>
        <v>90.66</v>
      </c>
      <c r="G82" s="143">
        <f ca="1">IFERROR(__xludf.DUMMYFUNCTION("""COMPUTED_VALUE"""),31333909)</f>
        <v>31333909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IFERROR(__xludf.DUMMYFUNCTION("""COMPUTED_VALUE"""),90.52)</f>
        <v>90.52</v>
      </c>
      <c r="D83" s="141">
        <f ca="1">IFERROR(__xludf.DUMMYFUNCTION("""COMPUTED_VALUE"""),91.5)</f>
        <v>91.5</v>
      </c>
      <c r="E83" s="141">
        <f ca="1">IFERROR(__xludf.DUMMYFUNCTION("""COMPUTED_VALUE"""),90.45)</f>
        <v>90.45</v>
      </c>
      <c r="F83" s="141">
        <f ca="1">IFERROR(__xludf.DUMMYFUNCTION("""COMPUTED_VALUE"""),91.34)</f>
        <v>91.34</v>
      </c>
      <c r="G83" s="143">
        <f ca="1">IFERROR(__xludf.DUMMYFUNCTION("""COMPUTED_VALUE"""),39631153)</f>
        <v>39631153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IFERROR(__xludf.DUMMYFUNCTION("""COMPUTED_VALUE"""),91.25)</f>
        <v>91.25</v>
      </c>
      <c r="D84" s="141">
        <f ca="1">IFERROR(__xludf.DUMMYFUNCTION("""COMPUTED_VALUE"""),91.29)</f>
        <v>91.29</v>
      </c>
      <c r="E84" s="141">
        <f ca="1">IFERROR(__xludf.DUMMYFUNCTION("""COMPUTED_VALUE"""),90.9)</f>
        <v>90.9</v>
      </c>
      <c r="F84" s="141">
        <f ca="1">IFERROR(__xludf.DUMMYFUNCTION("""COMPUTED_VALUE"""),91.2)</f>
        <v>91.2</v>
      </c>
      <c r="G84" s="143">
        <f ca="1">IFERROR(__xludf.DUMMYFUNCTION("""COMPUTED_VALUE"""),40240383)</f>
        <v>40240383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IFERROR(__xludf.DUMMYFUNCTION("""COMPUTED_VALUE"""),91.46)</f>
        <v>91.46</v>
      </c>
      <c r="D85" s="141">
        <f ca="1">IFERROR(__xludf.DUMMYFUNCTION("""COMPUTED_VALUE"""),91.56)</f>
        <v>91.56</v>
      </c>
      <c r="E85" s="141">
        <f ca="1">IFERROR(__xludf.DUMMYFUNCTION("""COMPUTED_VALUE"""),91.28)</f>
        <v>91.28</v>
      </c>
      <c r="F85" s="141">
        <f ca="1">IFERROR(__xludf.DUMMYFUNCTION("""COMPUTED_VALUE"""),91.55)</f>
        <v>91.55</v>
      </c>
      <c r="G85" s="143">
        <f ca="1">IFERROR(__xludf.DUMMYFUNCTION("""COMPUTED_VALUE"""),28429283)</f>
        <v>28429283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IFERROR(__xludf.DUMMYFUNCTION("""COMPUTED_VALUE"""),91.99)</f>
        <v>91.99</v>
      </c>
      <c r="D86" s="141">
        <f ca="1">IFERROR(__xludf.DUMMYFUNCTION("""COMPUTED_VALUE"""),92.19)</f>
        <v>92.19</v>
      </c>
      <c r="E86" s="141">
        <f ca="1">IFERROR(__xludf.DUMMYFUNCTION("""COMPUTED_VALUE"""),91.91)</f>
        <v>91.91</v>
      </c>
      <c r="F86" s="141">
        <f ca="1">IFERROR(__xludf.DUMMYFUNCTION("""COMPUTED_VALUE"""),92)</f>
        <v>92</v>
      </c>
      <c r="G86" s="143">
        <f ca="1">IFERROR(__xludf.DUMMYFUNCTION("""COMPUTED_VALUE"""),24514336)</f>
        <v>24514336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IFERROR(__xludf.DUMMYFUNCTION("""COMPUTED_VALUE"""),91.99)</f>
        <v>91.99</v>
      </c>
      <c r="D87" s="141">
        <f ca="1">IFERROR(__xludf.DUMMYFUNCTION("""COMPUTED_VALUE"""),92.18)</f>
        <v>92.18</v>
      </c>
      <c r="E87" s="141">
        <f ca="1">IFERROR(__xludf.DUMMYFUNCTION("""COMPUTED_VALUE"""),91.82)</f>
        <v>91.82</v>
      </c>
      <c r="F87" s="141">
        <f ca="1">IFERROR(__xludf.DUMMYFUNCTION("""COMPUTED_VALUE"""),92.06)</f>
        <v>92.06</v>
      </c>
      <c r="G87" s="143">
        <f ca="1">IFERROR(__xludf.DUMMYFUNCTION("""COMPUTED_VALUE"""),30496152)</f>
        <v>30496152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IFERROR(__xludf.DUMMYFUNCTION("""COMPUTED_VALUE"""),91.61)</f>
        <v>91.61</v>
      </c>
      <c r="D88" s="141">
        <f ca="1">IFERROR(__xludf.DUMMYFUNCTION("""COMPUTED_VALUE"""),91.79)</f>
        <v>91.79</v>
      </c>
      <c r="E88" s="141">
        <f ca="1">IFERROR(__xludf.DUMMYFUNCTION("""COMPUTED_VALUE"""),91.29)</f>
        <v>91.29</v>
      </c>
      <c r="F88" s="141">
        <f ca="1">IFERROR(__xludf.DUMMYFUNCTION("""COMPUTED_VALUE"""),91.43)</f>
        <v>91.43</v>
      </c>
      <c r="G88" s="143">
        <f ca="1">IFERROR(__xludf.DUMMYFUNCTION("""COMPUTED_VALUE"""),28275142)</f>
        <v>28275142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IFERROR(__xludf.DUMMYFUNCTION("""COMPUTED_VALUE"""),91.59)</f>
        <v>91.59</v>
      </c>
      <c r="D89" s="141">
        <f ca="1">IFERROR(__xludf.DUMMYFUNCTION("""COMPUTED_VALUE"""),91.6)</f>
        <v>91.6</v>
      </c>
      <c r="E89" s="141">
        <f ca="1">IFERROR(__xludf.DUMMYFUNCTION("""COMPUTED_VALUE"""),91.16)</f>
        <v>91.16</v>
      </c>
      <c r="F89" s="141">
        <f ca="1">IFERROR(__xludf.DUMMYFUNCTION("""COMPUTED_VALUE"""),91.47)</f>
        <v>91.47</v>
      </c>
      <c r="G89" s="143">
        <f ca="1">IFERROR(__xludf.DUMMYFUNCTION("""COMPUTED_VALUE"""),28265993)</f>
        <v>28265993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IFERROR(__xludf.DUMMYFUNCTION("""COMPUTED_VALUE"""),91.32)</f>
        <v>91.32</v>
      </c>
      <c r="D90" s="141">
        <f ca="1">IFERROR(__xludf.DUMMYFUNCTION("""COMPUTED_VALUE"""),91.79)</f>
        <v>91.79</v>
      </c>
      <c r="E90" s="141">
        <f ca="1">IFERROR(__xludf.DUMMYFUNCTION("""COMPUTED_VALUE"""),91.09)</f>
        <v>91.09</v>
      </c>
      <c r="F90" s="141">
        <f ca="1">IFERROR(__xludf.DUMMYFUNCTION("""COMPUTED_VALUE"""),91.78)</f>
        <v>91.78</v>
      </c>
      <c r="G90" s="143">
        <f ca="1">IFERROR(__xludf.DUMMYFUNCTION("""COMPUTED_VALUE"""),30033574)</f>
        <v>30033574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IFERROR(__xludf.DUMMYFUNCTION("""COMPUTED_VALUE"""),91.85)</f>
        <v>91.85</v>
      </c>
      <c r="D91" s="141">
        <f ca="1">IFERROR(__xludf.DUMMYFUNCTION("""COMPUTED_VALUE"""),92.18)</f>
        <v>92.18</v>
      </c>
      <c r="E91" s="141">
        <f ca="1">IFERROR(__xludf.DUMMYFUNCTION("""COMPUTED_VALUE"""),91.81)</f>
        <v>91.81</v>
      </c>
      <c r="F91" s="141">
        <f ca="1">IFERROR(__xludf.DUMMYFUNCTION("""COMPUTED_VALUE"""),92.02)</f>
        <v>92.02</v>
      </c>
      <c r="G91" s="143">
        <f ca="1">IFERROR(__xludf.DUMMYFUNCTION("""COMPUTED_VALUE"""),23564517)</f>
        <v>23564517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IFERROR(__xludf.DUMMYFUNCTION("""COMPUTED_VALUE"""),91.88)</f>
        <v>91.88</v>
      </c>
      <c r="D92" s="141">
        <f ca="1">IFERROR(__xludf.DUMMYFUNCTION("""COMPUTED_VALUE"""),91.89)</f>
        <v>91.89</v>
      </c>
      <c r="E92" s="141">
        <f ca="1">IFERROR(__xludf.DUMMYFUNCTION("""COMPUTED_VALUE"""),91.02)</f>
        <v>91.02</v>
      </c>
      <c r="F92" s="141">
        <f ca="1">IFERROR(__xludf.DUMMYFUNCTION("""COMPUTED_VALUE"""),91.09)</f>
        <v>91.09</v>
      </c>
      <c r="G92" s="143">
        <f ca="1">IFERROR(__xludf.DUMMYFUNCTION("""COMPUTED_VALUE"""),39551593)</f>
        <v>39551593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IFERROR(__xludf.DUMMYFUNCTION("""COMPUTED_VALUE"""),90.39)</f>
        <v>90.39</v>
      </c>
      <c r="D93" s="141">
        <f ca="1">IFERROR(__xludf.DUMMYFUNCTION("""COMPUTED_VALUE"""),90.97)</f>
        <v>90.97</v>
      </c>
      <c r="E93" s="141">
        <f ca="1">IFERROR(__xludf.DUMMYFUNCTION("""COMPUTED_VALUE"""),90.35)</f>
        <v>90.35</v>
      </c>
      <c r="F93" s="141">
        <f ca="1">IFERROR(__xludf.DUMMYFUNCTION("""COMPUTED_VALUE"""),90.56)</f>
        <v>90.56</v>
      </c>
      <c r="G93" s="143">
        <f ca="1">IFERROR(__xludf.DUMMYFUNCTION("""COMPUTED_VALUE"""),42649215)</f>
        <v>42649215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IFERROR(__xludf.DUMMYFUNCTION("""COMPUTED_VALUE"""),90.56)</f>
        <v>90.56</v>
      </c>
      <c r="D94" s="141">
        <f ca="1">IFERROR(__xludf.DUMMYFUNCTION("""COMPUTED_VALUE"""),90.66)</f>
        <v>90.66</v>
      </c>
      <c r="E94" s="141">
        <f ca="1">IFERROR(__xludf.DUMMYFUNCTION("""COMPUTED_VALUE"""),90.2)</f>
        <v>90.2</v>
      </c>
      <c r="F94" s="141">
        <f ca="1">IFERROR(__xludf.DUMMYFUNCTION("""COMPUTED_VALUE"""),90.29)</f>
        <v>90.29</v>
      </c>
      <c r="G94" s="143">
        <f ca="1">IFERROR(__xludf.DUMMYFUNCTION("""COMPUTED_VALUE"""),38247268)</f>
        <v>38247268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IFERROR(__xludf.DUMMYFUNCTION("""COMPUTED_VALUE"""),89.62)</f>
        <v>89.62</v>
      </c>
      <c r="D95" s="141">
        <f ca="1">IFERROR(__xludf.DUMMYFUNCTION("""COMPUTED_VALUE"""),89.82)</f>
        <v>89.82</v>
      </c>
      <c r="E95" s="141">
        <f ca="1">IFERROR(__xludf.DUMMYFUNCTION("""COMPUTED_VALUE"""),89.42)</f>
        <v>89.42</v>
      </c>
      <c r="F95" s="141">
        <f ca="1">IFERROR(__xludf.DUMMYFUNCTION("""COMPUTED_VALUE"""),89.74)</f>
        <v>89.74</v>
      </c>
      <c r="G95" s="143">
        <f ca="1">IFERROR(__xludf.DUMMYFUNCTION("""COMPUTED_VALUE"""),40752284)</f>
        <v>40752284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IFERROR(__xludf.DUMMYFUNCTION("""COMPUTED_VALUE"""),89.78)</f>
        <v>89.78</v>
      </c>
      <c r="D96" s="141">
        <f ca="1">IFERROR(__xludf.DUMMYFUNCTION("""COMPUTED_VALUE"""),90.06)</f>
        <v>90.06</v>
      </c>
      <c r="E96" s="141">
        <f ca="1">IFERROR(__xludf.DUMMYFUNCTION("""COMPUTED_VALUE"""),89.74)</f>
        <v>89.74</v>
      </c>
      <c r="F96" s="141">
        <f ca="1">IFERROR(__xludf.DUMMYFUNCTION("""COMPUTED_VALUE"""),89.94)</f>
        <v>89.94</v>
      </c>
      <c r="G96" s="143">
        <f ca="1">IFERROR(__xludf.DUMMYFUNCTION("""COMPUTED_VALUE"""),26383782)</f>
        <v>26383782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IFERROR(__xludf.DUMMYFUNCTION("""COMPUTED_VALUE"""),89.51)</f>
        <v>89.51</v>
      </c>
      <c r="D97" s="141">
        <f ca="1">IFERROR(__xludf.DUMMYFUNCTION("""COMPUTED_VALUE"""),89.55)</f>
        <v>89.55</v>
      </c>
      <c r="E97" s="141">
        <f ca="1">IFERROR(__xludf.DUMMYFUNCTION("""COMPUTED_VALUE"""),88.88)</f>
        <v>88.88</v>
      </c>
      <c r="F97" s="141">
        <f ca="1">IFERROR(__xludf.DUMMYFUNCTION("""COMPUTED_VALUE"""),88.96)</f>
        <v>88.96</v>
      </c>
      <c r="G97" s="143">
        <f ca="1">IFERROR(__xludf.DUMMYFUNCTION("""COMPUTED_VALUE"""),44643440)</f>
        <v>44643440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IFERROR(__xludf.DUMMYFUNCTION("""COMPUTED_VALUE"""),89.56)</f>
        <v>89.56</v>
      </c>
      <c r="D98" s="141">
        <f ca="1">IFERROR(__xludf.DUMMYFUNCTION("""COMPUTED_VALUE"""),89.85)</f>
        <v>89.85</v>
      </c>
      <c r="E98" s="141">
        <f ca="1">IFERROR(__xludf.DUMMYFUNCTION("""COMPUTED_VALUE"""),89.53)</f>
        <v>89.53</v>
      </c>
      <c r="F98" s="141">
        <f ca="1">IFERROR(__xludf.DUMMYFUNCTION("""COMPUTED_VALUE"""),89.76)</f>
        <v>89.76</v>
      </c>
      <c r="G98" s="143">
        <f ca="1">IFERROR(__xludf.DUMMYFUNCTION("""COMPUTED_VALUE"""),33027353)</f>
        <v>33027353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IFERROR(__xludf.DUMMYFUNCTION("""COMPUTED_VALUE"""),89.36)</f>
        <v>89.36</v>
      </c>
      <c r="D99" s="141">
        <f ca="1">IFERROR(__xludf.DUMMYFUNCTION("""COMPUTED_VALUE"""),89.87)</f>
        <v>89.87</v>
      </c>
      <c r="E99" s="141">
        <f ca="1">IFERROR(__xludf.DUMMYFUNCTION("""COMPUTED_VALUE"""),89.36)</f>
        <v>89.36</v>
      </c>
      <c r="F99" s="141">
        <f ca="1">IFERROR(__xludf.DUMMYFUNCTION("""COMPUTED_VALUE"""),89.57)</f>
        <v>89.57</v>
      </c>
      <c r="G99" s="143">
        <f ca="1">IFERROR(__xludf.DUMMYFUNCTION("""COMPUTED_VALUE"""),28530051)</f>
        <v>28530051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IFERROR(__xludf.DUMMYFUNCTION("""COMPUTED_VALUE"""),89.49)</f>
        <v>89.49</v>
      </c>
      <c r="D100" s="141">
        <f ca="1">IFERROR(__xludf.DUMMYFUNCTION("""COMPUTED_VALUE"""),89.67)</f>
        <v>89.67</v>
      </c>
      <c r="E100" s="141">
        <f ca="1">IFERROR(__xludf.DUMMYFUNCTION("""COMPUTED_VALUE"""),89.39)</f>
        <v>89.39</v>
      </c>
      <c r="F100" s="141">
        <f ca="1">IFERROR(__xludf.DUMMYFUNCTION("""COMPUTED_VALUE"""),89.55)</f>
        <v>89.55</v>
      </c>
      <c r="G100" s="143">
        <f ca="1">IFERROR(__xludf.DUMMYFUNCTION("""COMPUTED_VALUE"""),24093451)</f>
        <v>24093451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IFERROR(__xludf.DUMMYFUNCTION("""COMPUTED_VALUE"""),89.95)</f>
        <v>89.95</v>
      </c>
      <c r="D101" s="141">
        <f ca="1">IFERROR(__xludf.DUMMYFUNCTION("""COMPUTED_VALUE"""),90.07)</f>
        <v>90.07</v>
      </c>
      <c r="E101" s="141">
        <f ca="1">IFERROR(__xludf.DUMMYFUNCTION("""COMPUTED_VALUE"""),89.78)</f>
        <v>89.78</v>
      </c>
      <c r="F101" s="141">
        <f ca="1">IFERROR(__xludf.DUMMYFUNCTION("""COMPUTED_VALUE"""),89.96)</f>
        <v>89.96</v>
      </c>
      <c r="G101" s="143">
        <f ca="1">IFERROR(__xludf.DUMMYFUNCTION("""COMPUTED_VALUE"""),18942295)</f>
        <v>18942295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IFERROR(__xludf.DUMMYFUNCTION("""COMPUTED_VALUE"""),89.95)</f>
        <v>89.95</v>
      </c>
      <c r="D102" s="141">
        <f ca="1">IFERROR(__xludf.DUMMYFUNCTION("""COMPUTED_VALUE"""),90.32)</f>
        <v>90.32</v>
      </c>
      <c r="E102" s="141">
        <f ca="1">IFERROR(__xludf.DUMMYFUNCTION("""COMPUTED_VALUE"""),89.88)</f>
        <v>89.88</v>
      </c>
      <c r="F102" s="141">
        <f ca="1">IFERROR(__xludf.DUMMYFUNCTION("""COMPUTED_VALUE"""),90.12)</f>
        <v>90.12</v>
      </c>
      <c r="G102" s="143">
        <f ca="1">IFERROR(__xludf.DUMMYFUNCTION("""COMPUTED_VALUE"""),23594938)</f>
        <v>23594938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IFERROR(__xludf.DUMMYFUNCTION("""COMPUTED_VALUE"""),89.8)</f>
        <v>89.8</v>
      </c>
      <c r="D103" s="141">
        <f ca="1">IFERROR(__xludf.DUMMYFUNCTION("""COMPUTED_VALUE"""),89.94)</f>
        <v>89.94</v>
      </c>
      <c r="E103" s="141">
        <f ca="1">IFERROR(__xludf.DUMMYFUNCTION("""COMPUTED_VALUE"""),89.38)</f>
        <v>89.38</v>
      </c>
      <c r="F103" s="141">
        <f ca="1">IFERROR(__xludf.DUMMYFUNCTION("""COMPUTED_VALUE"""),89.38)</f>
        <v>89.38</v>
      </c>
      <c r="G103" s="143">
        <f ca="1">IFERROR(__xludf.DUMMYFUNCTION("""COMPUTED_VALUE"""),33825908)</f>
        <v>33825908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IFERROR(__xludf.DUMMYFUNCTION("""COMPUTED_VALUE"""),89.79)</f>
        <v>89.79</v>
      </c>
      <c r="D104" s="141">
        <f ca="1">IFERROR(__xludf.DUMMYFUNCTION("""COMPUTED_VALUE"""),89.84)</f>
        <v>89.84</v>
      </c>
      <c r="E104" s="141">
        <f ca="1">IFERROR(__xludf.DUMMYFUNCTION("""COMPUTED_VALUE"""),88.87)</f>
        <v>88.87</v>
      </c>
      <c r="F104" s="141">
        <f ca="1">IFERROR(__xludf.DUMMYFUNCTION("""COMPUTED_VALUE"""),88.87)</f>
        <v>88.87</v>
      </c>
      <c r="G104" s="143">
        <f ca="1">IFERROR(__xludf.DUMMYFUNCTION("""COMPUTED_VALUE"""),38550502)</f>
        <v>38550502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IFERROR(__xludf.DUMMYFUNCTION("""COMPUTED_VALUE"""),89.08)</f>
        <v>89.08</v>
      </c>
      <c r="D105" s="141">
        <f ca="1">IFERROR(__xludf.DUMMYFUNCTION("""COMPUTED_VALUE"""),89.3)</f>
        <v>89.3</v>
      </c>
      <c r="E105" s="141">
        <f ca="1">IFERROR(__xludf.DUMMYFUNCTION("""COMPUTED_VALUE"""),88.98)</f>
        <v>88.98</v>
      </c>
      <c r="F105" s="141">
        <f ca="1">IFERROR(__xludf.DUMMYFUNCTION("""COMPUTED_VALUE"""),89.09)</f>
        <v>89.09</v>
      </c>
      <c r="G105" s="143">
        <f ca="1">IFERROR(__xludf.DUMMYFUNCTION("""COMPUTED_VALUE"""),25605782)</f>
        <v>25605782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IFERROR(__xludf.DUMMYFUNCTION("""COMPUTED_VALUE"""),89.35)</f>
        <v>89.35</v>
      </c>
      <c r="D106" s="141">
        <f ca="1">IFERROR(__xludf.DUMMYFUNCTION("""COMPUTED_VALUE"""),89.45)</f>
        <v>89.45</v>
      </c>
      <c r="E106" s="141">
        <f ca="1">IFERROR(__xludf.DUMMYFUNCTION("""COMPUTED_VALUE"""),88.8)</f>
        <v>88.8</v>
      </c>
      <c r="F106" s="141">
        <f ca="1">IFERROR(__xludf.DUMMYFUNCTION("""COMPUTED_VALUE"""),89.06)</f>
        <v>89.06</v>
      </c>
      <c r="G106" s="143">
        <f ca="1">IFERROR(__xludf.DUMMYFUNCTION("""COMPUTED_VALUE"""),31967435)</f>
        <v>31967435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IFERROR(__xludf.DUMMYFUNCTION("""COMPUTED_VALUE"""),89.23)</f>
        <v>89.23</v>
      </c>
      <c r="D107" s="141">
        <f ca="1">IFERROR(__xludf.DUMMYFUNCTION("""COMPUTED_VALUE"""),89.31)</f>
        <v>89.31</v>
      </c>
      <c r="E107" s="141">
        <f ca="1">IFERROR(__xludf.DUMMYFUNCTION("""COMPUTED_VALUE"""),88.85)</f>
        <v>88.85</v>
      </c>
      <c r="F107" s="141">
        <f ca="1">IFERROR(__xludf.DUMMYFUNCTION("""COMPUTED_VALUE"""),88.88)</f>
        <v>88.88</v>
      </c>
      <c r="G107" s="143">
        <f ca="1">IFERROR(__xludf.DUMMYFUNCTION("""COMPUTED_VALUE"""),25782384)</f>
        <v>25782384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IFERROR(__xludf.DUMMYFUNCTION("""COMPUTED_VALUE"""),88.99)</f>
        <v>88.99</v>
      </c>
      <c r="D108" s="141">
        <f ca="1">IFERROR(__xludf.DUMMYFUNCTION("""COMPUTED_VALUE"""),89.42)</f>
        <v>89.42</v>
      </c>
      <c r="E108" s="141">
        <f ca="1">IFERROR(__xludf.DUMMYFUNCTION("""COMPUTED_VALUE"""),88.99)</f>
        <v>88.99</v>
      </c>
      <c r="F108" s="141">
        <f ca="1">IFERROR(__xludf.DUMMYFUNCTION("""COMPUTED_VALUE"""),89.23)</f>
        <v>89.23</v>
      </c>
      <c r="G108" s="143">
        <f ca="1">IFERROR(__xludf.DUMMYFUNCTION("""COMPUTED_VALUE"""),32945001)</f>
        <v>32945001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IFERROR(__xludf.DUMMYFUNCTION("""COMPUTED_VALUE"""),89.65)</f>
        <v>89.65</v>
      </c>
      <c r="D109" s="141">
        <f ca="1">IFERROR(__xludf.DUMMYFUNCTION("""COMPUTED_VALUE"""),89.67)</f>
        <v>89.67</v>
      </c>
      <c r="E109" s="141">
        <f ca="1">IFERROR(__xludf.DUMMYFUNCTION("""COMPUTED_VALUE"""),89.2)</f>
        <v>89.2</v>
      </c>
      <c r="F109" s="141">
        <f ca="1">IFERROR(__xludf.DUMMYFUNCTION("""COMPUTED_VALUE"""),89.5)</f>
        <v>89.5</v>
      </c>
      <c r="G109" s="143">
        <f ca="1">IFERROR(__xludf.DUMMYFUNCTION("""COMPUTED_VALUE"""),41938628)</f>
        <v>41938628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IFERROR(__xludf.DUMMYFUNCTION("""COMPUTED_VALUE"""),89.95)</f>
        <v>89.95</v>
      </c>
      <c r="D110" s="141">
        <f ca="1">IFERROR(__xludf.DUMMYFUNCTION("""COMPUTED_VALUE"""),90.07)</f>
        <v>90.07</v>
      </c>
      <c r="E110" s="141">
        <f ca="1">IFERROR(__xludf.DUMMYFUNCTION("""COMPUTED_VALUE"""),89.78)</f>
        <v>89.78</v>
      </c>
      <c r="F110" s="141">
        <f ca="1">IFERROR(__xludf.DUMMYFUNCTION("""COMPUTED_VALUE"""),90.01)</f>
        <v>90.01</v>
      </c>
      <c r="G110" s="143">
        <f ca="1">IFERROR(__xludf.DUMMYFUNCTION("""COMPUTED_VALUE"""),30865695)</f>
        <v>30865695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IFERROR(__xludf.DUMMYFUNCTION("""COMPUTED_VALUE"""),90.31)</f>
        <v>90.31</v>
      </c>
      <c r="D111" s="141">
        <f ca="1">IFERROR(__xludf.DUMMYFUNCTION("""COMPUTED_VALUE"""),90.59)</f>
        <v>90.59</v>
      </c>
      <c r="E111" s="141">
        <f ca="1">IFERROR(__xludf.DUMMYFUNCTION("""COMPUTED_VALUE"""),90.13)</f>
        <v>90.13</v>
      </c>
      <c r="F111" s="141">
        <f ca="1">IFERROR(__xludf.DUMMYFUNCTION("""COMPUTED_VALUE"""),90.24)</f>
        <v>90.24</v>
      </c>
      <c r="G111" s="143">
        <f ca="1">IFERROR(__xludf.DUMMYFUNCTION("""COMPUTED_VALUE"""),36503342)</f>
        <v>36503342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IFERROR(__xludf.DUMMYFUNCTION("""COMPUTED_VALUE"""),90.15)</f>
        <v>90.15</v>
      </c>
      <c r="D112" s="141">
        <f ca="1">IFERROR(__xludf.DUMMYFUNCTION("""COMPUTED_VALUE"""),90.64)</f>
        <v>90.64</v>
      </c>
      <c r="E112" s="141">
        <f ca="1">IFERROR(__xludf.DUMMYFUNCTION("""COMPUTED_VALUE"""),89.83)</f>
        <v>89.83</v>
      </c>
      <c r="F112" s="141">
        <f ca="1">IFERROR(__xludf.DUMMYFUNCTION("""COMPUTED_VALUE"""),90.64)</f>
        <v>90.64</v>
      </c>
      <c r="G112" s="143">
        <f ca="1">IFERROR(__xludf.DUMMYFUNCTION("""COMPUTED_VALUE"""),34098962)</f>
        <v>34098962</v>
      </c>
      <c r="H112" s="26"/>
    </row>
    <row r="113" spans="1:8" ht="17.25" customHeight="1" x14ac:dyDescent="0.2">
      <c r="A113" s="26"/>
      <c r="B113" s="139">
        <f ca="1">IFERROR(__xludf.DUMMYFUNCTION("""COMPUTED_VALUE"""),45989.5451388888)</f>
        <v>45989.545138888803</v>
      </c>
      <c r="C113" s="141">
        <f ca="1">IFERROR(__xludf.DUMMYFUNCTION("""COMPUTED_VALUE"""),90.46)</f>
        <v>90.46</v>
      </c>
      <c r="D113" s="141">
        <f ca="1">IFERROR(__xludf.DUMMYFUNCTION("""COMPUTED_VALUE"""),90.53)</f>
        <v>90.53</v>
      </c>
      <c r="E113" s="141">
        <f ca="1">IFERROR(__xludf.DUMMYFUNCTION("""COMPUTED_VALUE"""),89.95)</f>
        <v>89.95</v>
      </c>
      <c r="F113" s="141">
        <f ca="1">IFERROR(__xludf.DUMMYFUNCTION("""COMPUTED_VALUE"""),90.21)</f>
        <v>90.21</v>
      </c>
      <c r="G113" s="143">
        <f ca="1">IFERROR(__xludf.DUMMYFUNCTION("""COMPUTED_VALUE"""),40704287)</f>
        <v>40704287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IFERROR(__xludf.DUMMYFUNCTION("""COMPUTED_VALUE"""),88.85)</f>
        <v>88.85</v>
      </c>
      <c r="D114" s="141">
        <f ca="1">IFERROR(__xludf.DUMMYFUNCTION("""COMPUTED_VALUE"""),88.99)</f>
        <v>88.99</v>
      </c>
      <c r="E114" s="141">
        <f ca="1">IFERROR(__xludf.DUMMYFUNCTION("""COMPUTED_VALUE"""),88.71)</f>
        <v>88.71</v>
      </c>
      <c r="F114" s="141">
        <f ca="1">IFERROR(__xludf.DUMMYFUNCTION("""COMPUTED_VALUE"""),88.77)</f>
        <v>88.77</v>
      </c>
      <c r="G114" s="143">
        <f ca="1">IFERROR(__xludf.DUMMYFUNCTION("""COMPUTED_VALUE"""),47086647)</f>
        <v>47086647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IFERROR(__xludf.DUMMYFUNCTION("""COMPUTED_VALUE"""),88.58)</f>
        <v>88.58</v>
      </c>
      <c r="D115" s="141">
        <f ca="1">IFERROR(__xludf.DUMMYFUNCTION("""COMPUTED_VALUE"""),88.96)</f>
        <v>88.96</v>
      </c>
      <c r="E115" s="141">
        <f ca="1">IFERROR(__xludf.DUMMYFUNCTION("""COMPUTED_VALUE"""),88.46)</f>
        <v>88.46</v>
      </c>
      <c r="F115" s="141">
        <f ca="1">IFERROR(__xludf.DUMMYFUNCTION("""COMPUTED_VALUE"""),88.81)</f>
        <v>88.81</v>
      </c>
      <c r="G115" s="143">
        <f ca="1">IFERROR(__xludf.DUMMYFUNCTION("""COMPUTED_VALUE"""),27605681)</f>
        <v>27605681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IFERROR(__xludf.DUMMYFUNCTION("""COMPUTED_VALUE"""),88.92)</f>
        <v>88.92</v>
      </c>
      <c r="D116" s="141">
        <f ca="1">IFERROR(__xludf.DUMMYFUNCTION("""COMPUTED_VALUE"""),89.16)</f>
        <v>89.16</v>
      </c>
      <c r="E116" s="141">
        <f ca="1">IFERROR(__xludf.DUMMYFUNCTION("""COMPUTED_VALUE"""),88.74)</f>
        <v>88.74</v>
      </c>
      <c r="F116" s="141">
        <f ca="1">IFERROR(__xludf.DUMMYFUNCTION("""COMPUTED_VALUE"""),89.06)</f>
        <v>89.06</v>
      </c>
      <c r="G116" s="143">
        <f ca="1">IFERROR(__xludf.DUMMYFUNCTION("""COMPUTED_VALUE"""),23278580)</f>
        <v>23278580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IFERROR(__xludf.DUMMYFUNCTION("""COMPUTED_VALUE"""),88.91)</f>
        <v>88.91</v>
      </c>
      <c r="D117" s="141">
        <f ca="1">IFERROR(__xludf.DUMMYFUNCTION("""COMPUTED_VALUE"""),88.93)</f>
        <v>88.93</v>
      </c>
      <c r="E117" s="141">
        <f ca="1">IFERROR(__xludf.DUMMYFUNCTION("""COMPUTED_VALUE"""),88.48)</f>
        <v>88.48</v>
      </c>
      <c r="F117" s="141">
        <f ca="1">IFERROR(__xludf.DUMMYFUNCTION("""COMPUTED_VALUE"""),88.58)</f>
        <v>88.58</v>
      </c>
      <c r="G117" s="143">
        <f ca="1">IFERROR(__xludf.DUMMYFUNCTION("""COMPUTED_VALUE"""),25541459)</f>
        <v>25541459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IFERROR(__xludf.DUMMYFUNCTION("""COMPUTED_VALUE"""),88.55)</f>
        <v>88.55</v>
      </c>
      <c r="D118" s="141">
        <f ca="1">IFERROR(__xludf.DUMMYFUNCTION("""COMPUTED_VALUE"""),88.55)</f>
        <v>88.55</v>
      </c>
      <c r="E118" s="141">
        <f ca="1">IFERROR(__xludf.DUMMYFUNCTION("""COMPUTED_VALUE"""),88.05)</f>
        <v>88.05</v>
      </c>
      <c r="F118" s="141">
        <f ca="1">IFERROR(__xludf.DUMMYFUNCTION("""COMPUTED_VALUE"""),88.17)</f>
        <v>88.17</v>
      </c>
      <c r="G118" s="143">
        <f ca="1">IFERROR(__xludf.DUMMYFUNCTION("""COMPUTED_VALUE"""),32808068)</f>
        <v>32808068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IFERROR(__xludf.DUMMYFUNCTION("""COMPUTED_VALUE"""),88.19)</f>
        <v>88.19</v>
      </c>
      <c r="D119" s="141">
        <f ca="1">IFERROR(__xludf.DUMMYFUNCTION("""COMPUTED_VALUE"""),88.2)</f>
        <v>88.2</v>
      </c>
      <c r="E119" s="141">
        <f ca="1">IFERROR(__xludf.DUMMYFUNCTION("""COMPUTED_VALUE"""),87.56)</f>
        <v>87.56</v>
      </c>
      <c r="F119" s="141">
        <f ca="1">IFERROR(__xludf.DUMMYFUNCTION("""COMPUTED_VALUE"""),87.88)</f>
        <v>87.88</v>
      </c>
      <c r="G119" s="143">
        <f ca="1">IFERROR(__xludf.DUMMYFUNCTION("""COMPUTED_VALUE"""),32255204)</f>
        <v>32255204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IFERROR(__xludf.DUMMYFUNCTION("""COMPUTED_VALUE"""),88.34)</f>
        <v>88.34</v>
      </c>
      <c r="D120" s="141">
        <f ca="1">IFERROR(__xludf.DUMMYFUNCTION("""COMPUTED_VALUE"""),88.35)</f>
        <v>88.35</v>
      </c>
      <c r="E120" s="141">
        <f ca="1">IFERROR(__xludf.DUMMYFUNCTION("""COMPUTED_VALUE"""),87.84)</f>
        <v>87.84</v>
      </c>
      <c r="F120" s="141">
        <f ca="1">IFERROR(__xludf.DUMMYFUNCTION("""COMPUTED_VALUE"""),87.97)</f>
        <v>87.97</v>
      </c>
      <c r="G120" s="143">
        <f ca="1">IFERROR(__xludf.DUMMYFUNCTION("""COMPUTED_VALUE"""),25771792)</f>
        <v>25771792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IFERROR(__xludf.DUMMYFUNCTION("""COMPUTED_VALUE"""),88)</f>
        <v>88</v>
      </c>
      <c r="D121" s="141">
        <f ca="1">IFERROR(__xludf.DUMMYFUNCTION("""COMPUTED_VALUE"""),88.52)</f>
        <v>88.52</v>
      </c>
      <c r="E121" s="141">
        <f ca="1">IFERROR(__xludf.DUMMYFUNCTION("""COMPUTED_VALUE"""),87.86)</f>
        <v>87.86</v>
      </c>
      <c r="F121" s="141">
        <f ca="1">IFERROR(__xludf.DUMMYFUNCTION("""COMPUTED_VALUE"""),88.31)</f>
        <v>88.31</v>
      </c>
      <c r="G121" s="143">
        <f ca="1">IFERROR(__xludf.DUMMYFUNCTION("""COMPUTED_VALUE"""),46833512)</f>
        <v>46833512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IFERROR(__xludf.DUMMYFUNCTION("""COMPUTED_VALUE"""),88.69)</f>
        <v>88.69</v>
      </c>
      <c r="D122" s="141">
        <f ca="1">IFERROR(__xludf.DUMMYFUNCTION("""COMPUTED_VALUE"""),88.83)</f>
        <v>88.83</v>
      </c>
      <c r="E122" s="141">
        <f ca="1">IFERROR(__xludf.DUMMYFUNCTION("""COMPUTED_VALUE"""),88.16)</f>
        <v>88.16</v>
      </c>
      <c r="F122" s="141">
        <f ca="1">IFERROR(__xludf.DUMMYFUNCTION("""COMPUTED_VALUE"""),88.19)</f>
        <v>88.19</v>
      </c>
      <c r="G122" s="143">
        <f ca="1">IFERROR(__xludf.DUMMYFUNCTION("""COMPUTED_VALUE"""),26778686)</f>
        <v>26778686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IFERROR(__xludf.DUMMYFUNCTION("""COMPUTED_VALUE"""),87.38)</f>
        <v>87.38</v>
      </c>
      <c r="D123" s="141">
        <f ca="1">IFERROR(__xludf.DUMMYFUNCTION("""COMPUTED_VALUE"""),87.5)</f>
        <v>87.5</v>
      </c>
      <c r="E123" s="141">
        <f ca="1">IFERROR(__xludf.DUMMYFUNCTION("""COMPUTED_VALUE"""),87.19)</f>
        <v>87.19</v>
      </c>
      <c r="F123" s="141">
        <f ca="1">IFERROR(__xludf.DUMMYFUNCTION("""COMPUTED_VALUE"""),87.34)</f>
        <v>87.34</v>
      </c>
      <c r="G123" s="143">
        <f ca="1">IFERROR(__xludf.DUMMYFUNCTION("""COMPUTED_VALUE"""),47030122)</f>
        <v>47030122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IFERROR(__xludf.DUMMYFUNCTION("""COMPUTED_VALUE"""),87.72)</f>
        <v>87.72</v>
      </c>
      <c r="D124" s="141">
        <f ca="1">IFERROR(__xludf.DUMMYFUNCTION("""COMPUTED_VALUE"""),87.88)</f>
        <v>87.88</v>
      </c>
      <c r="E124" s="141">
        <f ca="1">IFERROR(__xludf.DUMMYFUNCTION("""COMPUTED_VALUE"""),87.39)</f>
        <v>87.39</v>
      </c>
      <c r="F124" s="141">
        <f ca="1">IFERROR(__xludf.DUMMYFUNCTION("""COMPUTED_VALUE"""),87.4)</f>
        <v>87.4</v>
      </c>
      <c r="G124" s="143">
        <f ca="1">IFERROR(__xludf.DUMMYFUNCTION("""COMPUTED_VALUE"""),28611787)</f>
        <v>28611787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IFERROR(__xludf.DUMMYFUNCTION("""COMPUTED_VALUE"""),87.19)</f>
        <v>87.19</v>
      </c>
      <c r="D125" s="141">
        <f ca="1">IFERROR(__xludf.DUMMYFUNCTION("""COMPUTED_VALUE"""),87.92)</f>
        <v>87.92</v>
      </c>
      <c r="E125" s="141">
        <f ca="1">IFERROR(__xludf.DUMMYFUNCTION("""COMPUTED_VALUE"""),87.17)</f>
        <v>87.17</v>
      </c>
      <c r="F125" s="141">
        <f ca="1">IFERROR(__xludf.DUMMYFUNCTION("""COMPUTED_VALUE"""),87.88)</f>
        <v>87.88</v>
      </c>
      <c r="G125" s="143">
        <f ca="1">IFERROR(__xludf.DUMMYFUNCTION("""COMPUTED_VALUE"""),41018681)</f>
        <v>41018681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IFERROR(__xludf.DUMMYFUNCTION("""COMPUTED_VALUE"""),87.63)</f>
        <v>87.63</v>
      </c>
      <c r="D126" s="141">
        <f ca="1">IFERROR(__xludf.DUMMYFUNCTION("""COMPUTED_VALUE"""),87.99)</f>
        <v>87.99</v>
      </c>
      <c r="E126" s="141">
        <f ca="1">IFERROR(__xludf.DUMMYFUNCTION("""COMPUTED_VALUE"""),87.58)</f>
        <v>87.58</v>
      </c>
      <c r="F126" s="141">
        <f ca="1">IFERROR(__xludf.DUMMYFUNCTION("""COMPUTED_VALUE"""),87.8)</f>
        <v>87.8</v>
      </c>
      <c r="G126" s="143">
        <f ca="1">IFERROR(__xludf.DUMMYFUNCTION("""COMPUTED_VALUE"""),24668305)</f>
        <v>24668305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IFERROR(__xludf.DUMMYFUNCTION("""COMPUTED_VALUE"""),88.13)</f>
        <v>88.13</v>
      </c>
      <c r="D127" s="141">
        <f ca="1">IFERROR(__xludf.DUMMYFUNCTION("""COMPUTED_VALUE"""),88.38)</f>
        <v>88.38</v>
      </c>
      <c r="E127" s="141">
        <f ca="1">IFERROR(__xludf.DUMMYFUNCTION("""COMPUTED_VALUE"""),88.07)</f>
        <v>88.07</v>
      </c>
      <c r="F127" s="141">
        <f ca="1">IFERROR(__xludf.DUMMYFUNCTION("""COMPUTED_VALUE"""),88.22)</f>
        <v>88.22</v>
      </c>
      <c r="G127" s="143">
        <f ca="1">IFERROR(__xludf.DUMMYFUNCTION("""COMPUTED_VALUE"""),39048891)</f>
        <v>39048891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IFERROR(__xludf.DUMMYFUNCTION("""COMPUTED_VALUE"""),87.61)</f>
        <v>87.61</v>
      </c>
      <c r="D128" s="141">
        <f ca="1">IFERROR(__xludf.DUMMYFUNCTION("""COMPUTED_VALUE"""),87.76)</f>
        <v>87.76</v>
      </c>
      <c r="E128" s="141">
        <f ca="1">IFERROR(__xludf.DUMMYFUNCTION("""COMPUTED_VALUE"""),87.41)</f>
        <v>87.41</v>
      </c>
      <c r="F128" s="141">
        <f ca="1">IFERROR(__xludf.DUMMYFUNCTION("""COMPUTED_VALUE"""),87.55)</f>
        <v>87.55</v>
      </c>
      <c r="G128" s="143">
        <f ca="1">IFERROR(__xludf.DUMMYFUNCTION("""COMPUTED_VALUE"""),37858082)</f>
        <v>37858082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IFERROR(__xludf.DUMMYFUNCTION("""COMPUTED_VALUE"""),87.42)</f>
        <v>87.42</v>
      </c>
      <c r="D129" s="141">
        <f ca="1">IFERROR(__xludf.DUMMYFUNCTION("""COMPUTED_VALUE"""),87.46)</f>
        <v>87.46</v>
      </c>
      <c r="E129" s="141">
        <f ca="1">IFERROR(__xludf.DUMMYFUNCTION("""COMPUTED_VALUE"""),87.25)</f>
        <v>87.25</v>
      </c>
      <c r="F129" s="141">
        <f ca="1">IFERROR(__xludf.DUMMYFUNCTION("""COMPUTED_VALUE"""),87.36)</f>
        <v>87.36</v>
      </c>
      <c r="G129" s="143">
        <f ca="1">IFERROR(__xludf.DUMMYFUNCTION("""COMPUTED_VALUE"""),25547134)</f>
        <v>25547134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IFERROR(__xludf.DUMMYFUNCTION("""COMPUTED_VALUE"""),87.07)</f>
        <v>87.07</v>
      </c>
      <c r="D130" s="141">
        <f ca="1">IFERROR(__xludf.DUMMYFUNCTION("""COMPUTED_VALUE"""),87.58)</f>
        <v>87.58</v>
      </c>
      <c r="E130" s="141">
        <f ca="1">IFERROR(__xludf.DUMMYFUNCTION("""COMPUTED_VALUE"""),87.03)</f>
        <v>87.03</v>
      </c>
      <c r="F130" s="141">
        <f ca="1">IFERROR(__xludf.DUMMYFUNCTION("""COMPUTED_VALUE"""),87.5)</f>
        <v>87.5</v>
      </c>
      <c r="G130" s="143">
        <f ca="1">IFERROR(__xludf.DUMMYFUNCTION("""COMPUTED_VALUE"""),33624059)</f>
        <v>33624059</v>
      </c>
      <c r="H130" s="26"/>
    </row>
    <row r="131" spans="1:8" ht="17.25" customHeight="1" x14ac:dyDescent="0.2">
      <c r="A131" s="26"/>
      <c r="B131" s="139">
        <f ca="1">IFERROR(__xludf.DUMMYFUNCTION("""COMPUTED_VALUE"""),46015.5451388888)</f>
        <v>46015.545138888803</v>
      </c>
      <c r="C131" s="141">
        <f ca="1">IFERROR(__xludf.DUMMYFUNCTION("""COMPUTED_VALUE"""),87.76)</f>
        <v>87.76</v>
      </c>
      <c r="D131" s="141">
        <f ca="1">IFERROR(__xludf.DUMMYFUNCTION("""COMPUTED_VALUE"""),88.08)</f>
        <v>88.08</v>
      </c>
      <c r="E131" s="141">
        <f ca="1">IFERROR(__xludf.DUMMYFUNCTION("""COMPUTED_VALUE"""),87.65)</f>
        <v>87.65</v>
      </c>
      <c r="F131" s="141">
        <f ca="1">IFERROR(__xludf.DUMMYFUNCTION("""COMPUTED_VALUE"""),88.03)</f>
        <v>88.03</v>
      </c>
      <c r="G131" s="143">
        <f ca="1">IFERROR(__xludf.DUMMYFUNCTION("""COMPUTED_VALUE"""),25942006)</f>
        <v>25942006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IFERROR(__xludf.DUMMYFUNCTION("""COMPUTED_VALUE"""),88.1)</f>
        <v>88.1</v>
      </c>
      <c r="D132" s="141">
        <f ca="1">IFERROR(__xludf.DUMMYFUNCTION("""COMPUTED_VALUE"""),88.17)</f>
        <v>88.17</v>
      </c>
      <c r="E132" s="141">
        <f ca="1">IFERROR(__xludf.DUMMYFUNCTION("""COMPUTED_VALUE"""),87.6)</f>
        <v>87.6</v>
      </c>
      <c r="F132" s="141">
        <f ca="1">IFERROR(__xludf.DUMMYFUNCTION("""COMPUTED_VALUE"""),87.74)</f>
        <v>87.74</v>
      </c>
      <c r="G132" s="143">
        <f ca="1">IFERROR(__xludf.DUMMYFUNCTION("""COMPUTED_VALUE"""),26522734)</f>
        <v>26522734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IFERROR(__xludf.DUMMYFUNCTION("""COMPUTED_VALUE"""),87.95)</f>
        <v>87.95</v>
      </c>
      <c r="D133" s="141">
        <f ca="1">IFERROR(__xludf.DUMMYFUNCTION("""COMPUTED_VALUE"""),88.07)</f>
        <v>88.07</v>
      </c>
      <c r="E133" s="141">
        <f ca="1">IFERROR(__xludf.DUMMYFUNCTION("""COMPUTED_VALUE"""),87.79)</f>
        <v>87.79</v>
      </c>
      <c r="F133" s="141">
        <f ca="1">IFERROR(__xludf.DUMMYFUNCTION("""COMPUTED_VALUE"""),88.07)</f>
        <v>88.07</v>
      </c>
      <c r="G133" s="143">
        <f ca="1">IFERROR(__xludf.DUMMYFUNCTION("""COMPUTED_VALUE"""),29399823)</f>
        <v>29399823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IFERROR(__xludf.DUMMYFUNCTION("""COMPUTED_VALUE"""),87.74)</f>
        <v>87.74</v>
      </c>
      <c r="D134" s="141">
        <f ca="1">IFERROR(__xludf.DUMMYFUNCTION("""COMPUTED_VALUE"""),88.04)</f>
        <v>88.04</v>
      </c>
      <c r="E134" s="141">
        <f ca="1">IFERROR(__xludf.DUMMYFUNCTION("""COMPUTED_VALUE"""),87.67)</f>
        <v>87.67</v>
      </c>
      <c r="F134" s="141">
        <f ca="1">IFERROR(__xludf.DUMMYFUNCTION("""COMPUTED_VALUE"""),87.86)</f>
        <v>87.86</v>
      </c>
      <c r="G134" s="143">
        <f ca="1">IFERROR(__xludf.DUMMYFUNCTION("""COMPUTED_VALUE"""),25106784)</f>
        <v>25106784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IFERROR(__xludf.DUMMYFUNCTION("""COMPUTED_VALUE"""),87.68)</f>
        <v>87.68</v>
      </c>
      <c r="D135" s="141">
        <f ca="1">IFERROR(__xludf.DUMMYFUNCTION("""COMPUTED_VALUE"""),87.91)</f>
        <v>87.91</v>
      </c>
      <c r="E135" s="141">
        <f ca="1">IFERROR(__xludf.DUMMYFUNCTION("""COMPUTED_VALUE"""),87.13)</f>
        <v>87.13</v>
      </c>
      <c r="F135" s="141">
        <f ca="1">IFERROR(__xludf.DUMMYFUNCTION("""COMPUTED_VALUE"""),87.16)</f>
        <v>87.16</v>
      </c>
      <c r="G135" s="143">
        <f ca="1">IFERROR(__xludf.DUMMYFUNCTION("""COMPUTED_VALUE"""),36500036)</f>
        <v>36500036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IFERROR(__xludf.DUMMYFUNCTION("""COMPUTED_VALUE"""),87.4)</f>
        <v>87.4</v>
      </c>
      <c r="D136" s="141">
        <f ca="1">IFERROR(__xludf.DUMMYFUNCTION("""COMPUTED_VALUE"""),87.41)</f>
        <v>87.41</v>
      </c>
      <c r="E136" s="141">
        <f ca="1">IFERROR(__xludf.DUMMYFUNCTION("""COMPUTED_VALUE"""),87.02)</f>
        <v>87.02</v>
      </c>
      <c r="F136" s="141">
        <f ca="1">IFERROR(__xludf.DUMMYFUNCTION("""COMPUTED_VALUE"""),87.03)</f>
        <v>87.03</v>
      </c>
      <c r="G136" s="143">
        <f ca="1">IFERROR(__xludf.DUMMYFUNCTION("""COMPUTED_VALUE"""),40731251)</f>
        <v>40731251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IFERROR(__xludf.DUMMYFUNCTION("""COMPUTED_VALUE"""),87.18)</f>
        <v>87.18</v>
      </c>
      <c r="D137" s="141">
        <f ca="1">IFERROR(__xludf.DUMMYFUNCTION("""COMPUTED_VALUE"""),87.52)</f>
        <v>87.52</v>
      </c>
      <c r="E137" s="141">
        <f ca="1">IFERROR(__xludf.DUMMYFUNCTION("""COMPUTED_VALUE"""),87.11)</f>
        <v>87.11</v>
      </c>
      <c r="F137" s="141">
        <f ca="1">IFERROR(__xludf.DUMMYFUNCTION("""COMPUTED_VALUE"""),87.46)</f>
        <v>87.46</v>
      </c>
      <c r="G137" s="143">
        <f ca="1">IFERROR(__xludf.DUMMYFUNCTION("""COMPUTED_VALUE"""),30178030)</f>
        <v>30178030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IFERROR(__xludf.DUMMYFUNCTION("""COMPUTED_VALUE"""),87.15)</f>
        <v>87.15</v>
      </c>
      <c r="D138" s="141">
        <f ca="1">IFERROR(__xludf.DUMMYFUNCTION("""COMPUTED_VALUE"""),87.34)</f>
        <v>87.34</v>
      </c>
      <c r="E138" s="141">
        <f ca="1">IFERROR(__xludf.DUMMYFUNCTION("""COMPUTED_VALUE"""),86.9)</f>
        <v>86.9</v>
      </c>
      <c r="F138" s="141">
        <f ca="1">IFERROR(__xludf.DUMMYFUNCTION("""COMPUTED_VALUE"""),87.28)</f>
        <v>87.28</v>
      </c>
      <c r="G138" s="143">
        <f ca="1">IFERROR(__xludf.DUMMYFUNCTION("""COMPUTED_VALUE"""),39015179)</f>
        <v>39015179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IFERROR(__xludf.DUMMYFUNCTION("""COMPUTED_VALUE"""),87.84)</f>
        <v>87.84</v>
      </c>
      <c r="D139" s="141">
        <f ca="1">IFERROR(__xludf.DUMMYFUNCTION("""COMPUTED_VALUE"""),88.01)</f>
        <v>88.01</v>
      </c>
      <c r="E139" s="141">
        <f ca="1">IFERROR(__xludf.DUMMYFUNCTION("""COMPUTED_VALUE"""),87.48)</f>
        <v>87.48</v>
      </c>
      <c r="F139" s="141">
        <f ca="1">IFERROR(__xludf.DUMMYFUNCTION("""COMPUTED_VALUE"""),87.79)</f>
        <v>87.79</v>
      </c>
      <c r="G139" s="143">
        <f ca="1">IFERROR(__xludf.DUMMYFUNCTION("""COMPUTED_VALUE"""),39930912)</f>
        <v>39930912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IFERROR(__xludf.DUMMYFUNCTION("""COMPUTED_VALUE"""),87.33)</f>
        <v>87.33</v>
      </c>
      <c r="D140" s="141">
        <f ca="1">IFERROR(__xludf.DUMMYFUNCTION("""COMPUTED_VALUE"""),87.55)</f>
        <v>87.55</v>
      </c>
      <c r="E140" s="141">
        <f ca="1">IFERROR(__xludf.DUMMYFUNCTION("""COMPUTED_VALUE"""),87.25)</f>
        <v>87.25</v>
      </c>
      <c r="F140" s="141">
        <f ca="1">IFERROR(__xludf.DUMMYFUNCTION("""COMPUTED_VALUE"""),87.35)</f>
        <v>87.35</v>
      </c>
      <c r="G140" s="143">
        <f ca="1">IFERROR(__xludf.DUMMYFUNCTION("""COMPUTED_VALUE"""),28204899)</f>
        <v>28204899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IFERROR(__xludf.DUMMYFUNCTION("""COMPUTED_VALUE"""),87.3)</f>
        <v>87.3</v>
      </c>
      <c r="D141" s="141">
        <f ca="1">IFERROR(__xludf.DUMMYFUNCTION("""COMPUTED_VALUE"""),88)</f>
        <v>88</v>
      </c>
      <c r="E141" s="141">
        <f ca="1">IFERROR(__xludf.DUMMYFUNCTION("""COMPUTED_VALUE"""),87.12)</f>
        <v>87.12</v>
      </c>
      <c r="F141" s="141">
        <f ca="1">IFERROR(__xludf.DUMMYFUNCTION("""COMPUTED_VALUE"""),87.93)</f>
        <v>87.93</v>
      </c>
      <c r="G141" s="143">
        <f ca="1">IFERROR(__xludf.DUMMYFUNCTION("""COMPUTED_VALUE"""),57348793)</f>
        <v>57348793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IFERROR(__xludf.DUMMYFUNCTION("""COMPUTED_VALUE"""),87.5)</f>
        <v>87.5</v>
      </c>
      <c r="D142" s="141">
        <f ca="1">IFERROR(__xludf.DUMMYFUNCTION("""COMPUTED_VALUE"""),87.91)</f>
        <v>87.91</v>
      </c>
      <c r="E142" s="141">
        <f ca="1">IFERROR(__xludf.DUMMYFUNCTION("""COMPUTED_VALUE"""),87.41)</f>
        <v>87.41</v>
      </c>
      <c r="F142" s="141">
        <f ca="1">IFERROR(__xludf.DUMMYFUNCTION("""COMPUTED_VALUE"""),87.67)</f>
        <v>87.67</v>
      </c>
      <c r="G142" s="143">
        <f ca="1">IFERROR(__xludf.DUMMYFUNCTION("""COMPUTED_VALUE"""),36103071)</f>
        <v>36103071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IFERROR(__xludf.DUMMYFUNCTION("""COMPUTED_VALUE"""),87.88)</f>
        <v>87.88</v>
      </c>
      <c r="D143" s="141">
        <f ca="1">IFERROR(__xludf.DUMMYFUNCTION("""COMPUTED_VALUE"""),87.91)</f>
        <v>87.91</v>
      </c>
      <c r="E143" s="141">
        <f ca="1">IFERROR(__xludf.DUMMYFUNCTION("""COMPUTED_VALUE"""),87.54)</f>
        <v>87.54</v>
      </c>
      <c r="F143" s="141">
        <f ca="1">IFERROR(__xludf.DUMMYFUNCTION("""COMPUTED_VALUE"""),87.82)</f>
        <v>87.82</v>
      </c>
      <c r="G143" s="143">
        <f ca="1">IFERROR(__xludf.DUMMYFUNCTION("""COMPUTED_VALUE"""),30451400)</f>
        <v>30451400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IFERROR(__xludf.DUMMYFUNCTION("""COMPUTED_VALUE"""),87.91)</f>
        <v>87.91</v>
      </c>
      <c r="D144" s="141">
        <f ca="1">IFERROR(__xludf.DUMMYFUNCTION("""COMPUTED_VALUE"""),88.43)</f>
        <v>88.43</v>
      </c>
      <c r="E144" s="141">
        <f ca="1">IFERROR(__xludf.DUMMYFUNCTION("""COMPUTED_VALUE"""),87.89)</f>
        <v>87.89</v>
      </c>
      <c r="F144" s="141">
        <f ca="1">IFERROR(__xludf.DUMMYFUNCTION("""COMPUTED_VALUE"""),88.33)</f>
        <v>88.33</v>
      </c>
      <c r="G144" s="143">
        <f ca="1">IFERROR(__xludf.DUMMYFUNCTION("""COMPUTED_VALUE"""),39233477)</f>
        <v>39233477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IFERROR(__xludf.DUMMYFUNCTION("""COMPUTED_VALUE"""),88.64)</f>
        <v>88.64</v>
      </c>
      <c r="D145" s="141">
        <f ca="1">IFERROR(__xludf.DUMMYFUNCTION("""COMPUTED_VALUE"""),88.66)</f>
        <v>88.66</v>
      </c>
      <c r="E145" s="141">
        <f ca="1">IFERROR(__xludf.DUMMYFUNCTION("""COMPUTED_VALUE"""),88.31)</f>
        <v>88.31</v>
      </c>
      <c r="F145" s="141">
        <f ca="1">IFERROR(__xludf.DUMMYFUNCTION("""COMPUTED_VALUE"""),88.31)</f>
        <v>88.31</v>
      </c>
      <c r="G145" s="143">
        <f ca="1">IFERROR(__xludf.DUMMYFUNCTION("""COMPUTED_VALUE"""),37988942)</f>
        <v>37988942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IFERROR(__xludf.DUMMYFUNCTION("""COMPUTED_VALUE"""),88.13)</f>
        <v>88.13</v>
      </c>
      <c r="D146" s="141">
        <f ca="1">IFERROR(__xludf.DUMMYFUNCTION("""COMPUTED_VALUE"""),88.32)</f>
        <v>88.32</v>
      </c>
      <c r="E146" s="141">
        <f ca="1">IFERROR(__xludf.DUMMYFUNCTION("""COMPUTED_VALUE"""),87.71)</f>
        <v>87.71</v>
      </c>
      <c r="F146" s="141">
        <f ca="1">IFERROR(__xludf.DUMMYFUNCTION("""COMPUTED_VALUE"""),87.8)</f>
        <v>87.8</v>
      </c>
      <c r="G146" s="143">
        <f ca="1">IFERROR(__xludf.DUMMYFUNCTION("""COMPUTED_VALUE"""),46382396)</f>
        <v>46382396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IFERROR(__xludf.DUMMYFUNCTION("""COMPUTED_VALUE"""),86.63)</f>
        <v>86.63</v>
      </c>
      <c r="D147" s="141">
        <f ca="1">IFERROR(__xludf.DUMMYFUNCTION("""COMPUTED_VALUE"""),87.03)</f>
        <v>87.03</v>
      </c>
      <c r="E147" s="141">
        <f ca="1">IFERROR(__xludf.DUMMYFUNCTION("""COMPUTED_VALUE"""),86.54)</f>
        <v>86.54</v>
      </c>
      <c r="F147" s="141">
        <f ca="1">IFERROR(__xludf.DUMMYFUNCTION("""COMPUTED_VALUE"""),86.65)</f>
        <v>86.65</v>
      </c>
      <c r="G147" s="143">
        <f ca="1">IFERROR(__xludf.DUMMYFUNCTION("""COMPUTED_VALUE"""),66009536)</f>
        <v>66009536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IFERROR(__xludf.DUMMYFUNCTION("""COMPUTED_VALUE"""),86.8)</f>
        <v>86.8</v>
      </c>
      <c r="D148" s="141">
        <f ca="1">IFERROR(__xludf.DUMMYFUNCTION("""COMPUTED_VALUE"""),87.48)</f>
        <v>87.48</v>
      </c>
      <c r="E148" s="141">
        <f ca="1">IFERROR(__xludf.DUMMYFUNCTION("""COMPUTED_VALUE"""),86.62)</f>
        <v>86.62</v>
      </c>
      <c r="F148" s="141">
        <f ca="1">IFERROR(__xludf.DUMMYFUNCTION("""COMPUTED_VALUE"""),87.31)</f>
        <v>87.31</v>
      </c>
      <c r="G148" s="143">
        <f ca="1">IFERROR(__xludf.DUMMYFUNCTION("""COMPUTED_VALUE"""),51220133)</f>
        <v>51220133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IFERROR(__xludf.DUMMYFUNCTION("""COMPUTED_VALUE"""),87.27)</f>
        <v>87.27</v>
      </c>
      <c r="D149" s="141">
        <f ca="1">IFERROR(__xludf.DUMMYFUNCTION("""COMPUTED_VALUE"""),87.76)</f>
        <v>87.76</v>
      </c>
      <c r="E149" s="141">
        <f ca="1">IFERROR(__xludf.DUMMYFUNCTION("""COMPUTED_VALUE"""),87.14)</f>
        <v>87.14</v>
      </c>
      <c r="F149" s="141">
        <f ca="1">IFERROR(__xludf.DUMMYFUNCTION("""COMPUTED_VALUE"""),87.69)</f>
        <v>87.69</v>
      </c>
      <c r="G149" s="143">
        <f ca="1">IFERROR(__xludf.DUMMYFUNCTION("""COMPUTED_VALUE"""),42419291)</f>
        <v>42419291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IFERROR(__xludf.DUMMYFUNCTION("""COMPUTED_VALUE"""),87.83)</f>
        <v>87.83</v>
      </c>
      <c r="D150" s="141">
        <f ca="1">IFERROR(__xludf.DUMMYFUNCTION("""COMPUTED_VALUE"""),88.03)</f>
        <v>88.03</v>
      </c>
      <c r="E150" s="141">
        <f ca="1">IFERROR(__xludf.DUMMYFUNCTION("""COMPUTED_VALUE"""),87.5)</f>
        <v>87.5</v>
      </c>
      <c r="F150" s="141">
        <f ca="1">IFERROR(__xludf.DUMMYFUNCTION("""COMPUTED_VALUE"""),87.93)</f>
        <v>87.93</v>
      </c>
      <c r="G150" s="143">
        <f ca="1">IFERROR(__xludf.DUMMYFUNCTION("""COMPUTED_VALUE"""),35968799)</f>
        <v>35968799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IFERROR(__xludf.DUMMYFUNCTION("""COMPUTED_VALUE"""),88.4)</f>
        <v>88.4</v>
      </c>
      <c r="D151" s="141">
        <f ca="1">IFERROR(__xludf.DUMMYFUNCTION("""COMPUTED_VALUE"""),88.49)</f>
        <v>88.49</v>
      </c>
      <c r="E151" s="141">
        <f ca="1">IFERROR(__xludf.DUMMYFUNCTION("""COMPUTED_VALUE"""),88.2)</f>
        <v>88.2</v>
      </c>
      <c r="F151" s="141">
        <f ca="1">IFERROR(__xludf.DUMMYFUNCTION("""COMPUTED_VALUE"""),88.35)</f>
        <v>88.35</v>
      </c>
      <c r="G151" s="143">
        <f ca="1">IFERROR(__xludf.DUMMYFUNCTION("""COMPUTED_VALUE"""),38882362)</f>
        <v>38882362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IFERROR(__xludf.DUMMYFUNCTION("""COMPUTED_VALUE"""),88.11)</f>
        <v>88.11</v>
      </c>
      <c r="D152" s="141">
        <f ca="1">IFERROR(__xludf.DUMMYFUNCTION("""COMPUTED_VALUE"""),88.25)</f>
        <v>88.25</v>
      </c>
      <c r="E152" s="141">
        <f ca="1">IFERROR(__xludf.DUMMYFUNCTION("""COMPUTED_VALUE"""),87.68)</f>
        <v>87.68</v>
      </c>
      <c r="F152" s="141">
        <f ca="1">IFERROR(__xludf.DUMMYFUNCTION("""COMPUTED_VALUE"""),87.8)</f>
        <v>87.8</v>
      </c>
      <c r="G152" s="143">
        <f ca="1">IFERROR(__xludf.DUMMYFUNCTION("""COMPUTED_VALUE"""),35180128)</f>
        <v>35180128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IFERROR(__xludf.DUMMYFUNCTION("""COMPUTED_VALUE"""),87.51)</f>
        <v>87.51</v>
      </c>
      <c r="D153" s="141">
        <f ca="1">IFERROR(__xludf.DUMMYFUNCTION("""COMPUTED_VALUE"""),87.7)</f>
        <v>87.7</v>
      </c>
      <c r="E153" s="141">
        <f ca="1">IFERROR(__xludf.DUMMYFUNCTION("""COMPUTED_VALUE"""),87.29)</f>
        <v>87.29</v>
      </c>
      <c r="F153" s="141">
        <f ca="1">IFERROR(__xludf.DUMMYFUNCTION("""COMPUTED_VALUE"""),87.6)</f>
        <v>87.6</v>
      </c>
      <c r="G153" s="143">
        <f ca="1">IFERROR(__xludf.DUMMYFUNCTION("""COMPUTED_VALUE"""),38750296)</f>
        <v>38750296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IFERROR(__xludf.DUMMYFUNCTION("""COMPUTED_VALUE"""),87.15)</f>
        <v>87.15</v>
      </c>
      <c r="D154" s="141">
        <f ca="1">IFERROR(__xludf.DUMMYFUNCTION("""COMPUTED_VALUE"""),87.74)</f>
        <v>87.74</v>
      </c>
      <c r="E154" s="141">
        <f ca="1">IFERROR(__xludf.DUMMYFUNCTION("""COMPUTED_VALUE"""),87.08)</f>
        <v>87.08</v>
      </c>
      <c r="F154" s="141">
        <f ca="1">IFERROR(__xludf.DUMMYFUNCTION("""COMPUTED_VALUE"""),87.62)</f>
        <v>87.62</v>
      </c>
      <c r="G154" s="143">
        <f ca="1">IFERROR(__xludf.DUMMYFUNCTION("""COMPUTED_VALUE"""),43854982)</f>
        <v>43854982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IFERROR(__xludf.DUMMYFUNCTION("""COMPUTED_VALUE"""),87.38)</f>
        <v>87.38</v>
      </c>
      <c r="D155" s="141">
        <f ca="1">IFERROR(__xludf.DUMMYFUNCTION("""COMPUTED_VALUE"""),87.56)</f>
        <v>87.56</v>
      </c>
      <c r="E155" s="141">
        <f ca="1">IFERROR(__xludf.DUMMYFUNCTION("""COMPUTED_VALUE"""),87.13)</f>
        <v>87.13</v>
      </c>
      <c r="F155" s="141">
        <f ca="1">IFERROR(__xludf.DUMMYFUNCTION("""COMPUTED_VALUE"""),87.13)</f>
        <v>87.13</v>
      </c>
      <c r="G155" s="143">
        <f ca="1">IFERROR(__xludf.DUMMYFUNCTION("""COMPUTED_VALUE"""),45832193)</f>
        <v>45832193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IFERROR(__xludf.DUMMYFUNCTION("""COMPUTED_VALUE"""),87.02)</f>
        <v>87.02</v>
      </c>
      <c r="D156" s="141">
        <f ca="1">IFERROR(__xludf.DUMMYFUNCTION("""COMPUTED_VALUE"""),87.06)</f>
        <v>87.06</v>
      </c>
      <c r="E156" s="141">
        <f ca="1">IFERROR(__xludf.DUMMYFUNCTION("""COMPUTED_VALUE"""),86.55)</f>
        <v>86.55</v>
      </c>
      <c r="F156" s="141">
        <f ca="1">IFERROR(__xludf.DUMMYFUNCTION("""COMPUTED_VALUE"""),86.55)</f>
        <v>86.55</v>
      </c>
      <c r="G156" s="143">
        <f ca="1">IFERROR(__xludf.DUMMYFUNCTION("""COMPUTED_VALUE"""),38171395)</f>
        <v>38171395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IFERROR(__xludf.DUMMYFUNCTION("""COMPUTED_VALUE"""),86.49)</f>
        <v>86.49</v>
      </c>
      <c r="D157" s="141">
        <f ca="1">IFERROR(__xludf.DUMMYFUNCTION("""COMPUTED_VALUE"""),86.78)</f>
        <v>86.78</v>
      </c>
      <c r="E157" s="141">
        <f ca="1">IFERROR(__xludf.DUMMYFUNCTION("""COMPUTED_VALUE"""),86.43)</f>
        <v>86.43</v>
      </c>
      <c r="F157" s="141">
        <f ca="1">IFERROR(__xludf.DUMMYFUNCTION("""COMPUTED_VALUE"""),86.76)</f>
        <v>86.76</v>
      </c>
      <c r="G157" s="143">
        <f ca="1">IFERROR(__xludf.DUMMYFUNCTION("""COMPUTED_VALUE"""),27438196)</f>
        <v>27438196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IFERROR(__xludf.DUMMYFUNCTION("""COMPUTED_VALUE"""),86.63)</f>
        <v>86.63</v>
      </c>
      <c r="D158" s="141">
        <f ca="1">IFERROR(__xludf.DUMMYFUNCTION("""COMPUTED_VALUE"""),86.78)</f>
        <v>86.78</v>
      </c>
      <c r="E158" s="141">
        <f ca="1">IFERROR(__xludf.DUMMYFUNCTION("""COMPUTED_VALUE"""),86.46)</f>
        <v>86.46</v>
      </c>
      <c r="F158" s="141">
        <f ca="1">IFERROR(__xludf.DUMMYFUNCTION("""COMPUTED_VALUE"""),86.54)</f>
        <v>86.54</v>
      </c>
      <c r="G158" s="143">
        <f ca="1">IFERROR(__xludf.DUMMYFUNCTION("""COMPUTED_VALUE"""),37872880)</f>
        <v>37872880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IFERROR(__xludf.DUMMYFUNCTION("""COMPUTED_VALUE"""),86.93)</f>
        <v>86.93</v>
      </c>
      <c r="D159" s="141">
        <f ca="1">IFERROR(__xludf.DUMMYFUNCTION("""COMPUTED_VALUE"""),87.48)</f>
        <v>87.48</v>
      </c>
      <c r="E159" s="141">
        <f ca="1">IFERROR(__xludf.DUMMYFUNCTION("""COMPUTED_VALUE"""),86.75)</f>
        <v>86.75</v>
      </c>
      <c r="F159" s="141">
        <f ca="1">IFERROR(__xludf.DUMMYFUNCTION("""COMPUTED_VALUE"""),87.48)</f>
        <v>87.48</v>
      </c>
      <c r="G159" s="143">
        <f ca="1">IFERROR(__xludf.DUMMYFUNCTION("""COMPUTED_VALUE"""),50268911)</f>
        <v>50268911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IFERROR(__xludf.DUMMYFUNCTION("""COMPUTED_VALUE"""),87.45)</f>
        <v>87.45</v>
      </c>
      <c r="D160" s="141">
        <f ca="1">IFERROR(__xludf.DUMMYFUNCTION("""COMPUTED_VALUE"""),87.54)</f>
        <v>87.54</v>
      </c>
      <c r="E160" s="141">
        <f ca="1">IFERROR(__xludf.DUMMYFUNCTION("""COMPUTED_VALUE"""),87.2)</f>
        <v>87.2</v>
      </c>
      <c r="F160" s="141">
        <f ca="1">IFERROR(__xludf.DUMMYFUNCTION("""COMPUTED_VALUE"""),87.54)</f>
        <v>87.54</v>
      </c>
      <c r="G160" s="143">
        <f ca="1">IFERROR(__xludf.DUMMYFUNCTION("""COMPUTED_VALUE"""),33461764)</f>
        <v>33461764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IFERROR(__xludf.DUMMYFUNCTION("""COMPUTED_VALUE"""),87.2)</f>
        <v>87.2</v>
      </c>
      <c r="D161" s="141">
        <f ca="1">IFERROR(__xludf.DUMMYFUNCTION("""COMPUTED_VALUE"""),87.58)</f>
        <v>87.58</v>
      </c>
      <c r="E161" s="141">
        <f ca="1">IFERROR(__xludf.DUMMYFUNCTION("""COMPUTED_VALUE"""),87.03)</f>
        <v>87.03</v>
      </c>
      <c r="F161" s="141">
        <f ca="1">IFERROR(__xludf.DUMMYFUNCTION("""COMPUTED_VALUE"""),87.52)</f>
        <v>87.52</v>
      </c>
      <c r="G161" s="143">
        <f ca="1">IFERROR(__xludf.DUMMYFUNCTION("""COMPUTED_VALUE"""),24708880)</f>
        <v>24708880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IFERROR(__xludf.DUMMYFUNCTION("""COMPUTED_VALUE"""),88.24)</f>
        <v>88.24</v>
      </c>
      <c r="D162" s="141">
        <f ca="1">IFERROR(__xludf.DUMMYFUNCTION("""COMPUTED_VALUE"""),88.53)</f>
        <v>88.53</v>
      </c>
      <c r="E162" s="141">
        <f ca="1">IFERROR(__xludf.DUMMYFUNCTION("""COMPUTED_VALUE"""),88.22)</f>
        <v>88.22</v>
      </c>
      <c r="F162" s="141">
        <f ca="1">IFERROR(__xludf.DUMMYFUNCTION("""COMPUTED_VALUE"""),88.53)</f>
        <v>88.53</v>
      </c>
      <c r="G162" s="143">
        <f ca="1">IFERROR(__xludf.DUMMYFUNCTION("""COMPUTED_VALUE"""),37253715)</f>
        <v>37253715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IFERROR(__xludf.DUMMYFUNCTION("""COMPUTED_VALUE"""),88.04)</f>
        <v>88.04</v>
      </c>
      <c r="D163" s="141">
        <f ca="1">IFERROR(__xludf.DUMMYFUNCTION("""COMPUTED_VALUE"""),88.48)</f>
        <v>88.48</v>
      </c>
      <c r="E163" s="141">
        <f ca="1">IFERROR(__xludf.DUMMYFUNCTION("""COMPUTED_VALUE"""),87.94)</f>
        <v>87.94</v>
      </c>
      <c r="F163" s="141">
        <f ca="1">IFERROR(__xludf.DUMMYFUNCTION("""COMPUTED_VALUE"""),88.06)</f>
        <v>88.06</v>
      </c>
      <c r="G163" s="143">
        <f ca="1">IFERROR(__xludf.DUMMYFUNCTION("""COMPUTED_VALUE"""),37014010)</f>
        <v>37014010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IFERROR(__xludf.DUMMYFUNCTION("""COMPUTED_VALUE"""),88.36)</f>
        <v>88.36</v>
      </c>
      <c r="D164" s="141">
        <f ca="1">IFERROR(__xludf.DUMMYFUNCTION("""COMPUTED_VALUE"""),89.28)</f>
        <v>89.28</v>
      </c>
      <c r="E164" s="141">
        <f ca="1">IFERROR(__xludf.DUMMYFUNCTION("""COMPUTED_VALUE"""),88.35)</f>
        <v>88.35</v>
      </c>
      <c r="F164" s="141">
        <f ca="1">IFERROR(__xludf.DUMMYFUNCTION("""COMPUTED_VALUE"""),89.23)</f>
        <v>89.23</v>
      </c>
      <c r="G164" s="143">
        <f ca="1">IFERROR(__xludf.DUMMYFUNCTION("""COMPUTED_VALUE"""),48454859)</f>
        <v>48454859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IFERROR(__xludf.DUMMYFUNCTION("""COMPUTED_VALUE"""),89.63)</f>
        <v>89.63</v>
      </c>
      <c r="D165" s="141">
        <f ca="1">IFERROR(__xludf.DUMMYFUNCTION("""COMPUTED_VALUE"""),89.81)</f>
        <v>89.81</v>
      </c>
      <c r="E165" s="141">
        <f ca="1">IFERROR(__xludf.DUMMYFUNCTION("""COMPUTED_VALUE"""),89.52)</f>
        <v>89.52</v>
      </c>
      <c r="F165" s="141">
        <f ca="1">IFERROR(__xludf.DUMMYFUNCTION("""COMPUTED_VALUE"""),89.72)</f>
        <v>89.72</v>
      </c>
      <c r="G165" s="143">
        <f ca="1">IFERROR(__xludf.DUMMYFUNCTION("""COMPUTED_VALUE"""),56785154)</f>
        <v>56785154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IFERROR(__xludf.DUMMYFUNCTION("""COMPUTED_VALUE"""),89.93)</f>
        <v>89.93</v>
      </c>
      <c r="D166" s="141">
        <f ca="1">IFERROR(__xludf.DUMMYFUNCTION("""COMPUTED_VALUE"""),90.12)</f>
        <v>90.12</v>
      </c>
      <c r="E166" s="141">
        <f ca="1">IFERROR(__xludf.DUMMYFUNCTION("""COMPUTED_VALUE"""),89.76)</f>
        <v>89.76</v>
      </c>
      <c r="F166" s="141">
        <f ca="1">IFERROR(__xludf.DUMMYFUNCTION("""COMPUTED_VALUE"""),89.87)</f>
        <v>89.87</v>
      </c>
      <c r="G166" s="143">
        <f ca="1">IFERROR(__xludf.DUMMYFUNCTION("""COMPUTED_VALUE"""),32356748)</f>
        <v>32356748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IFERROR(__xludf.DUMMYFUNCTION("""COMPUTED_VALUE"""),89.69)</f>
        <v>89.69</v>
      </c>
      <c r="D167" s="141">
        <f ca="1">IFERROR(__xludf.DUMMYFUNCTION("""COMPUTED_VALUE"""),89.86)</f>
        <v>89.86</v>
      </c>
      <c r="E167" s="141">
        <f ca="1">IFERROR(__xludf.DUMMYFUNCTION("""COMPUTED_VALUE"""),89.47)</f>
        <v>89.47</v>
      </c>
      <c r="F167" s="141">
        <f ca="1">IFERROR(__xludf.DUMMYFUNCTION("""COMPUTED_VALUE"""),89.53)</f>
        <v>89.53</v>
      </c>
      <c r="G167" s="143">
        <f ca="1">IFERROR(__xludf.DUMMYFUNCTION("""COMPUTED_VALUE"""),35415364)</f>
        <v>35415364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IFERROR(__xludf.DUMMYFUNCTION("""COMPUTED_VALUE"""),89.4)</f>
        <v>89.4</v>
      </c>
      <c r="D168" s="141">
        <f ca="1">IFERROR(__xludf.DUMMYFUNCTION("""COMPUTED_VALUE"""),89.72)</f>
        <v>89.72</v>
      </c>
      <c r="E168" s="141">
        <f ca="1">IFERROR(__xludf.DUMMYFUNCTION("""COMPUTED_VALUE"""),89.37)</f>
        <v>89.37</v>
      </c>
      <c r="F168" s="141">
        <f ca="1">IFERROR(__xludf.DUMMYFUNCTION("""COMPUTED_VALUE"""),89.62)</f>
        <v>89.62</v>
      </c>
      <c r="G168" s="143">
        <f ca="1">IFERROR(__xludf.DUMMYFUNCTION("""COMPUTED_VALUE"""),28658625)</f>
        <v>28658625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IFERROR(__xludf.DUMMYFUNCTION("""COMPUTED_VALUE"""),89.7)</f>
        <v>89.7</v>
      </c>
      <c r="D169" s="141">
        <f ca="1">IFERROR(__xludf.DUMMYFUNCTION("""COMPUTED_VALUE"""),89.74)</f>
        <v>89.74</v>
      </c>
      <c r="E169" s="141">
        <f ca="1">IFERROR(__xludf.DUMMYFUNCTION("""COMPUTED_VALUE"""),88.93)</f>
        <v>88.93</v>
      </c>
      <c r="F169" s="141">
        <f ca="1">IFERROR(__xludf.DUMMYFUNCTION("""COMPUTED_VALUE"""),89.41)</f>
        <v>89.41</v>
      </c>
      <c r="G169" s="143">
        <f ca="1">IFERROR(__xludf.DUMMYFUNCTION("""COMPUTED_VALUE"""),49610815)</f>
        <v>49610815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IFERROR(__xludf.DUMMYFUNCTION("""COMPUTED_VALUE"""),89.55)</f>
        <v>89.55</v>
      </c>
      <c r="D170" s="141">
        <f ca="1">IFERROR(__xludf.DUMMYFUNCTION("""COMPUTED_VALUE"""),90)</f>
        <v>90</v>
      </c>
      <c r="E170" s="141">
        <f ca="1">IFERROR(__xludf.DUMMYFUNCTION("""COMPUTED_VALUE"""),89.53)</f>
        <v>89.53</v>
      </c>
      <c r="F170" s="141">
        <f ca="1">IFERROR(__xludf.DUMMYFUNCTION("""COMPUTED_VALUE"""),89.74)</f>
        <v>89.74</v>
      </c>
      <c r="G170" s="143">
        <f ca="1">IFERROR(__xludf.DUMMYFUNCTION("""COMPUTED_VALUE"""),33455436)</f>
        <v>33455436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IFERROR(__xludf.DUMMYFUNCTION("""COMPUTED_VALUE"""),89.95)</f>
        <v>89.95</v>
      </c>
      <c r="D171" s="141">
        <f ca="1">IFERROR(__xludf.DUMMYFUNCTION("""COMPUTED_VALUE"""),90.05)</f>
        <v>90.05</v>
      </c>
      <c r="E171" s="141">
        <f ca="1">IFERROR(__xludf.DUMMYFUNCTION("""COMPUTED_VALUE"""),89.76)</f>
        <v>89.76</v>
      </c>
      <c r="F171" s="141">
        <f ca="1">IFERROR(__xludf.DUMMYFUNCTION("""COMPUTED_VALUE"""),89.9)</f>
        <v>89.9</v>
      </c>
      <c r="G171" s="143">
        <f ca="1">IFERROR(__xludf.DUMMYFUNCTION("""COMPUTED_VALUE"""),24773661)</f>
        <v>24773661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IFERROR(__xludf.DUMMYFUNCTION("""COMPUTED_VALUE"""),89.71)</f>
        <v>89.71</v>
      </c>
      <c r="D172" s="141">
        <f ca="1">IFERROR(__xludf.DUMMYFUNCTION("""COMPUTED_VALUE"""),90.08)</f>
        <v>90.08</v>
      </c>
      <c r="E172" s="141">
        <f ca="1">IFERROR(__xludf.DUMMYFUNCTION("""COMPUTED_VALUE"""),89.71)</f>
        <v>89.71</v>
      </c>
      <c r="F172" s="141">
        <f ca="1">IFERROR(__xludf.DUMMYFUNCTION("""COMPUTED_VALUE"""),89.91)</f>
        <v>89.91</v>
      </c>
      <c r="G172" s="143">
        <f ca="1">IFERROR(__xludf.DUMMYFUNCTION("""COMPUTED_VALUE"""),22631379)</f>
        <v>22631379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IFERROR(__xludf.DUMMYFUNCTION("""COMPUTED_VALUE"""),90.06)</f>
        <v>90.06</v>
      </c>
      <c r="D173" s="141">
        <f ca="1">IFERROR(__xludf.DUMMYFUNCTION("""COMPUTED_VALUE"""),90.32)</f>
        <v>90.32</v>
      </c>
      <c r="E173" s="141">
        <f ca="1">IFERROR(__xludf.DUMMYFUNCTION("""COMPUTED_VALUE"""),90.05)</f>
        <v>90.05</v>
      </c>
      <c r="F173" s="141">
        <f ca="1">IFERROR(__xludf.DUMMYFUNCTION("""COMPUTED_VALUE"""),90.27)</f>
        <v>90.27</v>
      </c>
      <c r="G173" s="143">
        <f ca="1">IFERROR(__xludf.DUMMYFUNCTION("""COMPUTED_VALUE"""),28850239)</f>
        <v>28850239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IFERROR(__xludf.DUMMYFUNCTION("""COMPUTED_VALUE"""),90.69)</f>
        <v>90.69</v>
      </c>
      <c r="D174" s="141">
        <f ca="1">IFERROR(__xludf.DUMMYFUNCTION("""COMPUTED_VALUE"""),90.86)</f>
        <v>90.86</v>
      </c>
      <c r="E174" s="141">
        <f ca="1">IFERROR(__xludf.DUMMYFUNCTION("""COMPUTED_VALUE"""),90.55)</f>
        <v>90.55</v>
      </c>
      <c r="F174" s="141">
        <f ca="1">IFERROR(__xludf.DUMMYFUNCTION("""COMPUTED_VALUE"""),90.82)</f>
        <v>90.82</v>
      </c>
      <c r="G174" s="143">
        <f ca="1">IFERROR(__xludf.DUMMYFUNCTION("""COMPUTED_VALUE"""),49604252)</f>
        <v>49604252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IFERROR(__xludf.DUMMYFUNCTION("""COMPUTED_VALUE"""),89.98)</f>
        <v>89.98</v>
      </c>
      <c r="D175" s="141">
        <f ca="1">IFERROR(__xludf.DUMMYFUNCTION("""COMPUTED_VALUE"""),89.99)</f>
        <v>89.99</v>
      </c>
      <c r="E175" s="141">
        <f ca="1">IFERROR(__xludf.DUMMYFUNCTION("""COMPUTED_VALUE"""),89.36)</f>
        <v>89.36</v>
      </c>
      <c r="F175" s="141">
        <f ca="1">IFERROR(__xludf.DUMMYFUNCTION("""COMPUTED_VALUE"""),89.61)</f>
        <v>89.61</v>
      </c>
      <c r="G175" s="143">
        <f ca="1">IFERROR(__xludf.DUMMYFUNCTION("""COMPUTED_VALUE"""),55273882)</f>
        <v>55273882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IFERROR(__xludf.DUMMYFUNCTION("""COMPUTED_VALUE"""),88.98)</f>
        <v>88.98</v>
      </c>
      <c r="D176" s="141">
        <f ca="1">IFERROR(__xludf.DUMMYFUNCTION("""COMPUTED_VALUE"""),89.67)</f>
        <v>89.67</v>
      </c>
      <c r="E176" s="141">
        <f ca="1">IFERROR(__xludf.DUMMYFUNCTION("""COMPUTED_VALUE"""),88.94)</f>
        <v>88.94</v>
      </c>
      <c r="F176" s="141">
        <f ca="1">IFERROR(__xludf.DUMMYFUNCTION("""COMPUTED_VALUE"""),89.43)</f>
        <v>89.43</v>
      </c>
      <c r="G176" s="143">
        <f ca="1">IFERROR(__xludf.DUMMYFUNCTION("""COMPUTED_VALUE"""),51675009)</f>
        <v>51675009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IFERROR(__xludf.DUMMYFUNCTION("""COMPUTED_VALUE"""),89.27)</f>
        <v>89.27</v>
      </c>
      <c r="D177" s="141">
        <f ca="1">IFERROR(__xludf.DUMMYFUNCTION("""COMPUTED_VALUE"""),89.44)</f>
        <v>89.44</v>
      </c>
      <c r="E177" s="141">
        <f ca="1">IFERROR(__xludf.DUMMYFUNCTION("""COMPUTED_VALUE"""),89.1)</f>
        <v>89.1</v>
      </c>
      <c r="F177" s="141">
        <f ca="1">IFERROR(__xludf.DUMMYFUNCTION("""COMPUTED_VALUE"""),89.15)</f>
        <v>89.15</v>
      </c>
      <c r="G177" s="143">
        <f ca="1">IFERROR(__xludf.DUMMYFUNCTION("""COMPUTED_VALUE"""),46699232)</f>
        <v>46699232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IFERROR(__xludf.DUMMYFUNCTION("""COMPUTED_VALUE"""),88.63)</f>
        <v>88.63</v>
      </c>
      <c r="D178" s="141">
        <f ca="1">IFERROR(__xludf.DUMMYFUNCTION("""COMPUTED_VALUE"""),88.94)</f>
        <v>88.94</v>
      </c>
      <c r="E178" s="141">
        <f ca="1">IFERROR(__xludf.DUMMYFUNCTION("""COMPUTED_VALUE"""),88.51)</f>
        <v>88.51</v>
      </c>
      <c r="F178" s="141">
        <f ca="1">IFERROR(__xludf.DUMMYFUNCTION("""COMPUTED_VALUE"""),88.79)</f>
        <v>88.79</v>
      </c>
      <c r="G178" s="143">
        <f ca="1">IFERROR(__xludf.DUMMYFUNCTION("""COMPUTED_VALUE"""),45139648)</f>
        <v>45139648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IFERROR(__xludf.DUMMYFUNCTION("""COMPUTED_VALUE"""),88.32)</f>
        <v>88.32</v>
      </c>
      <c r="D179" s="141">
        <f ca="1">IFERROR(__xludf.DUMMYFUNCTION("""COMPUTED_VALUE"""),88.94)</f>
        <v>88.94</v>
      </c>
      <c r="E179" s="141">
        <f ca="1">IFERROR(__xludf.DUMMYFUNCTION("""COMPUTED_VALUE"""),88.02)</f>
        <v>88.02</v>
      </c>
      <c r="F179" s="141">
        <f ca="1">IFERROR(__xludf.DUMMYFUNCTION("""COMPUTED_VALUE"""),88.46)</f>
        <v>88.46</v>
      </c>
      <c r="G179" s="143">
        <f ca="1">IFERROR(__xludf.DUMMYFUNCTION("""COMPUTED_VALUE"""),57713717)</f>
        <v>57713717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IFERROR(__xludf.DUMMYFUNCTION("""COMPUTED_VALUE"""),88.3)</f>
        <v>88.3</v>
      </c>
      <c r="D180" s="141">
        <f ca="1">IFERROR(__xludf.DUMMYFUNCTION("""COMPUTED_VALUE"""),89.32)</f>
        <v>89.32</v>
      </c>
      <c r="E180" s="141">
        <f ca="1">IFERROR(__xludf.DUMMYFUNCTION("""COMPUTED_VALUE"""),88.21)</f>
        <v>88.21</v>
      </c>
      <c r="F180" s="141">
        <f ca="1">IFERROR(__xludf.DUMMYFUNCTION("""COMPUTED_VALUE"""),89.23)</f>
        <v>89.23</v>
      </c>
      <c r="G180" s="143">
        <f ca="1">IFERROR(__xludf.DUMMYFUNCTION("""COMPUTED_VALUE"""),52271576)</f>
        <v>52271576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IFERROR(__xludf.DUMMYFUNCTION("""COMPUTED_VALUE"""),88.8)</f>
        <v>88.8</v>
      </c>
      <c r="D181" s="141">
        <f ca="1">IFERROR(__xludf.DUMMYFUNCTION("""COMPUTED_VALUE"""),88.95)</f>
        <v>88.95</v>
      </c>
      <c r="E181" s="141">
        <f ca="1">IFERROR(__xludf.DUMMYFUNCTION("""COMPUTED_VALUE"""),88.27)</f>
        <v>88.27</v>
      </c>
      <c r="F181" s="141">
        <f ca="1">IFERROR(__xludf.DUMMYFUNCTION("""COMPUTED_VALUE"""),88.28)</f>
        <v>88.28</v>
      </c>
      <c r="G181" s="143">
        <f ca="1">IFERROR(__xludf.DUMMYFUNCTION("""COMPUTED_VALUE"""),48271585)</f>
        <v>48271585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IFERROR(__xludf.DUMMYFUNCTION("""COMPUTED_VALUE"""),87.75)</f>
        <v>87.75</v>
      </c>
      <c r="D182" s="141">
        <f ca="1">IFERROR(__xludf.DUMMYFUNCTION("""COMPUTED_VALUE"""),87.81)</f>
        <v>87.81</v>
      </c>
      <c r="E182" s="141">
        <f ca="1">IFERROR(__xludf.DUMMYFUNCTION("""COMPUTED_VALUE"""),87.08)</f>
        <v>87.08</v>
      </c>
      <c r="F182" s="141">
        <f ca="1">IFERROR(__xludf.DUMMYFUNCTION("""COMPUTED_VALUE"""),87.14)</f>
        <v>87.14</v>
      </c>
      <c r="G182" s="143">
        <f ca="1">IFERROR(__xludf.DUMMYFUNCTION("""COMPUTED_VALUE"""),54679852)</f>
        <v>54679852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IFERROR(__xludf.DUMMYFUNCTION("""COMPUTED_VALUE"""),86.91)</f>
        <v>86.91</v>
      </c>
      <c r="D183" s="141">
        <f ca="1">IFERROR(__xludf.DUMMYFUNCTION("""COMPUTED_VALUE"""),87.25)</f>
        <v>87.25</v>
      </c>
      <c r="E183" s="141">
        <f ca="1">IFERROR(__xludf.DUMMYFUNCTION("""COMPUTED_VALUE"""),86.78)</f>
        <v>86.78</v>
      </c>
      <c r="F183" s="141">
        <f ca="1">IFERROR(__xludf.DUMMYFUNCTION("""COMPUTED_VALUE"""),86.97)</f>
        <v>86.97</v>
      </c>
      <c r="G183" s="143">
        <f ca="1">IFERROR(__xludf.DUMMYFUNCTION("""COMPUTED_VALUE"""),48976970)</f>
        <v>48976970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IFERROR(__xludf.DUMMYFUNCTION("""COMPUTED_VALUE"""),86.93)</f>
        <v>86.93</v>
      </c>
      <c r="D184" s="141">
        <f ca="1">IFERROR(__xludf.DUMMYFUNCTION("""COMPUTED_VALUE"""),87.15)</f>
        <v>87.15</v>
      </c>
      <c r="E184" s="141">
        <f ca="1">IFERROR(__xludf.DUMMYFUNCTION("""COMPUTED_VALUE"""),86.47)</f>
        <v>86.47</v>
      </c>
      <c r="F184" s="141">
        <f ca="1">IFERROR(__xludf.DUMMYFUNCTION("""COMPUTED_VALUE"""),86.54)</f>
        <v>86.54</v>
      </c>
      <c r="G184" s="143">
        <f ca="1">IFERROR(__xludf.DUMMYFUNCTION("""COMPUTED_VALUE"""),43459981)</f>
        <v>43459981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IFERROR(__xludf.DUMMYFUNCTION("""COMPUTED_VALUE"""),87.18)</f>
        <v>87.18</v>
      </c>
      <c r="D185" s="141">
        <f ca="1">IFERROR(__xludf.DUMMYFUNCTION("""COMPUTED_VALUE"""),87.34)</f>
        <v>87.34</v>
      </c>
      <c r="E185" s="141">
        <f ca="1">IFERROR(__xludf.DUMMYFUNCTION("""COMPUTED_VALUE"""),86.96)</f>
        <v>86.96</v>
      </c>
      <c r="F185" s="141">
        <f ca="1">IFERROR(__xludf.DUMMYFUNCTION("""COMPUTED_VALUE"""),87.21)</f>
        <v>87.21</v>
      </c>
      <c r="G185" s="143">
        <f ca="1">IFERROR(__xludf.DUMMYFUNCTION("""COMPUTED_VALUE"""),37341485)</f>
        <v>37341485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IFERROR(__xludf.DUMMYFUNCTION("""COMPUTED_VALUE"""),87.36)</f>
        <v>87.36</v>
      </c>
      <c r="D186" s="141">
        <f ca="1">IFERROR(__xludf.DUMMYFUNCTION("""COMPUTED_VALUE"""),87.57)</f>
        <v>87.57</v>
      </c>
      <c r="E186" s="141">
        <f ca="1">IFERROR(__xludf.DUMMYFUNCTION("""COMPUTED_VALUE"""),87.32)</f>
        <v>87.32</v>
      </c>
      <c r="F186" s="141">
        <f ca="1">IFERROR(__xludf.DUMMYFUNCTION("""COMPUTED_VALUE"""),87.45)</f>
        <v>87.45</v>
      </c>
      <c r="G186" s="143">
        <f ca="1">IFERROR(__xludf.DUMMYFUNCTION("""COMPUTED_VALUE"""),19578067)</f>
        <v>19578067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IFERROR(__xludf.DUMMYFUNCTION("""COMPUTED_VALUE"""),87.36)</f>
        <v>87.36</v>
      </c>
      <c r="D187" s="141">
        <f ca="1">IFERROR(__xludf.DUMMYFUNCTION("""COMPUTED_VALUE"""),87.48)</f>
        <v>87.48</v>
      </c>
      <c r="E187" s="141">
        <f ca="1">IFERROR(__xludf.DUMMYFUNCTION("""COMPUTED_VALUE"""),86.93)</f>
        <v>86.93</v>
      </c>
      <c r="F187" s="141">
        <f ca="1">IFERROR(__xludf.DUMMYFUNCTION("""COMPUTED_VALUE"""),86.96)</f>
        <v>86.96</v>
      </c>
      <c r="G187" s="143">
        <f ca="1">IFERROR(__xludf.DUMMYFUNCTION("""COMPUTED_VALUE"""),37596579)</f>
        <v>37596579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IFERROR(__xludf.DUMMYFUNCTION("""COMPUTED_VALUE"""),87.06)</f>
        <v>87.06</v>
      </c>
      <c r="D188" s="141">
        <f ca="1">IFERROR(__xludf.DUMMYFUNCTION("""COMPUTED_VALUE"""),87.73)</f>
        <v>87.73</v>
      </c>
      <c r="E188" s="141">
        <f ca="1">IFERROR(__xludf.DUMMYFUNCTION("""COMPUTED_VALUE"""),86.97)</f>
        <v>86.97</v>
      </c>
      <c r="F188" s="141">
        <f ca="1">IFERROR(__xludf.DUMMYFUNCTION("""COMPUTED_VALUE"""),87.49)</f>
        <v>87.49</v>
      </c>
      <c r="G188" s="143">
        <f ca="1">IFERROR(__xludf.DUMMYFUNCTION("""COMPUTED_VALUE"""),60307437)</f>
        <v>60307437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IFERROR(__xludf.DUMMYFUNCTION("""COMPUTED_VALUE"""),86.81)</f>
        <v>86.81</v>
      </c>
      <c r="D189" s="141">
        <f ca="1">IFERROR(__xludf.DUMMYFUNCTION("""COMPUTED_VALUE"""),86.86)</f>
        <v>86.86</v>
      </c>
      <c r="E189" s="141">
        <f ca="1">IFERROR(__xludf.DUMMYFUNCTION("""COMPUTED_VALUE"""),85.76)</f>
        <v>85.76</v>
      </c>
      <c r="F189" s="141">
        <f ca="1">IFERROR(__xludf.DUMMYFUNCTION("""COMPUTED_VALUE"""),85.83)</f>
        <v>85.83</v>
      </c>
      <c r="G189" s="143">
        <f ca="1">IFERROR(__xludf.DUMMYFUNCTION("""COMPUTED_VALUE"""),78948516)</f>
        <v>78948516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IFERROR(__xludf.DUMMYFUNCTION("""COMPUTED_VALUE"""),86.18)</f>
        <v>86.18</v>
      </c>
      <c r="D190" s="141">
        <f ca="1">IFERROR(__xludf.DUMMYFUNCTION("""COMPUTED_VALUE"""),86.72)</f>
        <v>86.72</v>
      </c>
      <c r="E190" s="141">
        <f ca="1">IFERROR(__xludf.DUMMYFUNCTION("""COMPUTED_VALUE"""),85.94)</f>
        <v>85.94</v>
      </c>
      <c r="F190" s="141">
        <f ca="1">IFERROR(__xludf.DUMMYFUNCTION("""COMPUTED_VALUE"""),86.39)</f>
        <v>86.39</v>
      </c>
      <c r="G190" s="143">
        <f ca="1">IFERROR(__xludf.DUMMYFUNCTION("""COMPUTED_VALUE"""),69686652)</f>
        <v>69686652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IFERROR(__xludf.DUMMYFUNCTION("""COMPUTED_VALUE"""),85.72)</f>
        <v>85.72</v>
      </c>
      <c r="D191" s="141">
        <f ca="1">IFERROR(__xludf.DUMMYFUNCTION("""COMPUTED_VALUE"""),86.29)</f>
        <v>86.29</v>
      </c>
      <c r="E191" s="141">
        <f ca="1">IFERROR(__xludf.DUMMYFUNCTION("""COMPUTED_VALUE"""),85.56)</f>
        <v>85.56</v>
      </c>
      <c r="F191" s="141">
        <f ca="1">IFERROR(__xludf.DUMMYFUNCTION("""COMPUTED_VALUE"""),86.01)</f>
        <v>86.01</v>
      </c>
      <c r="G191" s="143">
        <f ca="1">IFERROR(__xludf.DUMMYFUNCTION("""COMPUTED_VALUE"""),51799399)</f>
        <v>51799399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IFERROR(__xludf.DUMMYFUNCTION("""COMPUTED_VALUE"""),86.75)</f>
        <v>86.75</v>
      </c>
      <c r="D192" s="141">
        <f ca="1">IFERROR(__xludf.DUMMYFUNCTION("""COMPUTED_VALUE"""),86.88)</f>
        <v>86.88</v>
      </c>
      <c r="E192" s="141">
        <f ca="1">IFERROR(__xludf.DUMMYFUNCTION("""COMPUTED_VALUE"""),86.48)</f>
        <v>86.48</v>
      </c>
      <c r="F192" s="141">
        <f ca="1">IFERROR(__xludf.DUMMYFUNCTION("""COMPUTED_VALUE"""),86.84)</f>
        <v>86.84</v>
      </c>
      <c r="G192" s="143">
        <f ca="1">IFERROR(__xludf.DUMMYFUNCTION("""COMPUTED_VALUE"""),37861005)</f>
        <v>37861005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IFERROR(__xludf.DUMMYFUNCTION("""COMPUTED_VALUE"""),86.34)</f>
        <v>86.34</v>
      </c>
      <c r="D193" s="141">
        <f ca="1">IFERROR(__xludf.DUMMYFUNCTION("""COMPUTED_VALUE"""),86.61)</f>
        <v>86.61</v>
      </c>
      <c r="E193" s="141">
        <f ca="1">IFERROR(__xludf.DUMMYFUNCTION("""COMPUTED_VALUE"""),85.93)</f>
        <v>85.93</v>
      </c>
      <c r="F193" s="141">
        <f ca="1">IFERROR(__xludf.DUMMYFUNCTION("""COMPUTED_VALUE"""),86.11)</f>
        <v>86.11</v>
      </c>
      <c r="G193" s="143">
        <f ca="1">IFERROR(__xludf.DUMMYFUNCTION("""COMPUTED_VALUE"""),39536966)</f>
        <v>39536966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IFERROR(__xludf.DUMMYFUNCTION("""COMPUTED_VALUE"""),85.5)</f>
        <v>85.5</v>
      </c>
      <c r="D194" s="141">
        <f ca="1">IFERROR(__xludf.DUMMYFUNCTION("""COMPUTED_VALUE"""),86.1)</f>
        <v>86.1</v>
      </c>
      <c r="E194" s="141">
        <f ca="1">IFERROR(__xludf.DUMMYFUNCTION("""COMPUTED_VALUE"""),85.45)</f>
        <v>85.45</v>
      </c>
      <c r="F194" s="141">
        <f ca="1">IFERROR(__xludf.DUMMYFUNCTION("""COMPUTED_VALUE"""),85.64)</f>
        <v>85.64</v>
      </c>
      <c r="G194" s="143">
        <f ca="1">IFERROR(__xludf.DUMMYFUNCTION("""COMPUTED_VALUE"""),39928852)</f>
        <v>39928852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IFERROR(__xludf.DUMMYFUNCTION("""COMPUTED_VALUE"""),86.63)</f>
        <v>86.63</v>
      </c>
      <c r="D195" s="141">
        <f ca="1">IFERROR(__xludf.DUMMYFUNCTION("""COMPUTED_VALUE"""),86.95)</f>
        <v>86.95</v>
      </c>
      <c r="E195" s="141">
        <f ca="1">IFERROR(__xludf.DUMMYFUNCTION("""COMPUTED_VALUE"""),86.49)</f>
        <v>86.49</v>
      </c>
      <c r="F195" s="141">
        <f ca="1">IFERROR(__xludf.DUMMYFUNCTION("""COMPUTED_VALUE"""),86.78)</f>
        <v>86.78</v>
      </c>
      <c r="G195" s="143">
        <f ca="1">IFERROR(__xludf.DUMMYFUNCTION("""COMPUTED_VALUE"""),36473153)</f>
        <v>36473153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IFERROR(__xludf.DUMMYFUNCTION("""COMPUTED_VALUE"""),86.93)</f>
        <v>86.93</v>
      </c>
      <c r="D196" s="141">
        <f ca="1">IFERROR(__xludf.DUMMYFUNCTION("""COMPUTED_VALUE"""),87.16)</f>
        <v>87.16</v>
      </c>
      <c r="E196" s="141">
        <f ca="1">IFERROR(__xludf.DUMMYFUNCTION("""COMPUTED_VALUE"""),86.57)</f>
        <v>86.57</v>
      </c>
      <c r="F196" s="141">
        <f ca="1">IFERROR(__xludf.DUMMYFUNCTION("""COMPUTED_VALUE"""),86.69)</f>
        <v>86.69</v>
      </c>
      <c r="G196" s="143">
        <f ca="1">IFERROR(__xludf.DUMMYFUNCTION("""COMPUTED_VALUE"""),47112153)</f>
        <v>47112153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IFERROR(__xludf.DUMMYFUNCTION("""COMPUTED_VALUE"""),86.28)</f>
        <v>86.28</v>
      </c>
      <c r="D197" s="141">
        <f ca="1">IFERROR(__xludf.DUMMYFUNCTION("""COMPUTED_VALUE"""),86.71)</f>
        <v>86.71</v>
      </c>
      <c r="E197" s="141">
        <f ca="1">IFERROR(__xludf.DUMMYFUNCTION("""COMPUTED_VALUE"""),86.23)</f>
        <v>86.23</v>
      </c>
      <c r="F197" s="141">
        <f ca="1">IFERROR(__xludf.DUMMYFUNCTION("""COMPUTED_VALUE"""),86.26)</f>
        <v>86.26</v>
      </c>
      <c r="G197" s="143">
        <f ca="1">IFERROR(__xludf.DUMMYFUNCTION("""COMPUTED_VALUE"""),31157622)</f>
        <v>31157622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IFERROR(__xludf.DUMMYFUNCTION("""COMPUTED_VALUE"""),86.21)</f>
        <v>86.21</v>
      </c>
      <c r="D198" s="141">
        <f ca="1">IFERROR(__xludf.DUMMYFUNCTION("""COMPUTED_VALUE"""),86.85)</f>
        <v>86.85</v>
      </c>
      <c r="E198" s="141">
        <f ca="1">IFERROR(__xludf.DUMMYFUNCTION("""COMPUTED_VALUE"""),86.15)</f>
        <v>86.15</v>
      </c>
      <c r="F198" s="141">
        <f ca="1">IFERROR(__xludf.DUMMYFUNCTION("""COMPUTED_VALUE"""),86.79)</f>
        <v>86.79</v>
      </c>
      <c r="G198" s="143">
        <f ca="1">IFERROR(__xludf.DUMMYFUNCTION("""COMPUTED_VALUE"""),33310584)</f>
        <v>33310584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IFERROR(__xludf.DUMMYFUNCTION("""COMPUTED_VALUE"""),86.5)</f>
        <v>86.5</v>
      </c>
      <c r="D199" s="141">
        <f ca="1">IFERROR(__xludf.DUMMYFUNCTION("""COMPUTED_VALUE"""),86.85)</f>
        <v>86.85</v>
      </c>
      <c r="E199" s="141">
        <f ca="1">IFERROR(__xludf.DUMMYFUNCTION("""COMPUTED_VALUE"""),86.39)</f>
        <v>86.39</v>
      </c>
      <c r="F199" s="141">
        <f ca="1">IFERROR(__xludf.DUMMYFUNCTION("""COMPUTED_VALUE"""),86.65)</f>
        <v>86.65</v>
      </c>
      <c r="G199" s="143">
        <f ca="1">IFERROR(__xludf.DUMMYFUNCTION("""COMPUTED_VALUE"""),14660325)</f>
        <v>14660325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IFERROR(__xludf.DUMMYFUNCTION("""COMPUTED_VALUE"""),86.52)</f>
        <v>86.52</v>
      </c>
      <c r="D200" s="141">
        <f ca="1">IFERROR(__xludf.DUMMYFUNCTION("""COMPUTED_VALUE"""),86.68)</f>
        <v>86.68</v>
      </c>
      <c r="E200" s="141">
        <f ca="1">IFERROR(__xludf.DUMMYFUNCTION("""COMPUTED_VALUE"""),85.91)</f>
        <v>85.91</v>
      </c>
      <c r="F200" s="141">
        <f ca="1">IFERROR(__xludf.DUMMYFUNCTION("""COMPUTED_VALUE"""),86.64)</f>
        <v>86.64</v>
      </c>
      <c r="G200" s="143">
        <f ca="1">IFERROR(__xludf.DUMMYFUNCTION("""COMPUTED_VALUE"""),22747228)</f>
        <v>22747228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IFERROR(__xludf.DUMMYFUNCTION("""COMPUTED_VALUE"""),87.36)</f>
        <v>87.36</v>
      </c>
      <c r="D201" s="141">
        <f ca="1">IFERROR(__xludf.DUMMYFUNCTION("""COMPUTED_VALUE"""),87.37)</f>
        <v>87.37</v>
      </c>
      <c r="E201" s="141">
        <f ca="1">IFERROR(__xludf.DUMMYFUNCTION("""COMPUTED_VALUE"""),86.73)</f>
        <v>86.73</v>
      </c>
      <c r="F201" s="141">
        <f ca="1">IFERROR(__xludf.DUMMYFUNCTION("""COMPUTED_VALUE"""),86.92)</f>
        <v>86.92</v>
      </c>
      <c r="G201" s="143">
        <f ca="1">IFERROR(__xludf.DUMMYFUNCTION("""COMPUTED_VALUE"""),22244916)</f>
        <v>22244916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IFERROR(__xludf.DUMMYFUNCTION("""COMPUTED_VALUE"""),86.69)</f>
        <v>86.69</v>
      </c>
      <c r="D202" s="141">
        <f ca="1">IFERROR(__xludf.DUMMYFUNCTION("""COMPUTED_VALUE"""),87.13)</f>
        <v>87.13</v>
      </c>
      <c r="E202" s="141">
        <f ca="1">IFERROR(__xludf.DUMMYFUNCTION("""COMPUTED_VALUE"""),86.39)</f>
        <v>86.39</v>
      </c>
      <c r="F202" s="141">
        <f ca="1">IFERROR(__xludf.DUMMYFUNCTION("""COMPUTED_VALUE"""),86.7)</f>
        <v>86.7</v>
      </c>
      <c r="G202" s="143">
        <f ca="1">IFERROR(__xludf.DUMMYFUNCTION("""COMPUTED_VALUE"""),18909083)</f>
        <v>18909083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IFERROR(__xludf.DUMMYFUNCTION("""COMPUTED_VALUE"""),86.6)</f>
        <v>86.6</v>
      </c>
      <c r="D203" s="141">
        <f ca="1">IFERROR(__xludf.DUMMYFUNCTION("""COMPUTED_VALUE"""),86.68)</f>
        <v>86.68</v>
      </c>
      <c r="E203" s="141">
        <f ca="1">IFERROR(__xludf.DUMMYFUNCTION("""COMPUTED_VALUE"""),86.33)</f>
        <v>86.33</v>
      </c>
      <c r="F203" s="141">
        <f ca="1">IFERROR(__xludf.DUMMYFUNCTION("""COMPUTED_VALUE"""),86.49)</f>
        <v>86.49</v>
      </c>
      <c r="G203" s="143">
        <f ca="1">IFERROR(__xludf.DUMMYFUNCTION("""COMPUTED_VALUE"""),13247732)</f>
        <v>13247732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IFERROR(__xludf.DUMMYFUNCTION("""COMPUTED_VALUE"""),86.44)</f>
        <v>86.44</v>
      </c>
      <c r="D204" s="141">
        <f ca="1">IFERROR(__xludf.DUMMYFUNCTION("""COMPUTED_VALUE"""),86.8)</f>
        <v>86.8</v>
      </c>
      <c r="E204" s="141">
        <f ca="1">IFERROR(__xludf.DUMMYFUNCTION("""COMPUTED_VALUE"""),86.25)</f>
        <v>86.25</v>
      </c>
      <c r="F204" s="141">
        <f ca="1">IFERROR(__xludf.DUMMYFUNCTION("""COMPUTED_VALUE"""),86.75)</f>
        <v>86.75</v>
      </c>
      <c r="G204" s="143">
        <f ca="1">IFERROR(__xludf.DUMMYFUNCTION("""COMPUTED_VALUE"""),12719727)</f>
        <v>12719727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IFERROR(__xludf.DUMMYFUNCTION("""COMPUTED_VALUE"""),86.7)</f>
        <v>86.7</v>
      </c>
      <c r="D205" s="141">
        <f ca="1">IFERROR(__xludf.DUMMYFUNCTION("""COMPUTED_VALUE"""),87.24)</f>
        <v>87.24</v>
      </c>
      <c r="E205" s="141">
        <f ca="1">IFERROR(__xludf.DUMMYFUNCTION("""COMPUTED_VALUE"""),86.63)</f>
        <v>86.63</v>
      </c>
      <c r="F205" s="141">
        <f ca="1">IFERROR(__xludf.DUMMYFUNCTION("""COMPUTED_VALUE"""),87.21)</f>
        <v>87.21</v>
      </c>
      <c r="G205" s="143">
        <f ca="1">IFERROR(__xludf.DUMMYFUNCTION("""COMPUTED_VALUE"""),16606918)</f>
        <v>16606918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IFERROR(__xludf.DUMMYFUNCTION("""COMPUTED_VALUE"""),87.02)</f>
        <v>87.02</v>
      </c>
      <c r="D206" s="141">
        <f ca="1">IFERROR(__xludf.DUMMYFUNCTION("""COMPUTED_VALUE"""),87.07)</f>
        <v>87.07</v>
      </c>
      <c r="E206" s="141">
        <f ca="1">IFERROR(__xludf.DUMMYFUNCTION("""COMPUTED_VALUE"""),86.73)</f>
        <v>86.73</v>
      </c>
      <c r="F206" s="141">
        <f ca="1">IFERROR(__xludf.DUMMYFUNCTION("""COMPUTED_VALUE"""),86.83)</f>
        <v>86.83</v>
      </c>
      <c r="G206" s="143">
        <f ca="1">IFERROR(__xludf.DUMMYFUNCTION("""COMPUTED_VALUE"""),15119636)</f>
        <v>15119636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IFERROR(__xludf.DUMMYFUNCTION("""COMPUTED_VALUE"""),86.92)</f>
        <v>86.92</v>
      </c>
      <c r="D207" s="141">
        <f ca="1">IFERROR(__xludf.DUMMYFUNCTION("""COMPUTED_VALUE"""),86.97)</f>
        <v>86.97</v>
      </c>
      <c r="E207" s="141">
        <f ca="1">IFERROR(__xludf.DUMMYFUNCTION("""COMPUTED_VALUE"""),86.2)</f>
        <v>86.2</v>
      </c>
      <c r="F207" s="141">
        <f ca="1">IFERROR(__xludf.DUMMYFUNCTION("""COMPUTED_VALUE"""),86.28)</f>
        <v>86.28</v>
      </c>
      <c r="G207" s="143">
        <f ca="1">IFERROR(__xludf.DUMMYFUNCTION("""COMPUTED_VALUE"""),20001034)</f>
        <v>20001034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IFERROR(__xludf.DUMMYFUNCTION("""COMPUTED_VALUE"""),87.05)</f>
        <v>87.05</v>
      </c>
      <c r="D208" s="141">
        <f ca="1">IFERROR(__xludf.DUMMYFUNCTION("""COMPUTED_VALUE"""),87.21)</f>
        <v>87.21</v>
      </c>
      <c r="E208" s="141">
        <f ca="1">IFERROR(__xludf.DUMMYFUNCTION("""COMPUTED_VALUE"""),86.89)</f>
        <v>86.89</v>
      </c>
      <c r="F208" s="141">
        <f ca="1">IFERROR(__xludf.DUMMYFUNCTION("""COMPUTED_VALUE"""),87.07)</f>
        <v>87.07</v>
      </c>
      <c r="G208" s="143">
        <f ca="1">IFERROR(__xludf.DUMMYFUNCTION("""COMPUTED_VALUE"""),29604128)</f>
        <v>29604128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IFERROR(__xludf.DUMMYFUNCTION("""COMPUTED_VALUE"""),87.11)</f>
        <v>87.11</v>
      </c>
      <c r="D209" s="141">
        <f ca="1">IFERROR(__xludf.DUMMYFUNCTION("""COMPUTED_VALUE"""),87.13)</f>
        <v>87.13</v>
      </c>
      <c r="E209" s="141">
        <f ca="1">IFERROR(__xludf.DUMMYFUNCTION("""COMPUTED_VALUE"""),86.71)</f>
        <v>86.71</v>
      </c>
      <c r="F209" s="141">
        <f ca="1">IFERROR(__xludf.DUMMYFUNCTION("""COMPUTED_VALUE"""),87.05)</f>
        <v>87.05</v>
      </c>
      <c r="G209" s="143">
        <f ca="1">IFERROR(__xludf.DUMMYFUNCTION("""COMPUTED_VALUE"""),14623480)</f>
        <v>14623480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IFERROR(__xludf.DUMMYFUNCTION("""COMPUTED_VALUE"""),86.97)</f>
        <v>86.97</v>
      </c>
      <c r="D210" s="141">
        <f ca="1">IFERROR(__xludf.DUMMYFUNCTION("""COMPUTED_VALUE"""),87.09)</f>
        <v>87.09</v>
      </c>
      <c r="E210" s="141">
        <f ca="1">IFERROR(__xludf.DUMMYFUNCTION("""COMPUTED_VALUE"""),86.53)</f>
        <v>86.53</v>
      </c>
      <c r="F210" s="141">
        <f ca="1">IFERROR(__xludf.DUMMYFUNCTION("""COMPUTED_VALUE"""),86.57)</f>
        <v>86.57</v>
      </c>
      <c r="G210" s="143">
        <f ca="1">IFERROR(__xludf.DUMMYFUNCTION("""COMPUTED_VALUE"""),19798693)</f>
        <v>19798693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IFERROR(__xludf.DUMMYFUNCTION("""COMPUTED_VALUE"""),87.05)</f>
        <v>87.05</v>
      </c>
      <c r="D211" s="141">
        <f ca="1">IFERROR(__xludf.DUMMYFUNCTION("""COMPUTED_VALUE"""),87.16)</f>
        <v>87.16</v>
      </c>
      <c r="E211" s="141">
        <f ca="1">IFERROR(__xludf.DUMMYFUNCTION("""COMPUTED_VALUE"""),86.71)</f>
        <v>86.71</v>
      </c>
      <c r="F211" s="141">
        <f ca="1">IFERROR(__xludf.DUMMYFUNCTION("""COMPUTED_VALUE"""),86.74)</f>
        <v>86.74</v>
      </c>
      <c r="G211" s="143">
        <f ca="1">IFERROR(__xludf.DUMMYFUNCTION("""COMPUTED_VALUE"""),13676816)</f>
        <v>13676816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IFERROR(__xludf.DUMMYFUNCTION("""COMPUTED_VALUE"""),86.83)</f>
        <v>86.83</v>
      </c>
      <c r="D212" s="141">
        <f ca="1">IFERROR(__xludf.DUMMYFUNCTION("""COMPUTED_VALUE"""),87.04)</f>
        <v>87.04</v>
      </c>
      <c r="E212" s="141">
        <f ca="1">IFERROR(__xludf.DUMMYFUNCTION("""COMPUTED_VALUE"""),86.24)</f>
        <v>86.24</v>
      </c>
      <c r="F212" s="141">
        <f ca="1">IFERROR(__xludf.DUMMYFUNCTION("""COMPUTED_VALUE"""),86.55)</f>
        <v>86.55</v>
      </c>
      <c r="G212" s="143">
        <f ca="1">IFERROR(__xludf.DUMMYFUNCTION("""COMPUTED_VALUE"""),21106665)</f>
        <v>21106665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IFERROR(__xludf.DUMMYFUNCTION("""COMPUTED_VALUE"""),86.46)</f>
        <v>86.46</v>
      </c>
      <c r="D213" s="141">
        <f ca="1">IFERROR(__xludf.DUMMYFUNCTION("""COMPUTED_VALUE"""),86.82)</f>
        <v>86.82</v>
      </c>
      <c r="E213" s="141">
        <f ca="1">IFERROR(__xludf.DUMMYFUNCTION("""COMPUTED_VALUE"""),86.25)</f>
        <v>86.25</v>
      </c>
      <c r="F213" s="141">
        <f ca="1">IFERROR(__xludf.DUMMYFUNCTION("""COMPUTED_VALUE"""),86.71)</f>
        <v>86.71</v>
      </c>
      <c r="G213" s="143">
        <f ca="1">IFERROR(__xludf.DUMMYFUNCTION("""COMPUTED_VALUE"""),22285741)</f>
        <v>22285741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IFERROR(__xludf.DUMMYFUNCTION("""COMPUTED_VALUE"""),86.49)</f>
        <v>86.49</v>
      </c>
      <c r="D214" s="141">
        <f ca="1">IFERROR(__xludf.DUMMYFUNCTION("""COMPUTED_VALUE"""),86.62)</f>
        <v>86.62</v>
      </c>
      <c r="E214" s="141">
        <f ca="1">IFERROR(__xludf.DUMMYFUNCTION("""COMPUTED_VALUE"""),86.19)</f>
        <v>86.19</v>
      </c>
      <c r="F214" s="141">
        <f ca="1">IFERROR(__xludf.DUMMYFUNCTION("""COMPUTED_VALUE"""),86.28)</f>
        <v>86.28</v>
      </c>
      <c r="G214" s="143">
        <f ca="1">IFERROR(__xludf.DUMMYFUNCTION("""COMPUTED_VALUE"""),19250144)</f>
        <v>19250144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IFERROR(__xludf.DUMMYFUNCTION("""COMPUTED_VALUE"""),86.12)</f>
        <v>86.12</v>
      </c>
      <c r="D215" s="141">
        <f ca="1">IFERROR(__xludf.DUMMYFUNCTION("""COMPUTED_VALUE"""),86.37)</f>
        <v>86.37</v>
      </c>
      <c r="E215" s="141">
        <f ca="1">IFERROR(__xludf.DUMMYFUNCTION("""COMPUTED_VALUE"""),85.94)</f>
        <v>85.94</v>
      </c>
      <c r="F215" s="141">
        <f ca="1">IFERROR(__xludf.DUMMYFUNCTION("""COMPUTED_VALUE"""),86.37)</f>
        <v>86.37</v>
      </c>
      <c r="G215" s="143">
        <f ca="1">IFERROR(__xludf.DUMMYFUNCTION("""COMPUTED_VALUE"""),14553573)</f>
        <v>14553573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IFERROR(__xludf.DUMMYFUNCTION("""COMPUTED_VALUE"""),85.99)</f>
        <v>85.99</v>
      </c>
      <c r="D216" s="141">
        <f ca="1">IFERROR(__xludf.DUMMYFUNCTION("""COMPUTED_VALUE"""),85.99)</f>
        <v>85.99</v>
      </c>
      <c r="E216" s="141">
        <f ca="1">IFERROR(__xludf.DUMMYFUNCTION("""COMPUTED_VALUE"""),85.55)</f>
        <v>85.55</v>
      </c>
      <c r="F216" s="141">
        <f ca="1">IFERROR(__xludf.DUMMYFUNCTION("""COMPUTED_VALUE"""),85.7)</f>
        <v>85.7</v>
      </c>
      <c r="G216" s="143">
        <f ca="1">IFERROR(__xludf.DUMMYFUNCTION("""COMPUTED_VALUE"""),29020824)</f>
        <v>29020824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IFERROR(__xludf.DUMMYFUNCTION("""COMPUTED_VALUE"""),85.89)</f>
        <v>85.89</v>
      </c>
      <c r="D217" s="141">
        <f ca="1">IFERROR(__xludf.DUMMYFUNCTION("""COMPUTED_VALUE"""),85.9)</f>
        <v>85.9</v>
      </c>
      <c r="E217" s="141">
        <f ca="1">IFERROR(__xludf.DUMMYFUNCTION("""COMPUTED_VALUE"""),85.39)</f>
        <v>85.39</v>
      </c>
      <c r="F217" s="141">
        <f ca="1">IFERROR(__xludf.DUMMYFUNCTION("""COMPUTED_VALUE"""),85.62)</f>
        <v>85.62</v>
      </c>
      <c r="G217" s="143">
        <f ca="1">IFERROR(__xludf.DUMMYFUNCTION("""COMPUTED_VALUE"""),28516181)</f>
        <v>28516181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IFERROR(__xludf.DUMMYFUNCTION("""COMPUTED_VALUE"""),85.5)</f>
        <v>85.5</v>
      </c>
      <c r="D218" s="141">
        <f ca="1">IFERROR(__xludf.DUMMYFUNCTION("""COMPUTED_VALUE"""),86)</f>
        <v>86</v>
      </c>
      <c r="E218" s="141">
        <f ca="1">IFERROR(__xludf.DUMMYFUNCTION("""COMPUTED_VALUE"""),85.34)</f>
        <v>85.34</v>
      </c>
      <c r="F218" s="141">
        <f ca="1">IFERROR(__xludf.DUMMYFUNCTION("""COMPUTED_VALUE"""),85.61)</f>
        <v>85.61</v>
      </c>
      <c r="G218" s="143">
        <f ca="1">IFERROR(__xludf.DUMMYFUNCTION("""COMPUTED_VALUE"""),21280952)</f>
        <v>21280952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IFERROR(__xludf.DUMMYFUNCTION("""COMPUTED_VALUE"""),85.35)</f>
        <v>85.35</v>
      </c>
      <c r="D219" s="141">
        <f ca="1">IFERROR(__xludf.DUMMYFUNCTION("""COMPUTED_VALUE"""),85.36)</f>
        <v>85.36</v>
      </c>
      <c r="E219" s="141">
        <f ca="1">IFERROR(__xludf.DUMMYFUNCTION("""COMPUTED_VALUE"""),84.76)</f>
        <v>84.76</v>
      </c>
      <c r="F219" s="141">
        <f ca="1">IFERROR(__xludf.DUMMYFUNCTION("""COMPUTED_VALUE"""),84.96)</f>
        <v>84.96</v>
      </c>
      <c r="G219" s="143">
        <f ca="1">IFERROR(__xludf.DUMMYFUNCTION("""COMPUTED_VALUE"""),27226010)</f>
        <v>27226010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IFERROR(__xludf.DUMMYFUNCTION("""COMPUTED_VALUE"""),85.15)</f>
        <v>85.15</v>
      </c>
      <c r="D220" s="141">
        <f ca="1">IFERROR(__xludf.DUMMYFUNCTION("""COMPUTED_VALUE"""),85.49)</f>
        <v>85.49</v>
      </c>
      <c r="E220" s="141">
        <f ca="1">IFERROR(__xludf.DUMMYFUNCTION("""COMPUTED_VALUE"""),85.09)</f>
        <v>85.09</v>
      </c>
      <c r="F220" s="141">
        <f ca="1">IFERROR(__xludf.DUMMYFUNCTION("""COMPUTED_VALUE"""),85.43)</f>
        <v>85.43</v>
      </c>
      <c r="G220" s="143">
        <f ca="1">IFERROR(__xludf.DUMMYFUNCTION("""COMPUTED_VALUE"""),18226455)</f>
        <v>18226455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IFERROR(__xludf.DUMMYFUNCTION("""COMPUTED_VALUE"""),86.05)</f>
        <v>86.05</v>
      </c>
      <c r="D221" s="141">
        <f ca="1">IFERROR(__xludf.DUMMYFUNCTION("""COMPUTED_VALUE"""),86.17)</f>
        <v>86.17</v>
      </c>
      <c r="E221" s="141">
        <f ca="1">IFERROR(__xludf.DUMMYFUNCTION("""COMPUTED_VALUE"""),85.92)</f>
        <v>85.92</v>
      </c>
      <c r="F221" s="141">
        <f ca="1">IFERROR(__xludf.DUMMYFUNCTION("""COMPUTED_VALUE"""),86.08)</f>
        <v>86.08</v>
      </c>
      <c r="G221" s="143">
        <f ca="1">IFERROR(__xludf.DUMMYFUNCTION("""COMPUTED_VALUE"""),22530704)</f>
        <v>22530704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IFERROR(__xludf.DUMMYFUNCTION("""COMPUTED_VALUE"""),86.28)</f>
        <v>86.28</v>
      </c>
      <c r="D222" s="141">
        <f ca="1">IFERROR(__xludf.DUMMYFUNCTION("""COMPUTED_VALUE"""),86.29)</f>
        <v>86.29</v>
      </c>
      <c r="E222" s="141">
        <f ca="1">IFERROR(__xludf.DUMMYFUNCTION("""COMPUTED_VALUE"""),85.6)</f>
        <v>85.6</v>
      </c>
      <c r="F222" s="141">
        <f ca="1">IFERROR(__xludf.DUMMYFUNCTION("""COMPUTED_VALUE"""),85.65)</f>
        <v>85.65</v>
      </c>
      <c r="G222" s="143">
        <f ca="1">IFERROR(__xludf.DUMMYFUNCTION("""COMPUTED_VALUE"""),21178332)</f>
        <v>21178332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IFERROR(__xludf.DUMMYFUNCTION("""COMPUTED_VALUE"""),86.06)</f>
        <v>86.06</v>
      </c>
      <c r="D223" s="141">
        <f ca="1">IFERROR(__xludf.DUMMYFUNCTION("""COMPUTED_VALUE"""),86.28)</f>
        <v>86.28</v>
      </c>
      <c r="E223" s="141">
        <f ca="1">IFERROR(__xludf.DUMMYFUNCTION("""COMPUTED_VALUE"""),85.99)</f>
        <v>85.99</v>
      </c>
      <c r="F223" s="141">
        <f ca="1">IFERROR(__xludf.DUMMYFUNCTION("""COMPUTED_VALUE"""),86.08)</f>
        <v>86.08</v>
      </c>
      <c r="G223" s="143">
        <f ca="1">IFERROR(__xludf.DUMMYFUNCTION("""COMPUTED_VALUE"""),30797630)</f>
        <v>30797630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IFERROR(__xludf.DUMMYFUNCTION("""COMPUTED_VALUE"""),85.88)</f>
        <v>85.88</v>
      </c>
      <c r="D224" s="141">
        <f ca="1">IFERROR(__xludf.DUMMYFUNCTION("""COMPUTED_VALUE"""),85.92)</f>
        <v>85.92</v>
      </c>
      <c r="E224" s="141">
        <f ca="1">IFERROR(__xludf.DUMMYFUNCTION("""COMPUTED_VALUE"""),85.49)</f>
        <v>85.49</v>
      </c>
      <c r="F224" s="141">
        <f ca="1">IFERROR(__xludf.DUMMYFUNCTION("""COMPUTED_VALUE"""),85.56)</f>
        <v>85.56</v>
      </c>
      <c r="G224" s="143">
        <f ca="1">IFERROR(__xludf.DUMMYFUNCTION("""COMPUTED_VALUE"""),17713654)</f>
        <v>17713654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IFERROR(__xludf.DUMMYFUNCTION("""COMPUTED_VALUE"""),85.19)</f>
        <v>85.19</v>
      </c>
      <c r="D225" s="141">
        <f ca="1">IFERROR(__xludf.DUMMYFUNCTION("""COMPUTED_VALUE"""),85.2)</f>
        <v>85.2</v>
      </c>
      <c r="E225" s="141">
        <f ca="1">IFERROR(__xludf.DUMMYFUNCTION("""COMPUTED_VALUE"""),84.92)</f>
        <v>84.92</v>
      </c>
      <c r="F225" s="141">
        <f ca="1">IFERROR(__xludf.DUMMYFUNCTION("""COMPUTED_VALUE"""),84.99)</f>
        <v>84.99</v>
      </c>
      <c r="G225" s="143">
        <f ca="1">IFERROR(__xludf.DUMMYFUNCTION("""COMPUTED_VALUE"""),27680614)</f>
        <v>27680614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IFERROR(__xludf.DUMMYFUNCTION("""COMPUTED_VALUE"""),84.94)</f>
        <v>84.94</v>
      </c>
      <c r="D226" s="141">
        <f ca="1">IFERROR(__xludf.DUMMYFUNCTION("""COMPUTED_VALUE"""),85.05)</f>
        <v>85.05</v>
      </c>
      <c r="E226" s="141">
        <f ca="1">IFERROR(__xludf.DUMMYFUNCTION("""COMPUTED_VALUE"""),84.59)</f>
        <v>84.59</v>
      </c>
      <c r="F226" s="141">
        <f ca="1">IFERROR(__xludf.DUMMYFUNCTION("""COMPUTED_VALUE"""),84.8)</f>
        <v>84.8</v>
      </c>
      <c r="G226" s="143">
        <f ca="1">IFERROR(__xludf.DUMMYFUNCTION("""COMPUTED_VALUE"""),26295100)</f>
        <v>26295100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IFERROR(__xludf.DUMMYFUNCTION("""COMPUTED_VALUE"""),85.26)</f>
        <v>85.26</v>
      </c>
      <c r="D227" s="141">
        <f ca="1">IFERROR(__xludf.DUMMYFUNCTION("""COMPUTED_VALUE"""),85.38)</f>
        <v>85.38</v>
      </c>
      <c r="E227" s="141">
        <f ca="1">IFERROR(__xludf.DUMMYFUNCTION("""COMPUTED_VALUE"""),84.91)</f>
        <v>84.91</v>
      </c>
      <c r="F227" s="141">
        <f ca="1">IFERROR(__xludf.DUMMYFUNCTION("""COMPUTED_VALUE"""),84.92)</f>
        <v>84.92</v>
      </c>
      <c r="G227" s="143">
        <f ca="1">IFERROR(__xludf.DUMMYFUNCTION("""COMPUTED_VALUE"""),25247190)</f>
        <v>25247190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IFERROR(__xludf.DUMMYFUNCTION("""COMPUTED_VALUE"""),83.87)</f>
        <v>83.87</v>
      </c>
      <c r="D228" s="141">
        <f ca="1">IFERROR(__xludf.DUMMYFUNCTION("""COMPUTED_VALUE"""),83.97)</f>
        <v>83.97</v>
      </c>
      <c r="E228" s="141">
        <f ca="1">IFERROR(__xludf.DUMMYFUNCTION("""COMPUTED_VALUE"""),83.59)</f>
        <v>83.59</v>
      </c>
      <c r="F228" s="141">
        <f ca="1">IFERROR(__xludf.DUMMYFUNCTION("""COMPUTED_VALUE"""),83.66)</f>
        <v>83.66</v>
      </c>
      <c r="G228" s="143">
        <f ca="1">IFERROR(__xludf.DUMMYFUNCTION("""COMPUTED_VALUE"""),50795960)</f>
        <v>50795960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IFERROR(__xludf.DUMMYFUNCTION("""COMPUTED_VALUE"""),83.7)</f>
        <v>83.7</v>
      </c>
      <c r="D229" s="141">
        <f ca="1">IFERROR(__xludf.DUMMYFUNCTION("""COMPUTED_VALUE"""),83.92)</f>
        <v>83.92</v>
      </c>
      <c r="E229" s="141">
        <f ca="1">IFERROR(__xludf.DUMMYFUNCTION("""COMPUTED_VALUE"""),83.32)</f>
        <v>83.32</v>
      </c>
      <c r="F229" s="141">
        <f ca="1">IFERROR(__xludf.DUMMYFUNCTION("""COMPUTED_VALUE"""),83.56)</f>
        <v>83.56</v>
      </c>
      <c r="G229" s="143">
        <f ca="1">IFERROR(__xludf.DUMMYFUNCTION("""COMPUTED_VALUE"""),26166181)</f>
        <v>26166181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IFERROR(__xludf.DUMMYFUNCTION("""COMPUTED_VALUE"""),82.96)</f>
        <v>82.96</v>
      </c>
      <c r="D230" s="141">
        <f ca="1">IFERROR(__xludf.DUMMYFUNCTION("""COMPUTED_VALUE"""),83.23)</f>
        <v>83.23</v>
      </c>
      <c r="E230" s="141">
        <f ca="1">IFERROR(__xludf.DUMMYFUNCTION("""COMPUTED_VALUE"""),82.77)</f>
        <v>82.77</v>
      </c>
      <c r="F230" s="141">
        <f ca="1">IFERROR(__xludf.DUMMYFUNCTION("""COMPUTED_VALUE"""),83.02)</f>
        <v>83.02</v>
      </c>
      <c r="G230" s="143">
        <f ca="1">IFERROR(__xludf.DUMMYFUNCTION("""COMPUTED_VALUE"""),35346603)</f>
        <v>35346603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IFERROR(__xludf.DUMMYFUNCTION("""COMPUTED_VALUE"""),83.06)</f>
        <v>83.06</v>
      </c>
      <c r="D231" s="141">
        <f ca="1">IFERROR(__xludf.DUMMYFUNCTION("""COMPUTED_VALUE"""),84)</f>
        <v>84</v>
      </c>
      <c r="E231" s="141">
        <f ca="1">IFERROR(__xludf.DUMMYFUNCTION("""COMPUTED_VALUE"""),83.04)</f>
        <v>83.04</v>
      </c>
      <c r="F231" s="141">
        <f ca="1">IFERROR(__xludf.DUMMYFUNCTION("""COMPUTED_VALUE"""),83.91)</f>
        <v>83.91</v>
      </c>
      <c r="G231" s="143">
        <f ca="1">IFERROR(__xludf.DUMMYFUNCTION("""COMPUTED_VALUE"""),44498000)</f>
        <v>44498000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IFERROR(__xludf.DUMMYFUNCTION("""COMPUTED_VALUE"""),83.62)</f>
        <v>83.62</v>
      </c>
      <c r="D232" s="141">
        <f ca="1">IFERROR(__xludf.DUMMYFUNCTION("""COMPUTED_VALUE"""),84.26)</f>
        <v>84.26</v>
      </c>
      <c r="E232" s="141">
        <f ca="1">IFERROR(__xludf.DUMMYFUNCTION("""COMPUTED_VALUE"""),83.33)</f>
        <v>83.33</v>
      </c>
      <c r="F232" s="141">
        <f ca="1">IFERROR(__xludf.DUMMYFUNCTION("""COMPUTED_VALUE"""),84.22)</f>
        <v>84.22</v>
      </c>
      <c r="G232" s="143">
        <f ca="1">IFERROR(__xludf.DUMMYFUNCTION("""COMPUTED_VALUE"""),24887001)</f>
        <v>24887001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IFERROR(__xludf.DUMMYFUNCTION("""COMPUTED_VALUE"""),84.61)</f>
        <v>84.61</v>
      </c>
      <c r="D233" s="141">
        <f ca="1">IFERROR(__xludf.DUMMYFUNCTION("""COMPUTED_VALUE"""),84.68)</f>
        <v>84.68</v>
      </c>
      <c r="E233" s="141">
        <f ca="1">IFERROR(__xludf.DUMMYFUNCTION("""COMPUTED_VALUE"""),84.14)</f>
        <v>84.14</v>
      </c>
      <c r="F233" s="141">
        <f ca="1">IFERROR(__xludf.DUMMYFUNCTION("""COMPUTED_VALUE"""),84.68)</f>
        <v>84.68</v>
      </c>
      <c r="G233" s="143">
        <f ca="1">IFERROR(__xludf.DUMMYFUNCTION("""COMPUTED_VALUE"""),27987659)</f>
        <v>27987659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IFERROR(__xludf.DUMMYFUNCTION("""COMPUTED_VALUE"""),85.34)</f>
        <v>85.34</v>
      </c>
      <c r="D234" s="141">
        <f ca="1">IFERROR(__xludf.DUMMYFUNCTION("""COMPUTED_VALUE"""),85.38)</f>
        <v>85.38</v>
      </c>
      <c r="E234" s="141">
        <f ca="1">IFERROR(__xludf.DUMMYFUNCTION("""COMPUTED_VALUE"""),84.9)</f>
        <v>84.9</v>
      </c>
      <c r="F234" s="141">
        <f ca="1">IFERROR(__xludf.DUMMYFUNCTION("""COMPUTED_VALUE"""),85.1)</f>
        <v>85.1</v>
      </c>
      <c r="G234" s="143">
        <f ca="1">IFERROR(__xludf.DUMMYFUNCTION("""COMPUTED_VALUE"""),22531218)</f>
        <v>22531218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IFERROR(__xludf.DUMMYFUNCTION("""COMPUTED_VALUE"""),85.25)</f>
        <v>85.25</v>
      </c>
      <c r="D235" s="141">
        <f ca="1">IFERROR(__xludf.DUMMYFUNCTION("""COMPUTED_VALUE"""),85.48)</f>
        <v>85.48</v>
      </c>
      <c r="E235" s="141">
        <f ca="1">IFERROR(__xludf.DUMMYFUNCTION("""COMPUTED_VALUE"""),85.15)</f>
        <v>85.15</v>
      </c>
      <c r="F235" s="141">
        <f ca="1">IFERROR(__xludf.DUMMYFUNCTION("""COMPUTED_VALUE"""),85.3)</f>
        <v>85.3</v>
      </c>
      <c r="G235" s="143">
        <f ca="1">IFERROR(__xludf.DUMMYFUNCTION("""COMPUTED_VALUE"""),23589557)</f>
        <v>23589557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IFERROR(__xludf.DUMMYFUNCTION("""COMPUTED_VALUE"""),85.36)</f>
        <v>85.36</v>
      </c>
      <c r="D236" s="141">
        <f ca="1">IFERROR(__xludf.DUMMYFUNCTION("""COMPUTED_VALUE"""),85.85)</f>
        <v>85.85</v>
      </c>
      <c r="E236" s="141">
        <f ca="1">IFERROR(__xludf.DUMMYFUNCTION("""COMPUTED_VALUE"""),85.27)</f>
        <v>85.27</v>
      </c>
      <c r="F236" s="141">
        <f ca="1">IFERROR(__xludf.DUMMYFUNCTION("""COMPUTED_VALUE"""),85.74)</f>
        <v>85.74</v>
      </c>
      <c r="G236" s="143">
        <f ca="1">IFERROR(__xludf.DUMMYFUNCTION("""COMPUTED_VALUE"""),25417299)</f>
        <v>25417299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IFERROR(__xludf.DUMMYFUNCTION("""COMPUTED_VALUE"""),85.81)</f>
        <v>85.81</v>
      </c>
      <c r="D237" s="141">
        <f ca="1">IFERROR(__xludf.DUMMYFUNCTION("""COMPUTED_VALUE"""),85.96)</f>
        <v>85.96</v>
      </c>
      <c r="E237" s="141">
        <f ca="1">IFERROR(__xludf.DUMMYFUNCTION("""COMPUTED_VALUE"""),85.55)</f>
        <v>85.55</v>
      </c>
      <c r="F237" s="141">
        <f ca="1">IFERROR(__xludf.DUMMYFUNCTION("""COMPUTED_VALUE"""),85.76)</f>
        <v>85.76</v>
      </c>
      <c r="G237" s="143">
        <f ca="1">IFERROR(__xludf.DUMMYFUNCTION("""COMPUTED_VALUE"""),33118565)</f>
        <v>33118565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IFERROR(__xludf.DUMMYFUNCTION("""COMPUTED_VALUE"""),84.93)</f>
        <v>84.93</v>
      </c>
      <c r="D238" s="141">
        <f ca="1">IFERROR(__xludf.DUMMYFUNCTION("""COMPUTED_VALUE"""),85.54)</f>
        <v>85.54</v>
      </c>
      <c r="E238" s="141">
        <f ca="1">IFERROR(__xludf.DUMMYFUNCTION("""COMPUTED_VALUE"""),84.8)</f>
        <v>84.8</v>
      </c>
      <c r="F238" s="141">
        <f ca="1">IFERROR(__xludf.DUMMYFUNCTION("""COMPUTED_VALUE"""),85.47)</f>
        <v>85.47</v>
      </c>
      <c r="G238" s="143">
        <f ca="1">IFERROR(__xludf.DUMMYFUNCTION("""COMPUTED_VALUE"""),26322365)</f>
        <v>26322365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IFERROR(__xludf.DUMMYFUNCTION("""COMPUTED_VALUE"""),85.8)</f>
        <v>85.8</v>
      </c>
      <c r="D239" s="141">
        <f ca="1">IFERROR(__xludf.DUMMYFUNCTION("""COMPUTED_VALUE"""),85.82)</f>
        <v>85.82</v>
      </c>
      <c r="E239" s="141">
        <f ca="1">IFERROR(__xludf.DUMMYFUNCTION("""COMPUTED_VALUE"""),85.5)</f>
        <v>85.5</v>
      </c>
      <c r="F239" s="141">
        <f ca="1">IFERROR(__xludf.DUMMYFUNCTION("""COMPUTED_VALUE"""),85.65)</f>
        <v>85.65</v>
      </c>
      <c r="G239" s="143">
        <f ca="1">IFERROR(__xludf.DUMMYFUNCTION("""COMPUTED_VALUE"""),20319049)</f>
        <v>20319049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IFERROR(__xludf.DUMMYFUNCTION("""COMPUTED_VALUE"""),85.29)</f>
        <v>85.29</v>
      </c>
      <c r="D240" s="141">
        <f ca="1">IFERROR(__xludf.DUMMYFUNCTION("""COMPUTED_VALUE"""),85.43)</f>
        <v>85.43</v>
      </c>
      <c r="E240" s="141">
        <f ca="1">IFERROR(__xludf.DUMMYFUNCTION("""COMPUTED_VALUE"""),85.1)</f>
        <v>85.1</v>
      </c>
      <c r="F240" s="141">
        <f ca="1">IFERROR(__xludf.DUMMYFUNCTION("""COMPUTED_VALUE"""),85.31)</f>
        <v>85.31</v>
      </c>
      <c r="G240" s="143">
        <f ca="1">IFERROR(__xludf.DUMMYFUNCTION("""COMPUTED_VALUE"""),15371998)</f>
        <v>15371998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IFERROR(__xludf.DUMMYFUNCTION("""COMPUTED_VALUE"""),85.61)</f>
        <v>85.61</v>
      </c>
      <c r="D241" s="141">
        <f ca="1">IFERROR(__xludf.DUMMYFUNCTION("""COMPUTED_VALUE"""),85.71)</f>
        <v>85.71</v>
      </c>
      <c r="E241" s="141">
        <f ca="1">IFERROR(__xludf.DUMMYFUNCTION("""COMPUTED_VALUE"""),85.42)</f>
        <v>85.42</v>
      </c>
      <c r="F241" s="141">
        <f ca="1">IFERROR(__xludf.DUMMYFUNCTION("""COMPUTED_VALUE"""),85.5)</f>
        <v>85.5</v>
      </c>
      <c r="G241" s="143">
        <f ca="1">IFERROR(__xludf.DUMMYFUNCTION("""COMPUTED_VALUE"""),15866493)</f>
        <v>15866493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IFERROR(__xludf.DUMMYFUNCTION("""COMPUTED_VALUE"""),84.99)</f>
        <v>84.99</v>
      </c>
      <c r="D242" s="141">
        <f ca="1">IFERROR(__xludf.DUMMYFUNCTION("""COMPUTED_VALUE"""),85.35)</f>
        <v>85.35</v>
      </c>
      <c r="E242" s="141">
        <f ca="1">IFERROR(__xludf.DUMMYFUNCTION("""COMPUTED_VALUE"""),84.92)</f>
        <v>84.92</v>
      </c>
      <c r="F242" s="141">
        <f ca="1">IFERROR(__xludf.DUMMYFUNCTION("""COMPUTED_VALUE"""),85.06)</f>
        <v>85.06</v>
      </c>
      <c r="G242" s="143">
        <f ca="1">IFERROR(__xludf.DUMMYFUNCTION("""COMPUTED_VALUE"""),26461163)</f>
        <v>26461163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IFERROR(__xludf.DUMMYFUNCTION("""COMPUTED_VALUE"""),85.23)</f>
        <v>85.23</v>
      </c>
      <c r="D243" s="141">
        <f ca="1">IFERROR(__xludf.DUMMYFUNCTION("""COMPUTED_VALUE"""),85.33)</f>
        <v>85.33</v>
      </c>
      <c r="E243" s="141">
        <f ca="1">IFERROR(__xludf.DUMMYFUNCTION("""COMPUTED_VALUE"""),84.62)</f>
        <v>84.62</v>
      </c>
      <c r="F243" s="141">
        <f ca="1">IFERROR(__xludf.DUMMYFUNCTION("""COMPUTED_VALUE"""),84.62)</f>
        <v>84.62</v>
      </c>
      <c r="G243" s="143">
        <f ca="1">IFERROR(__xludf.DUMMYFUNCTION("""COMPUTED_VALUE"""),22922742)</f>
        <v>22922742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IFERROR(__xludf.DUMMYFUNCTION("""COMPUTED_VALUE"""),84.97)</f>
        <v>84.97</v>
      </c>
      <c r="D244" s="141">
        <f ca="1">IFERROR(__xludf.DUMMYFUNCTION("""COMPUTED_VALUE"""),85.18)</f>
        <v>85.18</v>
      </c>
      <c r="E244" s="141">
        <f ca="1">IFERROR(__xludf.DUMMYFUNCTION("""COMPUTED_VALUE"""),84.78)</f>
        <v>84.78</v>
      </c>
      <c r="F244" s="141">
        <f ca="1">IFERROR(__xludf.DUMMYFUNCTION("""COMPUTED_VALUE"""),85.12)</f>
        <v>85.12</v>
      </c>
      <c r="G244" s="143">
        <f ca="1">IFERROR(__xludf.DUMMYFUNCTION("""COMPUTED_VALUE"""),22617748)</f>
        <v>22617748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IFERROR(__xludf.DUMMYFUNCTION("""COMPUTED_VALUE"""),85.12)</f>
        <v>85.12</v>
      </c>
      <c r="D245" s="141">
        <f ca="1">IFERROR(__xludf.DUMMYFUNCTION("""COMPUTED_VALUE"""),85.3)</f>
        <v>85.3</v>
      </c>
      <c r="E245" s="141">
        <f ca="1">IFERROR(__xludf.DUMMYFUNCTION("""COMPUTED_VALUE"""),84.7)</f>
        <v>84.7</v>
      </c>
      <c r="F245" s="141">
        <f ca="1">IFERROR(__xludf.DUMMYFUNCTION("""COMPUTED_VALUE"""),84.88)</f>
        <v>84.88</v>
      </c>
      <c r="G245" s="143">
        <f ca="1">IFERROR(__xludf.DUMMYFUNCTION("""COMPUTED_VALUE"""),21258275)</f>
        <v>21258275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IFERROR(__xludf.DUMMYFUNCTION("""COMPUTED_VALUE"""),85.17)</f>
        <v>85.17</v>
      </c>
      <c r="D246" s="141">
        <f ca="1">IFERROR(__xludf.DUMMYFUNCTION("""COMPUTED_VALUE"""),86.04)</f>
        <v>86.04</v>
      </c>
      <c r="E246" s="141">
        <f ca="1">IFERROR(__xludf.DUMMYFUNCTION("""COMPUTED_VALUE"""),85.04)</f>
        <v>85.04</v>
      </c>
      <c r="F246" s="141">
        <f ca="1">IFERROR(__xludf.DUMMYFUNCTION("""COMPUTED_VALUE"""),85.98)</f>
        <v>85.98</v>
      </c>
      <c r="G246" s="143">
        <f ca="1">IFERROR(__xludf.DUMMYFUNCTION("""COMPUTED_VALUE"""),35190466)</f>
        <v>35190466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IFERROR(__xludf.DUMMYFUNCTION("""COMPUTED_VALUE"""),85.64)</f>
        <v>85.64</v>
      </c>
      <c r="D247" s="141">
        <f ca="1">IFERROR(__xludf.DUMMYFUNCTION("""COMPUTED_VALUE"""),85.83)</f>
        <v>85.83</v>
      </c>
      <c r="E247" s="141">
        <f ca="1">IFERROR(__xludf.DUMMYFUNCTION("""COMPUTED_VALUE"""),85.41)</f>
        <v>85.41</v>
      </c>
      <c r="F247" s="141">
        <f ca="1">IFERROR(__xludf.DUMMYFUNCTION("""COMPUTED_VALUE"""),85.77)</f>
        <v>85.77</v>
      </c>
      <c r="G247" s="143">
        <f ca="1">IFERROR(__xludf.DUMMYFUNCTION("""COMPUTED_VALUE"""),23100929)</f>
        <v>23100929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IFERROR(__xludf.DUMMYFUNCTION("""COMPUTED_VALUE"""),85.96)</f>
        <v>85.96</v>
      </c>
      <c r="D248" s="141">
        <f ca="1">IFERROR(__xludf.DUMMYFUNCTION("""COMPUTED_VALUE"""),86.11)</f>
        <v>86.11</v>
      </c>
      <c r="E248" s="141">
        <f ca="1">IFERROR(__xludf.DUMMYFUNCTION("""COMPUTED_VALUE"""),85.67)</f>
        <v>85.67</v>
      </c>
      <c r="F248" s="141">
        <f ca="1">IFERROR(__xludf.DUMMYFUNCTION("""COMPUTED_VALUE"""),85.72)</f>
        <v>85.72</v>
      </c>
      <c r="G248" s="143">
        <f ca="1">IFERROR(__xludf.DUMMYFUNCTION("""COMPUTED_VALUE"""),17632743)</f>
        <v>17632743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IFERROR(__xludf.DUMMYFUNCTION("""COMPUTED_VALUE"""),85.96)</f>
        <v>85.96</v>
      </c>
      <c r="D249" s="141">
        <f ca="1">IFERROR(__xludf.DUMMYFUNCTION("""COMPUTED_VALUE"""),86.38)</f>
        <v>86.38</v>
      </c>
      <c r="E249" s="141">
        <f ca="1">IFERROR(__xludf.DUMMYFUNCTION("""COMPUTED_VALUE"""),85.93)</f>
        <v>85.93</v>
      </c>
      <c r="F249" s="141">
        <f ca="1">IFERROR(__xludf.DUMMYFUNCTION("""COMPUTED_VALUE"""),86.19)</f>
        <v>86.19</v>
      </c>
      <c r="G249" s="143">
        <f ca="1">IFERROR(__xludf.DUMMYFUNCTION("""COMPUTED_VALUE"""),26472476)</f>
        <v>26472476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IFERROR(__xludf.DUMMYFUNCTION("""COMPUTED_VALUE"""),86.33)</f>
        <v>86.33</v>
      </c>
      <c r="D250" s="141">
        <f ca="1">IFERROR(__xludf.DUMMYFUNCTION("""COMPUTED_VALUE"""),86.59)</f>
        <v>86.59</v>
      </c>
      <c r="E250" s="141">
        <f ca="1">IFERROR(__xludf.DUMMYFUNCTION("""COMPUTED_VALUE"""),85.93)</f>
        <v>85.93</v>
      </c>
      <c r="F250" s="141">
        <f ca="1">IFERROR(__xludf.DUMMYFUNCTION("""COMPUTED_VALUE"""),86.33)</f>
        <v>86.33</v>
      </c>
      <c r="G250" s="143">
        <f ca="1">IFERROR(__xludf.DUMMYFUNCTION("""COMPUTED_VALUE"""),34507482)</f>
        <v>34507482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IFERROR(__xludf.DUMMYFUNCTION("""COMPUTED_VALUE"""),87.07)</f>
        <v>87.07</v>
      </c>
      <c r="D251" s="141">
        <f ca="1">IFERROR(__xludf.DUMMYFUNCTION("""COMPUTED_VALUE"""),87.18)</f>
        <v>87.18</v>
      </c>
      <c r="E251" s="141">
        <f ca="1">IFERROR(__xludf.DUMMYFUNCTION("""COMPUTED_VALUE"""),86.65)</f>
        <v>86.65</v>
      </c>
      <c r="F251" s="141">
        <f ca="1">IFERROR(__xludf.DUMMYFUNCTION("""COMPUTED_VALUE"""),86.75)</f>
        <v>86.75</v>
      </c>
      <c r="G251" s="143">
        <f ca="1">IFERROR(__xludf.DUMMYFUNCTION("""COMPUTED_VALUE"""),32350902)</f>
        <v>32350902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IFERROR(__xludf.DUMMYFUNCTION("""COMPUTED_VALUE"""),86.3)</f>
        <v>86.3</v>
      </c>
      <c r="D252" s="141">
        <f ca="1">IFERROR(__xludf.DUMMYFUNCTION("""COMPUTED_VALUE"""),86.33)</f>
        <v>86.33</v>
      </c>
      <c r="E252" s="141">
        <f ca="1">IFERROR(__xludf.DUMMYFUNCTION("""COMPUTED_VALUE"""),85.97)</f>
        <v>85.97</v>
      </c>
      <c r="F252" s="141">
        <f ca="1">IFERROR(__xludf.DUMMYFUNCTION("""COMPUTED_VALUE"""),86.09)</f>
        <v>86.09</v>
      </c>
      <c r="G252" s="143">
        <f ca="1">IFERROR(__xludf.DUMMYFUNCTION("""COMPUTED_VALUE"""),28595081)</f>
        <v>28595081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IFERROR(__xludf.DUMMYFUNCTION("""COMPUTED_VALUE"""),86.12)</f>
        <v>86.12</v>
      </c>
      <c r="D253" s="141">
        <f ca="1">IFERROR(__xludf.DUMMYFUNCTION("""COMPUTED_VALUE"""),86.43)</f>
        <v>86.43</v>
      </c>
      <c r="E253" s="141">
        <f ca="1">IFERROR(__xludf.DUMMYFUNCTION("""COMPUTED_VALUE"""),86.1)</f>
        <v>86.1</v>
      </c>
      <c r="F253" s="141">
        <f ca="1">IFERROR(__xludf.DUMMYFUNCTION("""COMPUTED_VALUE"""),86.2)</f>
        <v>86.2</v>
      </c>
      <c r="G253" s="143">
        <f ca="1">IFERROR(__xludf.DUMMYFUNCTION("""COMPUTED_VALUE"""),19145518)</f>
        <v>19145518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IFERROR(__xludf.DUMMYFUNCTION("""COMPUTED_VALUE"""),87.15)</f>
        <v>87.15</v>
      </c>
      <c r="D254" s="141">
        <f ca="1">IFERROR(__xludf.DUMMYFUNCTION("""COMPUTED_VALUE"""),87.47)</f>
        <v>87.47</v>
      </c>
      <c r="E254" s="141">
        <f ca="1">IFERROR(__xludf.DUMMYFUNCTION("""COMPUTED_VALUE"""),87.12)</f>
        <v>87.12</v>
      </c>
      <c r="F254" s="141">
        <f ca="1">IFERROR(__xludf.DUMMYFUNCTION("""COMPUTED_VALUE"""),87.38)</f>
        <v>87.38</v>
      </c>
      <c r="G254" s="143">
        <f ca="1">IFERROR(__xludf.DUMMYFUNCTION("""COMPUTED_VALUE"""),41836983)</f>
        <v>41836983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IFERROR(__xludf.DUMMYFUNCTION("""COMPUTED_VALUE"""),87.58)</f>
        <v>87.58</v>
      </c>
      <c r="D255" s="141">
        <f ca="1">IFERROR(__xludf.DUMMYFUNCTION("""COMPUTED_VALUE"""),87.79)</f>
        <v>87.79</v>
      </c>
      <c r="E255" s="141">
        <f ca="1">IFERROR(__xludf.DUMMYFUNCTION("""COMPUTED_VALUE"""),87.29)</f>
        <v>87.29</v>
      </c>
      <c r="F255" s="141">
        <f ca="1">IFERROR(__xludf.DUMMYFUNCTION("""COMPUTED_VALUE"""),87.35)</f>
        <v>87.35</v>
      </c>
      <c r="G255" s="143">
        <f ca="1">IFERROR(__xludf.DUMMYFUNCTION("""COMPUTED_VALUE"""),28392350)</f>
        <v>28392350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IFERROR(__xludf.DUMMYFUNCTION("""COMPUTED_VALUE"""),87.01)</f>
        <v>87.01</v>
      </c>
      <c r="D256" s="141">
        <f ca="1">IFERROR(__xludf.DUMMYFUNCTION("""COMPUTED_VALUE"""),87.37)</f>
        <v>87.37</v>
      </c>
      <c r="E256" s="141">
        <f ca="1">IFERROR(__xludf.DUMMYFUNCTION("""COMPUTED_VALUE"""),87)</f>
        <v>87</v>
      </c>
      <c r="F256" s="141">
        <f ca="1">IFERROR(__xludf.DUMMYFUNCTION("""COMPUTED_VALUE"""),87.36)</f>
        <v>87.36</v>
      </c>
      <c r="G256" s="143">
        <f ca="1">IFERROR(__xludf.DUMMYFUNCTION("""COMPUTED_VALUE"""),21650819)</f>
        <v>21650819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IFERROR(__xludf.DUMMYFUNCTION("""COMPUTED_VALUE"""),87.36)</f>
        <v>87.36</v>
      </c>
      <c r="D257" s="141">
        <f ca="1">IFERROR(__xludf.DUMMYFUNCTION("""COMPUTED_VALUE"""),87.54)</f>
        <v>87.54</v>
      </c>
      <c r="E257" s="141">
        <f ca="1">IFERROR(__xludf.DUMMYFUNCTION("""COMPUTED_VALUE"""),87.3)</f>
        <v>87.3</v>
      </c>
      <c r="F257" s="141">
        <f ca="1">IFERROR(__xludf.DUMMYFUNCTION("""COMPUTED_VALUE"""),87.45)</f>
        <v>87.45</v>
      </c>
      <c r="G257" s="143">
        <f ca="1">IFERROR(__xludf.DUMMYFUNCTION("""COMPUTED_VALUE"""),19457156)</f>
        <v>19457156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IFERROR(__xludf.DUMMYFUNCTION("""COMPUTED_VALUE"""),87.15)</f>
        <v>87.15</v>
      </c>
      <c r="D258" s="141">
        <f ca="1">IFERROR(__xludf.DUMMYFUNCTION("""COMPUTED_VALUE"""),87.18)</f>
        <v>87.18</v>
      </c>
      <c r="E258" s="141">
        <f ca="1">IFERROR(__xludf.DUMMYFUNCTION("""COMPUTED_VALUE"""),86.38)</f>
        <v>86.38</v>
      </c>
      <c r="F258" s="141">
        <f ca="1">IFERROR(__xludf.DUMMYFUNCTION("""COMPUTED_VALUE"""),86.42)</f>
        <v>86.42</v>
      </c>
      <c r="G258" s="143">
        <f ca="1">IFERROR(__xludf.DUMMYFUNCTION("""COMPUTED_VALUE"""),31079478)</f>
        <v>31079478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IFERROR(__xludf.DUMMYFUNCTION("""COMPUTED_VALUE"""),85.48)</f>
        <v>85.48</v>
      </c>
      <c r="D259" s="141">
        <f ca="1">IFERROR(__xludf.DUMMYFUNCTION("""COMPUTED_VALUE"""),85.79)</f>
        <v>85.79</v>
      </c>
      <c r="E259" s="141">
        <f ca="1">IFERROR(__xludf.DUMMYFUNCTION("""COMPUTED_VALUE"""),85.43)</f>
        <v>85.43</v>
      </c>
      <c r="F259" s="141">
        <f ca="1">IFERROR(__xludf.DUMMYFUNCTION("""COMPUTED_VALUE"""),85.52)</f>
        <v>85.52</v>
      </c>
      <c r="G259" s="143">
        <f ca="1">IFERROR(__xludf.DUMMYFUNCTION("""COMPUTED_VALUE"""),28109798)</f>
        <v>28109798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IFERROR(__xludf.DUMMYFUNCTION("""COMPUTED_VALUE"""),85.38)</f>
        <v>85.38</v>
      </c>
      <c r="D260" s="141">
        <f ca="1">IFERROR(__xludf.DUMMYFUNCTION("""COMPUTED_VALUE"""),85.78)</f>
        <v>85.78</v>
      </c>
      <c r="E260" s="141">
        <f ca="1">IFERROR(__xludf.DUMMYFUNCTION("""COMPUTED_VALUE"""),85.37)</f>
        <v>85.37</v>
      </c>
      <c r="F260" s="141">
        <f ca="1">IFERROR(__xludf.DUMMYFUNCTION("""COMPUTED_VALUE"""),85.51)</f>
        <v>85.51</v>
      </c>
      <c r="G260" s="143">
        <f ca="1">IFERROR(__xludf.DUMMYFUNCTION("""COMPUTED_VALUE"""),20957229)</f>
        <v>20957229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IFERROR(__xludf.DUMMYFUNCTION("""COMPUTED_VALUE"""),85.43)</f>
        <v>85.43</v>
      </c>
      <c r="D261" s="141">
        <f ca="1">IFERROR(__xludf.DUMMYFUNCTION("""COMPUTED_VALUE"""),85.48)</f>
        <v>85.48</v>
      </c>
      <c r="E261" s="141">
        <f ca="1">IFERROR(__xludf.DUMMYFUNCTION("""COMPUTED_VALUE"""),85.18)</f>
        <v>85.18</v>
      </c>
      <c r="F261" s="141">
        <f ca="1">IFERROR(__xludf.DUMMYFUNCTION("""COMPUTED_VALUE"""),85.45)</f>
        <v>85.45</v>
      </c>
      <c r="G261" s="143">
        <f ca="1">IFERROR(__xludf.DUMMYFUNCTION("""COMPUTED_VALUE"""),17940937)</f>
        <v>17940937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IFERROR(__xludf.DUMMYFUNCTION("""COMPUTED_VALUE"""),85.12)</f>
        <v>85.12</v>
      </c>
      <c r="D262" s="141">
        <f ca="1">IFERROR(__xludf.DUMMYFUNCTION("""COMPUTED_VALUE"""),85.17)</f>
        <v>85.17</v>
      </c>
      <c r="E262" s="141">
        <f ca="1">IFERROR(__xludf.DUMMYFUNCTION("""COMPUTED_VALUE"""),84.54)</f>
        <v>84.54</v>
      </c>
      <c r="F262" s="141">
        <f ca="1">IFERROR(__xludf.DUMMYFUNCTION("""COMPUTED_VALUE"""),84.55)</f>
        <v>84.55</v>
      </c>
      <c r="G262" s="143">
        <f ca="1">IFERROR(__xludf.DUMMYFUNCTION("""COMPUTED_VALUE"""),24816434)</f>
        <v>24816434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IFERROR(__xludf.DUMMYFUNCTION("""COMPUTED_VALUE"""),84.31)</f>
        <v>84.31</v>
      </c>
      <c r="D263" s="141">
        <f ca="1">IFERROR(__xludf.DUMMYFUNCTION("""COMPUTED_VALUE"""),84.45)</f>
        <v>84.45</v>
      </c>
      <c r="E263" s="141">
        <f ca="1">IFERROR(__xludf.DUMMYFUNCTION("""COMPUTED_VALUE"""),84.06)</f>
        <v>84.06</v>
      </c>
      <c r="F263" s="141">
        <f ca="1">IFERROR(__xludf.DUMMYFUNCTION("""COMPUTED_VALUE"""),84.36)</f>
        <v>84.36</v>
      </c>
      <c r="G263" s="143">
        <f ca="1">IFERROR(__xludf.DUMMYFUNCTION("""COMPUTED_VALUE"""),25806645)</f>
        <v>25806645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IFERROR(__xludf.DUMMYFUNCTION("""COMPUTED_VALUE"""),84.28)</f>
        <v>84.28</v>
      </c>
      <c r="D264" s="141">
        <f ca="1">IFERROR(__xludf.DUMMYFUNCTION("""COMPUTED_VALUE"""),84.68)</f>
        <v>84.68</v>
      </c>
      <c r="E264" s="141">
        <f ca="1">IFERROR(__xludf.DUMMYFUNCTION("""COMPUTED_VALUE"""),84.26)</f>
        <v>84.26</v>
      </c>
      <c r="F264" s="141">
        <f ca="1">IFERROR(__xludf.DUMMYFUNCTION("""COMPUTED_VALUE"""),84.49)</f>
        <v>84.49</v>
      </c>
      <c r="G264" s="143">
        <f ca="1">IFERROR(__xludf.DUMMYFUNCTION("""COMPUTED_VALUE"""),18625290)</f>
        <v>18625290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IFERROR(__xludf.DUMMYFUNCTION("""COMPUTED_VALUE"""),84.51)</f>
        <v>84.51</v>
      </c>
      <c r="D265" s="141">
        <f ca="1">IFERROR(__xludf.DUMMYFUNCTION("""COMPUTED_VALUE"""),84.63)</f>
        <v>84.63</v>
      </c>
      <c r="E265" s="141">
        <f ca="1">IFERROR(__xludf.DUMMYFUNCTION("""COMPUTED_VALUE"""),84.28)</f>
        <v>84.28</v>
      </c>
      <c r="F265" s="141">
        <f ca="1">IFERROR(__xludf.DUMMYFUNCTION("""COMPUTED_VALUE"""),84.47)</f>
        <v>84.47</v>
      </c>
      <c r="G265" s="143">
        <f ca="1">IFERROR(__xludf.DUMMYFUNCTION("""COMPUTED_VALUE"""),14454110)</f>
        <v>14454110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IFERROR(__xludf.DUMMYFUNCTION("""COMPUTED_VALUE"""),84.19)</f>
        <v>84.19</v>
      </c>
      <c r="D266" s="141">
        <f ca="1">IFERROR(__xludf.DUMMYFUNCTION("""COMPUTED_VALUE"""),84.28)</f>
        <v>84.28</v>
      </c>
      <c r="E266" s="141">
        <f ca="1">IFERROR(__xludf.DUMMYFUNCTION("""COMPUTED_VALUE"""),83.93)</f>
        <v>83.93</v>
      </c>
      <c r="F266" s="141">
        <f ca="1">IFERROR(__xludf.DUMMYFUNCTION("""COMPUTED_VALUE"""),83.97)</f>
        <v>83.97</v>
      </c>
      <c r="G266" s="143">
        <f ca="1">IFERROR(__xludf.DUMMYFUNCTION("""COMPUTED_VALUE"""),18742493)</f>
        <v>18742493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IFERROR(__xludf.DUMMYFUNCTION("""COMPUTED_VALUE"""),84.18)</f>
        <v>84.18</v>
      </c>
      <c r="D267" s="141">
        <f ca="1">IFERROR(__xludf.DUMMYFUNCTION("""COMPUTED_VALUE"""),84.5)</f>
        <v>84.5</v>
      </c>
      <c r="E267" s="141">
        <f ca="1">IFERROR(__xludf.DUMMYFUNCTION("""COMPUTED_VALUE"""),84.04)</f>
        <v>84.04</v>
      </c>
      <c r="F267" s="141">
        <f ca="1">IFERROR(__xludf.DUMMYFUNCTION("""COMPUTED_VALUE"""),84.08)</f>
        <v>84.08</v>
      </c>
      <c r="G267" s="143">
        <f ca="1">IFERROR(__xludf.DUMMYFUNCTION("""COMPUTED_VALUE"""),23793454)</f>
        <v>23793454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IFERROR(__xludf.DUMMYFUNCTION("""COMPUTED_VALUE"""),84.08)</f>
        <v>84.08</v>
      </c>
      <c r="D268" s="141">
        <f ca="1">IFERROR(__xludf.DUMMYFUNCTION("""COMPUTED_VALUE"""),84.41)</f>
        <v>84.41</v>
      </c>
      <c r="E268" s="141">
        <f ca="1">IFERROR(__xludf.DUMMYFUNCTION("""COMPUTED_VALUE"""),84.08)</f>
        <v>84.08</v>
      </c>
      <c r="F268" s="141">
        <f ca="1">IFERROR(__xludf.DUMMYFUNCTION("""COMPUTED_VALUE"""),84.24)</f>
        <v>84.24</v>
      </c>
      <c r="G268" s="143">
        <f ca="1">IFERROR(__xludf.DUMMYFUNCTION("""COMPUTED_VALUE"""),17837801)</f>
        <v>17837801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IFERROR(__xludf.DUMMYFUNCTION("""COMPUTED_VALUE"""),83.84)</f>
        <v>83.84</v>
      </c>
      <c r="D269" s="141">
        <f ca="1">IFERROR(__xludf.DUMMYFUNCTION("""COMPUTED_VALUE"""),84.22)</f>
        <v>84.22</v>
      </c>
      <c r="E269" s="141">
        <f ca="1">IFERROR(__xludf.DUMMYFUNCTION("""COMPUTED_VALUE"""),83.79)</f>
        <v>83.79</v>
      </c>
      <c r="F269" s="141">
        <f ca="1">IFERROR(__xludf.DUMMYFUNCTION("""COMPUTED_VALUE"""),84.21)</f>
        <v>84.21</v>
      </c>
      <c r="G269" s="143">
        <f ca="1">IFERROR(__xludf.DUMMYFUNCTION("""COMPUTED_VALUE"""),20817837)</f>
        <v>20817837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IFERROR(__xludf.DUMMYFUNCTION("""COMPUTED_VALUE"""),84.62)</f>
        <v>84.62</v>
      </c>
      <c r="D270" s="141">
        <f ca="1">IFERROR(__xludf.DUMMYFUNCTION("""COMPUTED_VALUE"""),84.82)</f>
        <v>84.82</v>
      </c>
      <c r="E270" s="141">
        <f ca="1">IFERROR(__xludf.DUMMYFUNCTION("""COMPUTED_VALUE"""),84.49)</f>
        <v>84.49</v>
      </c>
      <c r="F270" s="141">
        <f ca="1">IFERROR(__xludf.DUMMYFUNCTION("""COMPUTED_VALUE"""),84.52)</f>
        <v>84.52</v>
      </c>
      <c r="G270" s="143">
        <f ca="1">IFERROR(__xludf.DUMMYFUNCTION("""COMPUTED_VALUE"""),22065623)</f>
        <v>22065623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IFERROR(__xludf.DUMMYFUNCTION("""COMPUTED_VALUE"""),84.31)</f>
        <v>84.31</v>
      </c>
      <c r="D271" s="141">
        <f ca="1">IFERROR(__xludf.DUMMYFUNCTION("""COMPUTED_VALUE"""),84.34)</f>
        <v>84.34</v>
      </c>
      <c r="E271" s="141">
        <f ca="1">IFERROR(__xludf.DUMMYFUNCTION("""COMPUTED_VALUE"""),83.82)</f>
        <v>83.82</v>
      </c>
      <c r="F271" s="141">
        <f ca="1">IFERROR(__xludf.DUMMYFUNCTION("""COMPUTED_VALUE"""),83.89)</f>
        <v>83.89</v>
      </c>
      <c r="G271" s="143">
        <f ca="1">IFERROR(__xludf.DUMMYFUNCTION("""COMPUTED_VALUE"""),24289039)</f>
        <v>24289039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IFERROR(__xludf.DUMMYFUNCTION("""COMPUTED_VALUE"""),83.74)</f>
        <v>83.74</v>
      </c>
      <c r="D272" s="141">
        <f ca="1">IFERROR(__xludf.DUMMYFUNCTION("""COMPUTED_VALUE"""),83.77)</f>
        <v>83.77</v>
      </c>
      <c r="E272" s="141">
        <f ca="1">IFERROR(__xludf.DUMMYFUNCTION("""COMPUTED_VALUE"""),83.43)</f>
        <v>83.43</v>
      </c>
      <c r="F272" s="141">
        <f ca="1">IFERROR(__xludf.DUMMYFUNCTION("""COMPUTED_VALUE"""),83.66)</f>
        <v>83.66</v>
      </c>
      <c r="G272" s="143">
        <f ca="1">IFERROR(__xludf.DUMMYFUNCTION("""COMPUTED_VALUE"""),14287532)</f>
        <v>14287532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IFERROR(__xludf.DUMMYFUNCTION("""COMPUTED_VALUE"""),83.61)</f>
        <v>83.61</v>
      </c>
      <c r="D273" s="141">
        <f ca="1">IFERROR(__xludf.DUMMYFUNCTION("""COMPUTED_VALUE"""),83.7)</f>
        <v>83.7</v>
      </c>
      <c r="E273" s="141">
        <f ca="1">IFERROR(__xludf.DUMMYFUNCTION("""COMPUTED_VALUE"""),83.38)</f>
        <v>83.38</v>
      </c>
      <c r="F273" s="141">
        <f ca="1">IFERROR(__xludf.DUMMYFUNCTION("""COMPUTED_VALUE"""),83.44)</f>
        <v>83.44</v>
      </c>
      <c r="G273" s="143">
        <f ca="1">IFERROR(__xludf.DUMMYFUNCTION("""COMPUTED_VALUE"""),15988382)</f>
        <v>15988382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IFERROR(__xludf.DUMMYFUNCTION("""COMPUTED_VALUE"""),82.99)</f>
        <v>82.99</v>
      </c>
      <c r="D274" s="141">
        <f ca="1">IFERROR(__xludf.DUMMYFUNCTION("""COMPUTED_VALUE"""),83.25)</f>
        <v>83.25</v>
      </c>
      <c r="E274" s="141">
        <f ca="1">IFERROR(__xludf.DUMMYFUNCTION("""COMPUTED_VALUE"""),82.96)</f>
        <v>82.96</v>
      </c>
      <c r="F274" s="141">
        <f ca="1">IFERROR(__xludf.DUMMYFUNCTION("""COMPUTED_VALUE"""),83.17)</f>
        <v>83.17</v>
      </c>
      <c r="G274" s="143">
        <f ca="1">IFERROR(__xludf.DUMMYFUNCTION("""COMPUTED_VALUE"""),29152762)</f>
        <v>29152762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IFERROR(__xludf.DUMMYFUNCTION("""COMPUTED_VALUE"""),83.31)</f>
        <v>83.31</v>
      </c>
      <c r="D275" s="141">
        <f ca="1">IFERROR(__xludf.DUMMYFUNCTION("""COMPUTED_VALUE"""),83.66)</f>
        <v>83.66</v>
      </c>
      <c r="E275" s="141">
        <f ca="1">IFERROR(__xludf.DUMMYFUNCTION("""COMPUTED_VALUE"""),83.23)</f>
        <v>83.23</v>
      </c>
      <c r="F275" s="141">
        <f ca="1">IFERROR(__xludf.DUMMYFUNCTION("""COMPUTED_VALUE"""),83.25)</f>
        <v>83.25</v>
      </c>
      <c r="G275" s="143">
        <f ca="1">IFERROR(__xludf.DUMMYFUNCTION("""COMPUTED_VALUE"""),15105998)</f>
        <v>15105998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IFERROR(__xludf.DUMMYFUNCTION("""COMPUTED_VALUE"""),83.73)</f>
        <v>83.73</v>
      </c>
      <c r="D276" s="141">
        <f ca="1">IFERROR(__xludf.DUMMYFUNCTION("""COMPUTED_VALUE"""),83.87)</f>
        <v>83.87</v>
      </c>
      <c r="E276" s="141">
        <f ca="1">IFERROR(__xludf.DUMMYFUNCTION("""COMPUTED_VALUE"""),83.52)</f>
        <v>83.52</v>
      </c>
      <c r="F276" s="141">
        <f ca="1">IFERROR(__xludf.DUMMYFUNCTION("""COMPUTED_VALUE"""),83.75)</f>
        <v>83.75</v>
      </c>
      <c r="G276" s="143">
        <f ca="1">IFERROR(__xludf.DUMMYFUNCTION("""COMPUTED_VALUE"""),23818954)</f>
        <v>23818954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IFERROR(__xludf.DUMMYFUNCTION("""COMPUTED_VALUE"""),83.86)</f>
        <v>83.86</v>
      </c>
      <c r="D277" s="141">
        <f ca="1">IFERROR(__xludf.DUMMYFUNCTION("""COMPUTED_VALUE"""),84.34)</f>
        <v>84.34</v>
      </c>
      <c r="E277" s="141">
        <f ca="1">IFERROR(__xludf.DUMMYFUNCTION("""COMPUTED_VALUE"""),83.85)</f>
        <v>83.85</v>
      </c>
      <c r="F277" s="141">
        <f ca="1">IFERROR(__xludf.DUMMYFUNCTION("""COMPUTED_VALUE"""),84.24)</f>
        <v>84.24</v>
      </c>
      <c r="G277" s="143">
        <f ca="1">IFERROR(__xludf.DUMMYFUNCTION("""COMPUTED_VALUE"""),25366895)</f>
        <v>25366895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IFERROR(__xludf.DUMMYFUNCTION("""COMPUTED_VALUE"""),84.1)</f>
        <v>84.1</v>
      </c>
      <c r="D278" s="141">
        <f ca="1">IFERROR(__xludf.DUMMYFUNCTION("""COMPUTED_VALUE"""),84.15)</f>
        <v>84.15</v>
      </c>
      <c r="E278" s="141">
        <f ca="1">IFERROR(__xludf.DUMMYFUNCTION("""COMPUTED_VALUE"""),82.7)</f>
        <v>82.7</v>
      </c>
      <c r="F278" s="141">
        <f ca="1">IFERROR(__xludf.DUMMYFUNCTION("""COMPUTED_VALUE"""),82.85)</f>
        <v>82.85</v>
      </c>
      <c r="G278" s="143">
        <f ca="1">IFERROR(__xludf.DUMMYFUNCTION("""COMPUTED_VALUE"""),41445198)</f>
        <v>41445198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7" priority="5" operator="lessThan">
      <formula>0</formula>
    </cfRule>
    <cfRule type="cellIs" dxfId="16" priority="6" operator="greaterThan">
      <formula>0</formula>
    </cfRule>
  </conditionalFormatting>
  <conditionalFormatting sqref="F28:F1000">
    <cfRule type="expression" dxfId="15" priority="1">
      <formula>AND(F28=MAX(F$28:F$1000),F28&gt;0)</formula>
    </cfRule>
    <cfRule type="expression" dxfId="14" priority="2">
      <formula>AND(F28=MIN(F$28:F$1000),F28&gt;0)</formula>
    </cfRule>
  </conditionalFormatting>
  <conditionalFormatting sqref="F29:F1000">
    <cfRule type="expression" dxfId="13" priority="3">
      <formula>F29&gt;F27</formula>
    </cfRule>
    <cfRule type="expression" dxfId="12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700-000000000000}">
      <formula1>"1 Month,3 Months,6 Months,12 Months,36 Months"</formula1>
    </dataValidation>
  </dataValidations>
  <hyperlinks>
    <hyperlink ref="G2" r:id="rId1" xr:uid="{00000000-0004-0000-1700-000000000000}"/>
  </hyperlinks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44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IFERROR(__xludf.DUMMYFUNCTION("GOOGLEFINANCE(B18,""name"")"),"SPDR Gold Trust")</f>
        <v>SPDR Gold Trust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IFERROR(__xludf.DUMMYFUNCTION("GOOGLEFINANCE(B18,""price"")"),371.08)</f>
        <v>371.08</v>
      </c>
      <c r="C10" s="322"/>
      <c r="D10" s="100">
        <f ca="1">IFERROR(__xludf.DUMMYFUNCTION("IFERROR(GOOGLEFINANCE(B18,""change""),""-"")"),1.71)</f>
        <v>1.71</v>
      </c>
      <c r="E10" s="103">
        <f ca="1">IFERROR(__xludf.DUMMYFUNCTION("IFERROR(GOOGLEFINANCE(B18,""changepct"")/100,""-"")"),0.0046)</f>
        <v>4.5999999999999999E-3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>
        <f ca="1">IFERROR(__xludf.DUMMYFUNCTION("IFERROR(GOOGLEFINANCE(B18,""marketcap""),""-"")"),211525034529)</f>
        <v>211525034529</v>
      </c>
      <c r="C14" s="115">
        <f ca="1">IFERROR(__xludf.DUMMYFUNCTION("IFERROR(GOOGLEFINANCE(B18,""pe""),""-"")"),2.75)</f>
        <v>2.75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GLD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IFERROR(__xludf.DUMMYFUNCTION("""COMPUTED_VALUE"""),304.42)</f>
        <v>304.42</v>
      </c>
      <c r="D28" s="141">
        <f ca="1">IFERROR(__xludf.DUMMYFUNCTION("""COMPUTED_VALUE"""),304.65)</f>
        <v>304.64999999999998</v>
      </c>
      <c r="E28" s="141">
        <f ca="1">IFERROR(__xludf.DUMMYFUNCTION("""COMPUTED_VALUE"""),300.96)</f>
        <v>300.95999999999998</v>
      </c>
      <c r="F28" s="141">
        <f ca="1">IFERROR(__xludf.DUMMYFUNCTION("""COMPUTED_VALUE"""),300.96)</f>
        <v>300.95999999999998</v>
      </c>
      <c r="G28" s="143">
        <f ca="1">IFERROR(__xludf.DUMMYFUNCTION("""COMPUTED_VALUE"""),13459595)</f>
        <v>13459595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IFERROR(__xludf.DUMMYFUNCTION("""COMPUTED_VALUE"""),304.59)</f>
        <v>304.58999999999997</v>
      </c>
      <c r="D29" s="141">
        <f ca="1">IFERROR(__xludf.DUMMYFUNCTION("""COMPUTED_VALUE"""),304.61)</f>
        <v>304.61</v>
      </c>
      <c r="E29" s="141">
        <f ca="1">IFERROR(__xludf.DUMMYFUNCTION("""COMPUTED_VALUE"""),302.86)</f>
        <v>302.86</v>
      </c>
      <c r="F29" s="141">
        <f ca="1">IFERROR(__xludf.DUMMYFUNCTION("""COMPUTED_VALUE"""),302.96)</f>
        <v>302.95999999999998</v>
      </c>
      <c r="G29" s="143">
        <f ca="1">IFERROR(__xludf.DUMMYFUNCTION("""COMPUTED_VALUE"""),8980956)</f>
        <v>8980956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IFERROR(__xludf.DUMMYFUNCTION("""COMPUTED_VALUE"""),308.61)</f>
        <v>308.61</v>
      </c>
      <c r="D30" s="141">
        <f ca="1">IFERROR(__xludf.DUMMYFUNCTION("""COMPUTED_VALUE"""),309.55)</f>
        <v>309.55</v>
      </c>
      <c r="E30" s="141">
        <f ca="1">IFERROR(__xludf.DUMMYFUNCTION("""COMPUTED_VALUE"""),307.45)</f>
        <v>307.45</v>
      </c>
      <c r="F30" s="141">
        <f ca="1">IFERROR(__xludf.DUMMYFUNCTION("""COMPUTED_VALUE"""),309.11)</f>
        <v>309.11</v>
      </c>
      <c r="G30" s="143">
        <f ca="1">IFERROR(__xludf.DUMMYFUNCTION("""COMPUTED_VALUE"""),12843364)</f>
        <v>12843364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IFERROR(__xludf.DUMMYFUNCTION("""COMPUTED_VALUE"""),310.8)</f>
        <v>310.8</v>
      </c>
      <c r="D31" s="141">
        <f ca="1">IFERROR(__xludf.DUMMYFUNCTION("""COMPUTED_VALUE"""),311.74)</f>
        <v>311.74</v>
      </c>
      <c r="E31" s="141">
        <f ca="1">IFERROR(__xludf.DUMMYFUNCTION("""COMPUTED_VALUE"""),310.37)</f>
        <v>310.37</v>
      </c>
      <c r="F31" s="141">
        <f ca="1">IFERROR(__xludf.DUMMYFUNCTION("""COMPUTED_VALUE"""),310.91)</f>
        <v>310.91000000000003</v>
      </c>
      <c r="G31" s="143">
        <f ca="1">IFERROR(__xludf.DUMMYFUNCTION("""COMPUTED_VALUE"""),7639030)</f>
        <v>7639030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IFERROR(__xludf.DUMMYFUNCTION("""COMPUTED_VALUE"""),310.37)</f>
        <v>310.37</v>
      </c>
      <c r="D32" s="141">
        <f ca="1">IFERROR(__xludf.DUMMYFUNCTION("""COMPUTED_VALUE"""),312.24)</f>
        <v>312.24</v>
      </c>
      <c r="E32" s="141">
        <f ca="1">IFERROR(__xludf.DUMMYFUNCTION("""COMPUTED_VALUE"""),310.22)</f>
        <v>310.22000000000003</v>
      </c>
      <c r="F32" s="141">
        <f ca="1">IFERROR(__xludf.DUMMYFUNCTION("""COMPUTED_VALUE"""),311.16)</f>
        <v>311.16000000000003</v>
      </c>
      <c r="G32" s="143">
        <f ca="1">IFERROR(__xludf.DUMMYFUNCTION("""COMPUTED_VALUE"""),6997693)</f>
        <v>6997693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IFERROR(__xludf.DUMMYFUNCTION("""COMPUTED_VALUE"""),310.32)</f>
        <v>310.32</v>
      </c>
      <c r="D33" s="141">
        <f ca="1">IFERROR(__xludf.DUMMYFUNCTION("""COMPUTED_VALUE"""),311.24)</f>
        <v>311.24</v>
      </c>
      <c r="E33" s="141">
        <f ca="1">IFERROR(__xludf.DUMMYFUNCTION("""COMPUTED_VALUE"""),309.84)</f>
        <v>309.83999999999997</v>
      </c>
      <c r="F33" s="141">
        <f ca="1">IFERROR(__xludf.DUMMYFUNCTION("""COMPUTED_VALUE"""),310.5)</f>
        <v>310.5</v>
      </c>
      <c r="G33" s="143">
        <f ca="1">IFERROR(__xludf.DUMMYFUNCTION("""COMPUTED_VALUE"""),7418158)</f>
        <v>7418158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IFERROR(__xludf.DUMMYFUNCTION("""COMPUTED_VALUE"""),311.72)</f>
        <v>311.72000000000003</v>
      </c>
      <c r="D34" s="141">
        <f ca="1">IFERROR(__xludf.DUMMYFUNCTION("""COMPUTED_VALUE"""),313.14)</f>
        <v>313.14</v>
      </c>
      <c r="E34" s="141">
        <f ca="1">IFERROR(__xludf.DUMMYFUNCTION("""COMPUTED_VALUE"""),310.7)</f>
        <v>310.7</v>
      </c>
      <c r="F34" s="141">
        <f ca="1">IFERROR(__xludf.DUMMYFUNCTION("""COMPUTED_VALUE"""),313.12)</f>
        <v>313.12</v>
      </c>
      <c r="G34" s="143">
        <f ca="1">IFERROR(__xludf.DUMMYFUNCTION("""COMPUTED_VALUE"""),10891459)</f>
        <v>10891459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IFERROR(__xludf.DUMMYFUNCTION("""COMPUTED_VALUE"""),312.35)</f>
        <v>312.35000000000002</v>
      </c>
      <c r="D35" s="141">
        <f ca="1">IFERROR(__xludf.DUMMYFUNCTION("""COMPUTED_VALUE"""),313.53)</f>
        <v>313.52999999999997</v>
      </c>
      <c r="E35" s="141">
        <f ca="1">IFERROR(__xludf.DUMMYFUNCTION("""COMPUTED_VALUE"""),311)</f>
        <v>311</v>
      </c>
      <c r="F35" s="141">
        <f ca="1">IFERROR(__xludf.DUMMYFUNCTION("""COMPUTED_VALUE"""),313.05)</f>
        <v>313.05</v>
      </c>
      <c r="G35" s="143">
        <f ca="1">IFERROR(__xludf.DUMMYFUNCTION("""COMPUTED_VALUE"""),19886802)</f>
        <v>19886802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IFERROR(__xludf.DUMMYFUNCTION("""COMPUTED_VALUE"""),308.62)</f>
        <v>308.62</v>
      </c>
      <c r="D36" s="141">
        <f ca="1">IFERROR(__xludf.DUMMYFUNCTION("""COMPUTED_VALUE"""),309.66)</f>
        <v>309.66000000000003</v>
      </c>
      <c r="E36" s="141">
        <f ca="1">IFERROR(__xludf.DUMMYFUNCTION("""COMPUTED_VALUE"""),307.63)</f>
        <v>307.63</v>
      </c>
      <c r="F36" s="141">
        <f ca="1">IFERROR(__xludf.DUMMYFUNCTION("""COMPUTED_VALUE"""),308.55)</f>
        <v>308.55</v>
      </c>
      <c r="G36" s="143">
        <f ca="1">IFERROR(__xludf.DUMMYFUNCTION("""COMPUTED_VALUE"""),10326704)</f>
        <v>10326704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IFERROR(__xludf.DUMMYFUNCTION("""COMPUTED_VALUE"""),308.22)</f>
        <v>308.22000000000003</v>
      </c>
      <c r="D37" s="141">
        <f ca="1">IFERROR(__xludf.DUMMYFUNCTION("""COMPUTED_VALUE"""),309.31)</f>
        <v>309.31</v>
      </c>
      <c r="E37" s="141">
        <f ca="1">IFERROR(__xludf.DUMMYFUNCTION("""COMPUTED_VALUE"""),306.71)</f>
        <v>306.70999999999998</v>
      </c>
      <c r="F37" s="141">
        <f ca="1">IFERROR(__xludf.DUMMYFUNCTION("""COMPUTED_VALUE"""),308.27)</f>
        <v>308.27</v>
      </c>
      <c r="G37" s="143">
        <f ca="1">IFERROR(__xludf.DUMMYFUNCTION("""COMPUTED_VALUE"""),9701725)</f>
        <v>9701725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IFERROR(__xludf.DUMMYFUNCTION("""COMPUTED_VALUE"""),309.1)</f>
        <v>309.10000000000002</v>
      </c>
      <c r="D38" s="141">
        <f ca="1">IFERROR(__xludf.DUMMYFUNCTION("""COMPUTED_VALUE"""),310.39)</f>
        <v>310.39</v>
      </c>
      <c r="E38" s="141">
        <f ca="1">IFERROR(__xludf.DUMMYFUNCTION("""COMPUTED_VALUE"""),308.45)</f>
        <v>308.45</v>
      </c>
      <c r="F38" s="141">
        <f ca="1">IFERROR(__xludf.DUMMYFUNCTION("""COMPUTED_VALUE"""),309.21)</f>
        <v>309.20999999999998</v>
      </c>
      <c r="G38" s="143">
        <f ca="1">IFERROR(__xludf.DUMMYFUNCTION("""COMPUTED_VALUE"""),4718586)</f>
        <v>4718586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IFERROR(__xludf.DUMMYFUNCTION("""COMPUTED_VALUE"""),307.93)</f>
        <v>307.93</v>
      </c>
      <c r="D39" s="141">
        <f ca="1">IFERROR(__xludf.DUMMYFUNCTION("""COMPUTED_VALUE"""),308.34)</f>
        <v>308.33999999999997</v>
      </c>
      <c r="E39" s="141">
        <f ca="1">IFERROR(__xludf.DUMMYFUNCTION("""COMPUTED_VALUE"""),306.52)</f>
        <v>306.52</v>
      </c>
      <c r="F39" s="141">
        <f ca="1">IFERROR(__xludf.DUMMYFUNCTION("""COMPUTED_VALUE"""),307.25)</f>
        <v>307.25</v>
      </c>
      <c r="G39" s="143">
        <f ca="1">IFERROR(__xludf.DUMMYFUNCTION("""COMPUTED_VALUE"""),5817726)</f>
        <v>5817726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IFERROR(__xludf.DUMMYFUNCTION("""COMPUTED_VALUE"""),307.34)</f>
        <v>307.33999999999997</v>
      </c>
      <c r="D40" s="141">
        <f ca="1">IFERROR(__xludf.DUMMYFUNCTION("""COMPUTED_VALUE"""),308)</f>
        <v>308</v>
      </c>
      <c r="E40" s="141">
        <f ca="1">IFERROR(__xludf.DUMMYFUNCTION("""COMPUTED_VALUE"""),306.87)</f>
        <v>306.87</v>
      </c>
      <c r="F40" s="141">
        <f ca="1">IFERROR(__xludf.DUMMYFUNCTION("""COMPUTED_VALUE"""),307.43)</f>
        <v>307.43</v>
      </c>
      <c r="G40" s="143">
        <f ca="1">IFERROR(__xludf.DUMMYFUNCTION("""COMPUTED_VALUE"""),5990110)</f>
        <v>5990110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IFERROR(__xludf.DUMMYFUNCTION("""COMPUTED_VALUE"""),307.8)</f>
        <v>307.8</v>
      </c>
      <c r="D41" s="141">
        <f ca="1">IFERROR(__xludf.DUMMYFUNCTION("""COMPUTED_VALUE"""),307.89)</f>
        <v>307.89</v>
      </c>
      <c r="E41" s="141">
        <f ca="1">IFERROR(__xludf.DUMMYFUNCTION("""COMPUTED_VALUE"""),306.63)</f>
        <v>306.63</v>
      </c>
      <c r="F41" s="141">
        <f ca="1">IFERROR(__xludf.DUMMYFUNCTION("""COMPUTED_VALUE"""),306.95)</f>
        <v>306.95</v>
      </c>
      <c r="G41" s="143">
        <f ca="1">IFERROR(__xludf.DUMMYFUNCTION("""COMPUTED_VALUE"""),6150140)</f>
        <v>6150140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IFERROR(__xludf.DUMMYFUNCTION("""COMPUTED_VALUE"""),306.76)</f>
        <v>306.76</v>
      </c>
      <c r="D42" s="141">
        <f ca="1">IFERROR(__xludf.DUMMYFUNCTION("""COMPUTED_VALUE"""),307.48)</f>
        <v>307.48</v>
      </c>
      <c r="E42" s="141">
        <f ca="1">IFERROR(__xludf.DUMMYFUNCTION("""COMPUTED_VALUE"""),305.19)</f>
        <v>305.19</v>
      </c>
      <c r="F42" s="141">
        <f ca="1">IFERROR(__xludf.DUMMYFUNCTION("""COMPUTED_VALUE"""),305.27)</f>
        <v>305.27</v>
      </c>
      <c r="G42" s="143">
        <f ca="1">IFERROR(__xludf.DUMMYFUNCTION("""COMPUTED_VALUE"""),5029939)</f>
        <v>5029939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IFERROR(__xludf.DUMMYFUNCTION("""COMPUTED_VALUE"""),307.54)</f>
        <v>307.54000000000002</v>
      </c>
      <c r="D43" s="141">
        <f ca="1">IFERROR(__xludf.DUMMYFUNCTION("""COMPUTED_VALUE"""),308.47)</f>
        <v>308.47000000000003</v>
      </c>
      <c r="E43" s="141">
        <f ca="1">IFERROR(__xludf.DUMMYFUNCTION("""COMPUTED_VALUE"""),307.4)</f>
        <v>307.39999999999998</v>
      </c>
      <c r="F43" s="141">
        <f ca="1">IFERROR(__xludf.DUMMYFUNCTION("""COMPUTED_VALUE"""),308.36)</f>
        <v>308.36</v>
      </c>
      <c r="G43" s="143">
        <f ca="1">IFERROR(__xludf.DUMMYFUNCTION("""COMPUTED_VALUE"""),6515411)</f>
        <v>6515411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IFERROR(__xludf.DUMMYFUNCTION("""COMPUTED_VALUE"""),307.86)</f>
        <v>307.86</v>
      </c>
      <c r="D44" s="141">
        <f ca="1">IFERROR(__xludf.DUMMYFUNCTION("""COMPUTED_VALUE"""),308.15)</f>
        <v>308.14999999999998</v>
      </c>
      <c r="E44" s="141">
        <f ca="1">IFERROR(__xludf.DUMMYFUNCTION("""COMPUTED_VALUE"""),307.03)</f>
        <v>307.02999999999997</v>
      </c>
      <c r="F44" s="141">
        <f ca="1">IFERROR(__xludf.DUMMYFUNCTION("""COMPUTED_VALUE"""),307.29)</f>
        <v>307.29000000000002</v>
      </c>
      <c r="G44" s="143">
        <f ca="1">IFERROR(__xludf.DUMMYFUNCTION("""COMPUTED_VALUE"""),4808975)</f>
        <v>4808975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IFERROR(__xludf.DUMMYFUNCTION("""COMPUTED_VALUE"""),306.52)</f>
        <v>306.52</v>
      </c>
      <c r="D45" s="141">
        <f ca="1">IFERROR(__xludf.DUMMYFUNCTION("""COMPUTED_VALUE"""),311.02)</f>
        <v>311.02</v>
      </c>
      <c r="E45" s="141">
        <f ca="1">IFERROR(__xludf.DUMMYFUNCTION("""COMPUTED_VALUE"""),306.43)</f>
        <v>306.43</v>
      </c>
      <c r="F45" s="141">
        <f ca="1">IFERROR(__xludf.DUMMYFUNCTION("""COMPUTED_VALUE"""),310.58)</f>
        <v>310.58</v>
      </c>
      <c r="G45" s="143">
        <f ca="1">IFERROR(__xludf.DUMMYFUNCTION("""COMPUTED_VALUE"""),8526492)</f>
        <v>8526492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IFERROR(__xludf.DUMMYFUNCTION("""COMPUTED_VALUE"""),309.67)</f>
        <v>309.67</v>
      </c>
      <c r="D46" s="141">
        <f ca="1">IFERROR(__xludf.DUMMYFUNCTION("""COMPUTED_VALUE"""),310.84)</f>
        <v>310.83999999999997</v>
      </c>
      <c r="E46" s="141">
        <f ca="1">IFERROR(__xludf.DUMMYFUNCTION("""COMPUTED_VALUE"""),309.67)</f>
        <v>309.67</v>
      </c>
      <c r="F46" s="141">
        <f ca="1">IFERROR(__xludf.DUMMYFUNCTION("""COMPUTED_VALUE"""),309.83)</f>
        <v>309.83</v>
      </c>
      <c r="G46" s="143">
        <f ca="1">IFERROR(__xludf.DUMMYFUNCTION("""COMPUTED_VALUE"""),4044429)</f>
        <v>4044429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IFERROR(__xludf.DUMMYFUNCTION("""COMPUTED_VALUE"""),310.62)</f>
        <v>310.62</v>
      </c>
      <c r="D47" s="141">
        <f ca="1">IFERROR(__xludf.DUMMYFUNCTION("""COMPUTED_VALUE"""),312.21)</f>
        <v>312.20999999999998</v>
      </c>
      <c r="E47" s="141">
        <f ca="1">IFERROR(__xludf.DUMMYFUNCTION("""COMPUTED_VALUE"""),310.31)</f>
        <v>310.31</v>
      </c>
      <c r="F47" s="141">
        <f ca="1">IFERROR(__xludf.DUMMYFUNCTION("""COMPUTED_VALUE"""),312.08)</f>
        <v>312.08</v>
      </c>
      <c r="G47" s="143">
        <f ca="1">IFERROR(__xludf.DUMMYFUNCTION("""COMPUTED_VALUE"""),11698460)</f>
        <v>11698460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IFERROR(__xludf.DUMMYFUNCTION("""COMPUTED_VALUE"""),311.39)</f>
        <v>311.39</v>
      </c>
      <c r="D48" s="141">
        <f ca="1">IFERROR(__xludf.DUMMYFUNCTION("""COMPUTED_VALUE"""),312.91)</f>
        <v>312.91000000000003</v>
      </c>
      <c r="E48" s="141">
        <f ca="1">IFERROR(__xludf.DUMMYFUNCTION("""COMPUTED_VALUE"""),310.77)</f>
        <v>310.77</v>
      </c>
      <c r="F48" s="141">
        <f ca="1">IFERROR(__xludf.DUMMYFUNCTION("""COMPUTED_VALUE"""),312.71)</f>
        <v>312.70999999999998</v>
      </c>
      <c r="G48" s="143">
        <f ca="1">IFERROR(__xludf.DUMMYFUNCTION("""COMPUTED_VALUE"""),4320071)</f>
        <v>4320071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IFERROR(__xludf.DUMMYFUNCTION("""COMPUTED_VALUE"""),313.32)</f>
        <v>313.32</v>
      </c>
      <c r="D49" s="141">
        <f ca="1">IFERROR(__xludf.DUMMYFUNCTION("""COMPUTED_VALUE"""),315.08)</f>
        <v>315.08</v>
      </c>
      <c r="E49" s="141">
        <f ca="1">IFERROR(__xludf.DUMMYFUNCTION("""COMPUTED_VALUE"""),313.07)</f>
        <v>313.07</v>
      </c>
      <c r="F49" s="141">
        <f ca="1">IFERROR(__xludf.DUMMYFUNCTION("""COMPUTED_VALUE"""),315.03)</f>
        <v>315.02999999999997</v>
      </c>
      <c r="G49" s="143">
        <f ca="1">IFERROR(__xludf.DUMMYFUNCTION("""COMPUTED_VALUE"""),9610202)</f>
        <v>9610202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IFERROR(__xludf.DUMMYFUNCTION("""COMPUTED_VALUE"""),314.72)</f>
        <v>314.72000000000003</v>
      </c>
      <c r="D50" s="141">
        <f ca="1">IFERROR(__xludf.DUMMYFUNCTION("""COMPUTED_VALUE"""),318.09)</f>
        <v>318.08999999999997</v>
      </c>
      <c r="E50" s="141">
        <f ca="1">IFERROR(__xludf.DUMMYFUNCTION("""COMPUTED_VALUE"""),314.64)</f>
        <v>314.64</v>
      </c>
      <c r="F50" s="141">
        <f ca="1">IFERROR(__xludf.DUMMYFUNCTION("""COMPUTED_VALUE"""),318.07)</f>
        <v>318.07</v>
      </c>
      <c r="G50" s="143">
        <f ca="1">IFERROR(__xludf.DUMMYFUNCTION("""COMPUTED_VALUE"""),15642641)</f>
        <v>15642641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IFERROR(__xludf.DUMMYFUNCTION("""COMPUTED_VALUE"""),320.95)</f>
        <v>320.95</v>
      </c>
      <c r="D51" s="141">
        <f ca="1">IFERROR(__xludf.DUMMYFUNCTION("""COMPUTED_VALUE"""),325.92)</f>
        <v>325.92</v>
      </c>
      <c r="E51" s="141">
        <f ca="1">IFERROR(__xludf.DUMMYFUNCTION("""COMPUTED_VALUE"""),320.24)</f>
        <v>320.24</v>
      </c>
      <c r="F51" s="141">
        <f ca="1">IFERROR(__xludf.DUMMYFUNCTION("""COMPUTED_VALUE"""),325.59)</f>
        <v>325.58999999999997</v>
      </c>
      <c r="G51" s="143">
        <f ca="1">IFERROR(__xludf.DUMMYFUNCTION("""COMPUTED_VALUE"""),21247534)</f>
        <v>21247534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IFERROR(__xludf.DUMMYFUNCTION("""COMPUTED_VALUE"""),327.76)</f>
        <v>327.76</v>
      </c>
      <c r="D52" s="141">
        <f ca="1">IFERROR(__xludf.DUMMYFUNCTION("""COMPUTED_VALUE"""),329.45)</f>
        <v>329.45</v>
      </c>
      <c r="E52" s="141">
        <f ca="1">IFERROR(__xludf.DUMMYFUNCTION("""COMPUTED_VALUE"""),326.73)</f>
        <v>326.73</v>
      </c>
      <c r="F52" s="141">
        <f ca="1">IFERROR(__xludf.DUMMYFUNCTION("""COMPUTED_VALUE"""),328.14)</f>
        <v>328.14</v>
      </c>
      <c r="G52" s="143">
        <f ca="1">IFERROR(__xludf.DUMMYFUNCTION("""COMPUTED_VALUE"""),16062221)</f>
        <v>16062221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IFERROR(__xludf.DUMMYFUNCTION("""COMPUTED_VALUE"""),327.03)</f>
        <v>327.02999999999997</v>
      </c>
      <c r="D53" s="141">
        <f ca="1">IFERROR(__xludf.DUMMYFUNCTION("""COMPUTED_VALUE"""),327.56)</f>
        <v>327.56</v>
      </c>
      <c r="E53" s="141">
        <f ca="1">IFERROR(__xludf.DUMMYFUNCTION("""COMPUTED_VALUE"""),325.35)</f>
        <v>325.35000000000002</v>
      </c>
      <c r="F53" s="141">
        <f ca="1">IFERROR(__xludf.DUMMYFUNCTION("""COMPUTED_VALUE"""),326.69)</f>
        <v>326.69</v>
      </c>
      <c r="G53" s="143">
        <f ca="1">IFERROR(__xludf.DUMMYFUNCTION("""COMPUTED_VALUE"""),11703127)</f>
        <v>11703127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IFERROR(__xludf.DUMMYFUNCTION("""COMPUTED_VALUE"""),329.53)</f>
        <v>329.53</v>
      </c>
      <c r="D54" s="141">
        <f ca="1">IFERROR(__xludf.DUMMYFUNCTION("""COMPUTED_VALUE"""),331.44)</f>
        <v>331.44</v>
      </c>
      <c r="E54" s="141">
        <f ca="1">IFERROR(__xludf.DUMMYFUNCTION("""COMPUTED_VALUE"""),328.93)</f>
        <v>328.93</v>
      </c>
      <c r="F54" s="141">
        <f ca="1">IFERROR(__xludf.DUMMYFUNCTION("""COMPUTED_VALUE"""),331.05)</f>
        <v>331.05</v>
      </c>
      <c r="G54" s="143">
        <f ca="1">IFERROR(__xludf.DUMMYFUNCTION("""COMPUTED_VALUE"""),16065150)</f>
        <v>16065150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IFERROR(__xludf.DUMMYFUNCTION("""COMPUTED_VALUE"""),333.66)</f>
        <v>333.66</v>
      </c>
      <c r="D55" s="141">
        <f ca="1">IFERROR(__xludf.DUMMYFUNCTION("""COMPUTED_VALUE"""),335.67)</f>
        <v>335.67</v>
      </c>
      <c r="E55" s="141">
        <f ca="1">IFERROR(__xludf.DUMMYFUNCTION("""COMPUTED_VALUE"""),333.23)</f>
        <v>333.23</v>
      </c>
      <c r="F55" s="141">
        <f ca="1">IFERROR(__xludf.DUMMYFUNCTION("""COMPUTED_VALUE"""),334.82)</f>
        <v>334.82</v>
      </c>
      <c r="G55" s="143">
        <f ca="1">IFERROR(__xludf.DUMMYFUNCTION("""COMPUTED_VALUE"""),18617325)</f>
        <v>18617325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IFERROR(__xludf.DUMMYFUNCTION("""COMPUTED_VALUE"""),337.03)</f>
        <v>337.03</v>
      </c>
      <c r="D56" s="141">
        <f ca="1">IFERROR(__xludf.DUMMYFUNCTION("""COMPUTED_VALUE"""),338.31)</f>
        <v>338.31</v>
      </c>
      <c r="E56" s="141">
        <f ca="1">IFERROR(__xludf.DUMMYFUNCTION("""COMPUTED_VALUE"""),333.85)</f>
        <v>333.85</v>
      </c>
      <c r="F56" s="141">
        <f ca="1">IFERROR(__xludf.DUMMYFUNCTION("""COMPUTED_VALUE"""),334.06)</f>
        <v>334.06</v>
      </c>
      <c r="G56" s="143">
        <f ca="1">IFERROR(__xludf.DUMMYFUNCTION("""COMPUTED_VALUE"""),21641935)</f>
        <v>21641935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IFERROR(__xludf.DUMMYFUNCTION("""COMPUTED_VALUE"""),335.73)</f>
        <v>335.73</v>
      </c>
      <c r="D57" s="141">
        <f ca="1">IFERROR(__xludf.DUMMYFUNCTION("""COMPUTED_VALUE"""),336.5)</f>
        <v>336.5</v>
      </c>
      <c r="E57" s="141">
        <f ca="1">IFERROR(__xludf.DUMMYFUNCTION("""COMPUTED_VALUE"""),326.19)</f>
        <v>326.19</v>
      </c>
      <c r="F57" s="141">
        <f ca="1">IFERROR(__xludf.DUMMYFUNCTION("""COMPUTED_VALUE"""),335.26)</f>
        <v>335.26</v>
      </c>
      <c r="G57" s="143">
        <f ca="1">IFERROR(__xludf.DUMMYFUNCTION("""COMPUTED_VALUE"""),11945670)</f>
        <v>11945670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IFERROR(__xludf.DUMMYFUNCTION("""COMPUTED_VALUE"""),333.37)</f>
        <v>333.37</v>
      </c>
      <c r="D58" s="141">
        <f ca="1">IFERROR(__xludf.DUMMYFUNCTION("""COMPUTED_VALUE"""),335.16)</f>
        <v>335.16</v>
      </c>
      <c r="E58" s="141">
        <f ca="1">IFERROR(__xludf.DUMMYFUNCTION("""COMPUTED_VALUE"""),332.97)</f>
        <v>332.97</v>
      </c>
      <c r="F58" s="141">
        <f ca="1">IFERROR(__xludf.DUMMYFUNCTION("""COMPUTED_VALUE"""),334.76)</f>
        <v>334.76</v>
      </c>
      <c r="G58" s="143">
        <f ca="1">IFERROR(__xludf.DUMMYFUNCTION("""COMPUTED_VALUE"""),9082647)</f>
        <v>9082647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IFERROR(__xludf.DUMMYFUNCTION("""COMPUTED_VALUE"""),335.88)</f>
        <v>335.88</v>
      </c>
      <c r="D59" s="141">
        <f ca="1">IFERROR(__xludf.DUMMYFUNCTION("""COMPUTED_VALUE"""),336.39)</f>
        <v>336.39</v>
      </c>
      <c r="E59" s="141">
        <f ca="1">IFERROR(__xludf.DUMMYFUNCTION("""COMPUTED_VALUE"""),335.23)</f>
        <v>335.23</v>
      </c>
      <c r="F59" s="141">
        <f ca="1">IFERROR(__xludf.DUMMYFUNCTION("""COMPUTED_VALUE"""),335.42)</f>
        <v>335.42</v>
      </c>
      <c r="G59" s="143">
        <f ca="1">IFERROR(__xludf.DUMMYFUNCTION("""COMPUTED_VALUE"""),9619709)</f>
        <v>9619709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IFERROR(__xludf.DUMMYFUNCTION("""COMPUTED_VALUE"""),336.31)</f>
        <v>336.31</v>
      </c>
      <c r="D60" s="141">
        <f ca="1">IFERROR(__xludf.DUMMYFUNCTION("""COMPUTED_VALUE"""),339.28)</f>
        <v>339.28</v>
      </c>
      <c r="E60" s="141">
        <f ca="1">IFERROR(__xludf.DUMMYFUNCTION("""COMPUTED_VALUE"""),336.23)</f>
        <v>336.23</v>
      </c>
      <c r="F60" s="141">
        <f ca="1">IFERROR(__xludf.DUMMYFUNCTION("""COMPUTED_VALUE"""),338.91)</f>
        <v>338.91</v>
      </c>
      <c r="G60" s="143">
        <f ca="1">IFERROR(__xludf.DUMMYFUNCTION("""COMPUTED_VALUE"""),10569881)</f>
        <v>10569881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IFERROR(__xludf.DUMMYFUNCTION("""COMPUTED_VALUE"""),340.09)</f>
        <v>340.09</v>
      </c>
      <c r="D61" s="141">
        <f ca="1">IFERROR(__xludf.DUMMYFUNCTION("""COMPUTED_VALUE"""),340.88)</f>
        <v>340.88</v>
      </c>
      <c r="E61" s="141">
        <f ca="1">IFERROR(__xludf.DUMMYFUNCTION("""COMPUTED_VALUE"""),338.62)</f>
        <v>338.62</v>
      </c>
      <c r="F61" s="141">
        <f ca="1">IFERROR(__xludf.DUMMYFUNCTION("""COMPUTED_VALUE"""),339.59)</f>
        <v>339.59</v>
      </c>
      <c r="G61" s="143">
        <f ca="1">IFERROR(__xludf.DUMMYFUNCTION("""COMPUTED_VALUE"""),12161527)</f>
        <v>12161527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IFERROR(__xludf.DUMMYFUNCTION("""COMPUTED_VALUE"""),338.53)</f>
        <v>338.53</v>
      </c>
      <c r="D62" s="141">
        <f ca="1">IFERROR(__xludf.DUMMYFUNCTION("""COMPUTED_VALUE"""),341.24)</f>
        <v>341.24</v>
      </c>
      <c r="E62" s="141">
        <f ca="1">IFERROR(__xludf.DUMMYFUNCTION("""COMPUTED_VALUE"""),335.52)</f>
        <v>335.52</v>
      </c>
      <c r="F62" s="141">
        <f ca="1">IFERROR(__xludf.DUMMYFUNCTION("""COMPUTED_VALUE"""),336.97)</f>
        <v>336.97</v>
      </c>
      <c r="G62" s="143">
        <f ca="1">IFERROR(__xludf.DUMMYFUNCTION("""COMPUTED_VALUE"""),16535307)</f>
        <v>16535307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IFERROR(__xludf.DUMMYFUNCTION("""COMPUTED_VALUE"""),336.22)</f>
        <v>336.22</v>
      </c>
      <c r="D63" s="141">
        <f ca="1">IFERROR(__xludf.DUMMYFUNCTION("""COMPUTED_VALUE"""),336.32)</f>
        <v>336.32</v>
      </c>
      <c r="E63" s="141">
        <f ca="1">IFERROR(__xludf.DUMMYFUNCTION("""COMPUTED_VALUE"""),333.81)</f>
        <v>333.81</v>
      </c>
      <c r="F63" s="141">
        <f ca="1">IFERROR(__xludf.DUMMYFUNCTION("""COMPUTED_VALUE"""),335.62)</f>
        <v>335.62</v>
      </c>
      <c r="G63" s="143">
        <f ca="1">IFERROR(__xludf.DUMMYFUNCTION("""COMPUTED_VALUE"""),14913267)</f>
        <v>14913267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IFERROR(__xludf.DUMMYFUNCTION("""COMPUTED_VALUE"""),336.51)</f>
        <v>336.51</v>
      </c>
      <c r="D64" s="141">
        <f ca="1">IFERROR(__xludf.DUMMYFUNCTION("""COMPUTED_VALUE"""),339.23)</f>
        <v>339.23</v>
      </c>
      <c r="E64" s="141">
        <f ca="1">IFERROR(__xludf.DUMMYFUNCTION("""COMPUTED_VALUE"""),336.31)</f>
        <v>336.31</v>
      </c>
      <c r="F64" s="141">
        <f ca="1">IFERROR(__xludf.DUMMYFUNCTION("""COMPUTED_VALUE"""),339.18)</f>
        <v>339.18</v>
      </c>
      <c r="G64" s="143">
        <f ca="1">IFERROR(__xludf.DUMMYFUNCTION("""COMPUTED_VALUE"""),14982567)</f>
        <v>14982567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IFERROR(__xludf.DUMMYFUNCTION("""COMPUTED_VALUE"""),342.75)</f>
        <v>342.75</v>
      </c>
      <c r="D65" s="141">
        <f ca="1">IFERROR(__xludf.DUMMYFUNCTION("""COMPUTED_VALUE"""),345.07)</f>
        <v>345.07</v>
      </c>
      <c r="E65" s="141">
        <f ca="1">IFERROR(__xludf.DUMMYFUNCTION("""COMPUTED_VALUE"""),341.84)</f>
        <v>341.84</v>
      </c>
      <c r="F65" s="141">
        <f ca="1">IFERROR(__xludf.DUMMYFUNCTION("""COMPUTED_VALUE"""),345.05)</f>
        <v>345.05</v>
      </c>
      <c r="G65" s="143">
        <f ca="1">IFERROR(__xludf.DUMMYFUNCTION("""COMPUTED_VALUE"""),12386419)</f>
        <v>12386419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IFERROR(__xludf.DUMMYFUNCTION("""COMPUTED_VALUE"""),348.23)</f>
        <v>348.23</v>
      </c>
      <c r="D66" s="141">
        <f ca="1">IFERROR(__xludf.DUMMYFUNCTION("""COMPUTED_VALUE"""),348.75)</f>
        <v>348.75</v>
      </c>
      <c r="E66" s="141">
        <f ca="1">IFERROR(__xludf.DUMMYFUNCTION("""COMPUTED_VALUE"""),345.32)</f>
        <v>345.32</v>
      </c>
      <c r="F66" s="141">
        <f ca="1">IFERROR(__xludf.DUMMYFUNCTION("""COMPUTED_VALUE"""),346.46)</f>
        <v>346.46</v>
      </c>
      <c r="G66" s="143">
        <f ca="1">IFERROR(__xludf.DUMMYFUNCTION("""COMPUTED_VALUE"""),18383982)</f>
        <v>18383982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IFERROR(__xludf.DUMMYFUNCTION("""COMPUTED_VALUE"""),346.7)</f>
        <v>346.7</v>
      </c>
      <c r="D67" s="141">
        <f ca="1">IFERROR(__xludf.DUMMYFUNCTION("""COMPUTED_VALUE"""),346.83)</f>
        <v>346.83</v>
      </c>
      <c r="E67" s="141">
        <f ca="1">IFERROR(__xludf.DUMMYFUNCTION("""COMPUTED_VALUE"""),342.14)</f>
        <v>342.14</v>
      </c>
      <c r="F67" s="141">
        <f ca="1">IFERROR(__xludf.DUMMYFUNCTION("""COMPUTED_VALUE"""),343.32)</f>
        <v>343.32</v>
      </c>
      <c r="G67" s="143">
        <f ca="1">IFERROR(__xludf.DUMMYFUNCTION("""COMPUTED_VALUE"""),12709068)</f>
        <v>12709068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IFERROR(__xludf.DUMMYFUNCTION("""COMPUTED_VALUE"""),344.39)</f>
        <v>344.39</v>
      </c>
      <c r="D68" s="141">
        <f ca="1">IFERROR(__xludf.DUMMYFUNCTION("""COMPUTED_VALUE"""),345.83)</f>
        <v>345.83</v>
      </c>
      <c r="E68" s="141">
        <f ca="1">IFERROR(__xludf.DUMMYFUNCTION("""COMPUTED_VALUE"""),342.47)</f>
        <v>342.47</v>
      </c>
      <c r="F68" s="141">
        <f ca="1">IFERROR(__xludf.DUMMYFUNCTION("""COMPUTED_VALUE"""),344.75)</f>
        <v>344.75</v>
      </c>
      <c r="G68" s="143">
        <f ca="1">IFERROR(__xludf.DUMMYFUNCTION("""COMPUTED_VALUE"""),12639583)</f>
        <v>12639583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IFERROR(__xludf.DUMMYFUNCTION("""COMPUTED_VALUE"""),345.83)</f>
        <v>345.83</v>
      </c>
      <c r="D69" s="141">
        <f ca="1">IFERROR(__xludf.DUMMYFUNCTION("""COMPUTED_VALUE"""),348.25)</f>
        <v>348.25</v>
      </c>
      <c r="E69" s="141">
        <f ca="1">IFERROR(__xludf.DUMMYFUNCTION("""COMPUTED_VALUE"""),345.31)</f>
        <v>345.31</v>
      </c>
      <c r="F69" s="141">
        <f ca="1">IFERROR(__xludf.DUMMYFUNCTION("""COMPUTED_VALUE"""),346.74)</f>
        <v>346.74</v>
      </c>
      <c r="G69" s="143">
        <f ca="1">IFERROR(__xludf.DUMMYFUNCTION("""COMPUTED_VALUE"""),11698212)</f>
        <v>11698212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IFERROR(__xludf.DUMMYFUNCTION("""COMPUTED_VALUE"""),351.79)</f>
        <v>351.79</v>
      </c>
      <c r="D70" s="141">
        <f ca="1">IFERROR(__xludf.DUMMYFUNCTION("""COMPUTED_VALUE"""),352.83)</f>
        <v>352.83</v>
      </c>
      <c r="E70" s="141">
        <f ca="1">IFERROR(__xludf.DUMMYFUNCTION("""COMPUTED_VALUE"""),351.28)</f>
        <v>351.28</v>
      </c>
      <c r="F70" s="141">
        <f ca="1">IFERROR(__xludf.DUMMYFUNCTION("""COMPUTED_VALUE"""),352.46)</f>
        <v>352.46</v>
      </c>
      <c r="G70" s="143">
        <f ca="1">IFERROR(__xludf.DUMMYFUNCTION("""COMPUTED_VALUE"""),15719623)</f>
        <v>15719623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IFERROR(__xludf.DUMMYFUNCTION("""COMPUTED_VALUE"""),351.13)</f>
        <v>351.13</v>
      </c>
      <c r="D71" s="141">
        <f ca="1">IFERROR(__xludf.DUMMYFUNCTION("""COMPUTED_VALUE"""),355.57)</f>
        <v>355.57</v>
      </c>
      <c r="E71" s="141">
        <f ca="1">IFERROR(__xludf.DUMMYFUNCTION("""COMPUTED_VALUE"""),350.87)</f>
        <v>350.87</v>
      </c>
      <c r="F71" s="141">
        <f ca="1">IFERROR(__xludf.DUMMYFUNCTION("""COMPUTED_VALUE"""),355.47)</f>
        <v>355.47</v>
      </c>
      <c r="G71" s="143">
        <f ca="1">IFERROR(__xludf.DUMMYFUNCTION("""COMPUTED_VALUE"""),13312353)</f>
        <v>13312353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IFERROR(__xludf.DUMMYFUNCTION("""COMPUTED_VALUE"""),356.17)</f>
        <v>356.17</v>
      </c>
      <c r="D72" s="141">
        <f ca="1">IFERROR(__xludf.DUMMYFUNCTION("""COMPUTED_VALUE"""),356.97)</f>
        <v>356.97</v>
      </c>
      <c r="E72" s="141">
        <f ca="1">IFERROR(__xludf.DUMMYFUNCTION("""COMPUTED_VALUE"""),354.79)</f>
        <v>354.79</v>
      </c>
      <c r="F72" s="141">
        <f ca="1">IFERROR(__xludf.DUMMYFUNCTION("""COMPUTED_VALUE"""),356.03)</f>
        <v>356.03</v>
      </c>
      <c r="G72" s="143">
        <f ca="1">IFERROR(__xludf.DUMMYFUNCTION("""COMPUTED_VALUE"""),15573610)</f>
        <v>15573610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IFERROR(__xludf.DUMMYFUNCTION("""COMPUTED_VALUE"""),358.26)</f>
        <v>358.26</v>
      </c>
      <c r="D73" s="141">
        <f ca="1">IFERROR(__xludf.DUMMYFUNCTION("""COMPUTED_VALUE"""),358.67)</f>
        <v>358.67</v>
      </c>
      <c r="E73" s="141">
        <f ca="1">IFERROR(__xludf.DUMMYFUNCTION("""COMPUTED_VALUE"""),351.4)</f>
        <v>351.4</v>
      </c>
      <c r="F73" s="141">
        <f ca="1">IFERROR(__xludf.DUMMYFUNCTION("""COMPUTED_VALUE"""),354.79)</f>
        <v>354.79</v>
      </c>
      <c r="G73" s="143">
        <f ca="1">IFERROR(__xludf.DUMMYFUNCTION("""COMPUTED_VALUE"""),16162050)</f>
        <v>16162050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IFERROR(__xludf.DUMMYFUNCTION("""COMPUTED_VALUE"""),357.12)</f>
        <v>357.12</v>
      </c>
      <c r="D74" s="141">
        <f ca="1">IFERROR(__xludf.DUMMYFUNCTION("""COMPUTED_VALUE"""),358.14)</f>
        <v>358.14</v>
      </c>
      <c r="E74" s="141">
        <f ca="1">IFERROR(__xludf.DUMMYFUNCTION("""COMPUTED_VALUE"""),355.8)</f>
        <v>355.8</v>
      </c>
      <c r="F74" s="141">
        <f ca="1">IFERROR(__xludf.DUMMYFUNCTION("""COMPUTED_VALUE"""),357.64)</f>
        <v>357.64</v>
      </c>
      <c r="G74" s="143">
        <f ca="1">IFERROR(__xludf.DUMMYFUNCTION("""COMPUTED_VALUE"""),14463960)</f>
        <v>14463960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IFERROR(__xludf.DUMMYFUNCTION("""COMPUTED_VALUE"""),362.16)</f>
        <v>362.16</v>
      </c>
      <c r="D75" s="141">
        <f ca="1">IFERROR(__xludf.DUMMYFUNCTION("""COMPUTED_VALUE"""),365.3)</f>
        <v>365.3</v>
      </c>
      <c r="E75" s="141">
        <f ca="1">IFERROR(__xludf.DUMMYFUNCTION("""COMPUTED_VALUE"""),361.37)</f>
        <v>361.37</v>
      </c>
      <c r="F75" s="141">
        <f ca="1">IFERROR(__xludf.DUMMYFUNCTION("""COMPUTED_VALUE"""),364.38)</f>
        <v>364.38</v>
      </c>
      <c r="G75" s="143">
        <f ca="1">IFERROR(__xludf.DUMMYFUNCTION("""COMPUTED_VALUE"""),17093657)</f>
        <v>17093657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IFERROR(__xludf.DUMMYFUNCTION("""COMPUTED_VALUE"""),366.51)</f>
        <v>366.51</v>
      </c>
      <c r="D76" s="141">
        <f ca="1">IFERROR(__xludf.DUMMYFUNCTION("""COMPUTED_VALUE"""),367.27)</f>
        <v>367.27</v>
      </c>
      <c r="E76" s="141">
        <f ca="1">IFERROR(__xludf.DUMMYFUNCTION("""COMPUTED_VALUE"""),364.55)</f>
        <v>364.55</v>
      </c>
      <c r="F76" s="141">
        <f ca="1">IFERROR(__xludf.DUMMYFUNCTION("""COMPUTED_VALUE"""),366.26)</f>
        <v>366.26</v>
      </c>
      <c r="G76" s="143">
        <f ca="1">IFERROR(__xludf.DUMMYFUNCTION("""COMPUTED_VALUE"""),16836765)</f>
        <v>16836765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IFERROR(__xludf.DUMMYFUNCTION("""COMPUTED_VALUE"""),371.65)</f>
        <v>371.65</v>
      </c>
      <c r="D77" s="141">
        <f ca="1">IFERROR(__xludf.DUMMYFUNCTION("""COMPUTED_VALUE"""),373.57)</f>
        <v>373.57</v>
      </c>
      <c r="E77" s="141">
        <f ca="1">IFERROR(__xludf.DUMMYFUNCTION("""COMPUTED_VALUE"""),370.5)</f>
        <v>370.5</v>
      </c>
      <c r="F77" s="141">
        <f ca="1">IFERROR(__xludf.DUMMYFUNCTION("""COMPUTED_VALUE"""),372.3)</f>
        <v>372.3</v>
      </c>
      <c r="G77" s="143">
        <f ca="1">IFERROR(__xludf.DUMMYFUNCTION("""COMPUTED_VALUE"""),28052276)</f>
        <v>28052276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IFERROR(__xludf.DUMMYFUNCTION("""COMPUTED_VALUE"""),373.14)</f>
        <v>373.14</v>
      </c>
      <c r="D78" s="141">
        <f ca="1">IFERROR(__xludf.DUMMYFUNCTION("""COMPUTED_VALUE"""),373.22)</f>
        <v>373.22</v>
      </c>
      <c r="E78" s="141">
        <f ca="1">IFERROR(__xludf.DUMMYFUNCTION("""COMPUTED_VALUE"""),362.83)</f>
        <v>362.83</v>
      </c>
      <c r="F78" s="141">
        <f ca="1">IFERROR(__xludf.DUMMYFUNCTION("""COMPUTED_VALUE"""),365.43)</f>
        <v>365.43</v>
      </c>
      <c r="G78" s="143">
        <f ca="1">IFERROR(__xludf.DUMMYFUNCTION("""COMPUTED_VALUE"""),33674823)</f>
        <v>33674823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IFERROR(__xludf.DUMMYFUNCTION("""COMPUTED_VALUE"""),367.54)</f>
        <v>367.54</v>
      </c>
      <c r="D79" s="141">
        <f ca="1">IFERROR(__xludf.DUMMYFUNCTION("""COMPUTED_VALUE"""),370.31)</f>
        <v>370.31</v>
      </c>
      <c r="E79" s="141">
        <f ca="1">IFERROR(__xludf.DUMMYFUNCTION("""COMPUTED_VALUE"""),365.44)</f>
        <v>365.44</v>
      </c>
      <c r="F79" s="141">
        <f ca="1">IFERROR(__xludf.DUMMYFUNCTION("""COMPUTED_VALUE"""),369.12)</f>
        <v>369.12</v>
      </c>
      <c r="G79" s="143">
        <f ca="1">IFERROR(__xludf.DUMMYFUNCTION("""COMPUTED_VALUE"""),24192782)</f>
        <v>24192782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IFERROR(__xludf.DUMMYFUNCTION("""COMPUTED_VALUE"""),376.5)</f>
        <v>376.5</v>
      </c>
      <c r="D80" s="141">
        <f ca="1">IFERROR(__xludf.DUMMYFUNCTION("""COMPUTED_VALUE"""),378.86)</f>
        <v>378.86</v>
      </c>
      <c r="E80" s="141">
        <f ca="1">IFERROR(__xludf.DUMMYFUNCTION("""COMPUTED_VALUE"""),375.58)</f>
        <v>375.58</v>
      </c>
      <c r="F80" s="141">
        <f ca="1">IFERROR(__xludf.DUMMYFUNCTION("""COMPUTED_VALUE"""),378.09)</f>
        <v>378.09</v>
      </c>
      <c r="G80" s="143">
        <f ca="1">IFERROR(__xludf.DUMMYFUNCTION("""COMPUTED_VALUE"""),18514421)</f>
        <v>18514421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IFERROR(__xludf.DUMMYFUNCTION("""COMPUTED_VALUE"""),378.21)</f>
        <v>378.21</v>
      </c>
      <c r="D81" s="141">
        <f ca="1">IFERROR(__xludf.DUMMYFUNCTION("""COMPUTED_VALUE"""),382.38)</f>
        <v>382.38</v>
      </c>
      <c r="E81" s="141">
        <f ca="1">IFERROR(__xludf.DUMMYFUNCTION("""COMPUTED_VALUE"""),377.9)</f>
        <v>377.9</v>
      </c>
      <c r="F81" s="141">
        <f ca="1">IFERROR(__xludf.DUMMYFUNCTION("""COMPUTED_VALUE"""),380.79)</f>
        <v>380.79</v>
      </c>
      <c r="G81" s="143">
        <f ca="1">IFERROR(__xludf.DUMMYFUNCTION("""COMPUTED_VALUE"""),18409632)</f>
        <v>18409632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IFERROR(__xludf.DUMMYFUNCTION("""COMPUTED_VALUE"""),385.93)</f>
        <v>385.93</v>
      </c>
      <c r="D82" s="141">
        <f ca="1">IFERROR(__xludf.DUMMYFUNCTION("""COMPUTED_VALUE"""),387.76)</f>
        <v>387.76</v>
      </c>
      <c r="E82" s="141">
        <f ca="1">IFERROR(__xludf.DUMMYFUNCTION("""COMPUTED_VALUE"""),384.59)</f>
        <v>384.59</v>
      </c>
      <c r="F82" s="141">
        <f ca="1">IFERROR(__xludf.DUMMYFUNCTION("""COMPUTED_VALUE"""),387.39)</f>
        <v>387.39</v>
      </c>
      <c r="G82" s="143">
        <f ca="1">IFERROR(__xludf.DUMMYFUNCTION("""COMPUTED_VALUE"""),20598324)</f>
        <v>20598324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IFERROR(__xludf.DUMMYFUNCTION("""COMPUTED_VALUE"""),391.15)</f>
        <v>391.15</v>
      </c>
      <c r="D83" s="141">
        <f ca="1">IFERROR(__xludf.DUMMYFUNCTION("""COMPUTED_VALUE"""),396.87)</f>
        <v>396.87</v>
      </c>
      <c r="E83" s="141">
        <f ca="1">IFERROR(__xludf.DUMMYFUNCTION("""COMPUTED_VALUE"""),390.4)</f>
        <v>390.4</v>
      </c>
      <c r="F83" s="141">
        <f ca="1">IFERROR(__xludf.DUMMYFUNCTION("""COMPUTED_VALUE"""),396.45)</f>
        <v>396.45</v>
      </c>
      <c r="G83" s="143">
        <f ca="1">IFERROR(__xludf.DUMMYFUNCTION("""COMPUTED_VALUE"""),33621444)</f>
        <v>33621444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IFERROR(__xludf.DUMMYFUNCTION("""COMPUTED_VALUE"""),397.14)</f>
        <v>397.14</v>
      </c>
      <c r="D84" s="141">
        <f ca="1">IFERROR(__xludf.DUMMYFUNCTION("""COMPUTED_VALUE"""),397.28)</f>
        <v>397.28</v>
      </c>
      <c r="E84" s="141">
        <f ca="1">IFERROR(__xludf.DUMMYFUNCTION("""COMPUTED_VALUE"""),385.22)</f>
        <v>385.22</v>
      </c>
      <c r="F84" s="141">
        <f ca="1">IFERROR(__xludf.DUMMYFUNCTION("""COMPUTED_VALUE"""),388.99)</f>
        <v>388.99</v>
      </c>
      <c r="G84" s="143">
        <f ca="1">IFERROR(__xludf.DUMMYFUNCTION("""COMPUTED_VALUE"""),62024965)</f>
        <v>62024965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IFERROR(__xludf.DUMMYFUNCTION("""COMPUTED_VALUE"""),397.45)</f>
        <v>397.45</v>
      </c>
      <c r="D85" s="141">
        <f ca="1">IFERROR(__xludf.DUMMYFUNCTION("""COMPUTED_VALUE"""),403.3)</f>
        <v>403.3</v>
      </c>
      <c r="E85" s="141">
        <f ca="1">IFERROR(__xludf.DUMMYFUNCTION("""COMPUTED_VALUE"""),394.2)</f>
        <v>394.2</v>
      </c>
      <c r="F85" s="141">
        <f ca="1">IFERROR(__xludf.DUMMYFUNCTION("""COMPUTED_VALUE"""),403.15)</f>
        <v>403.15</v>
      </c>
      <c r="G85" s="143">
        <f ca="1">IFERROR(__xludf.DUMMYFUNCTION("""COMPUTED_VALUE"""),34523022)</f>
        <v>34523022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IFERROR(__xludf.DUMMYFUNCTION("""COMPUTED_VALUE"""),386.54)</f>
        <v>386.54</v>
      </c>
      <c r="D86" s="141">
        <f ca="1">IFERROR(__xludf.DUMMYFUNCTION("""COMPUTED_VALUE"""),388.89)</f>
        <v>388.89</v>
      </c>
      <c r="E86" s="141">
        <f ca="1">IFERROR(__xludf.DUMMYFUNCTION("""COMPUTED_VALUE"""),375.65)</f>
        <v>375.65</v>
      </c>
      <c r="F86" s="141">
        <f ca="1">IFERROR(__xludf.DUMMYFUNCTION("""COMPUTED_VALUE"""),377.24)</f>
        <v>377.24</v>
      </c>
      <c r="G86" s="143">
        <f ca="1">IFERROR(__xludf.DUMMYFUNCTION("""COMPUTED_VALUE"""),54101416)</f>
        <v>54101416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IFERROR(__xludf.DUMMYFUNCTION("""COMPUTED_VALUE"""),372.75)</f>
        <v>372.75</v>
      </c>
      <c r="D87" s="141">
        <f ca="1">IFERROR(__xludf.DUMMYFUNCTION("""COMPUTED_VALUE"""),378.47)</f>
        <v>378.47</v>
      </c>
      <c r="E87" s="141">
        <f ca="1">IFERROR(__xludf.DUMMYFUNCTION("""COMPUTED_VALUE"""),368.93)</f>
        <v>368.93</v>
      </c>
      <c r="F87" s="141">
        <f ca="1">IFERROR(__xludf.DUMMYFUNCTION("""COMPUTED_VALUE"""),377.28)</f>
        <v>377.28</v>
      </c>
      <c r="G87" s="143">
        <f ca="1">IFERROR(__xludf.DUMMYFUNCTION("""COMPUTED_VALUE"""),30524126)</f>
        <v>30524126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IFERROR(__xludf.DUMMYFUNCTION("""COMPUTED_VALUE"""),381.46)</f>
        <v>381.46</v>
      </c>
      <c r="D88" s="141">
        <f ca="1">IFERROR(__xludf.DUMMYFUNCTION("""COMPUTED_VALUE"""),382.25)</f>
        <v>382.25</v>
      </c>
      <c r="E88" s="141">
        <f ca="1">IFERROR(__xludf.DUMMYFUNCTION("""COMPUTED_VALUE"""),378.65)</f>
        <v>378.65</v>
      </c>
      <c r="F88" s="141">
        <f ca="1">IFERROR(__xludf.DUMMYFUNCTION("""COMPUTED_VALUE"""),378.79)</f>
        <v>378.79</v>
      </c>
      <c r="G88" s="143">
        <f ca="1">IFERROR(__xludf.DUMMYFUNCTION("""COMPUTED_VALUE"""),13695495)</f>
        <v>13695495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IFERROR(__xludf.DUMMYFUNCTION("""COMPUTED_VALUE"""),378.51)</f>
        <v>378.51</v>
      </c>
      <c r="D89" s="141">
        <f ca="1">IFERROR(__xludf.DUMMYFUNCTION("""COMPUTED_VALUE"""),380.77)</f>
        <v>380.77</v>
      </c>
      <c r="E89" s="141">
        <f ca="1">IFERROR(__xludf.DUMMYFUNCTION("""COMPUTED_VALUE"""),376.81)</f>
        <v>376.81</v>
      </c>
      <c r="F89" s="141">
        <f ca="1">IFERROR(__xludf.DUMMYFUNCTION("""COMPUTED_VALUE"""),377.52)</f>
        <v>377.52</v>
      </c>
      <c r="G89" s="143">
        <f ca="1">IFERROR(__xludf.DUMMYFUNCTION("""COMPUTED_VALUE"""),13263803)</f>
        <v>13263803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IFERROR(__xludf.DUMMYFUNCTION("""COMPUTED_VALUE"""),371.13)</f>
        <v>371.13</v>
      </c>
      <c r="D90" s="141">
        <f ca="1">IFERROR(__xludf.DUMMYFUNCTION("""COMPUTED_VALUE"""),371.59)</f>
        <v>371.59</v>
      </c>
      <c r="E90" s="141">
        <f ca="1">IFERROR(__xludf.DUMMYFUNCTION("""COMPUTED_VALUE"""),365.34)</f>
        <v>365.34</v>
      </c>
      <c r="F90" s="141">
        <f ca="1">IFERROR(__xludf.DUMMYFUNCTION("""COMPUTED_VALUE"""),367.01)</f>
        <v>367.01</v>
      </c>
      <c r="G90" s="143">
        <f ca="1">IFERROR(__xludf.DUMMYFUNCTION("""COMPUTED_VALUE"""),23657603)</f>
        <v>23657603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IFERROR(__xludf.DUMMYFUNCTION("""COMPUTED_VALUE"""),361.81)</f>
        <v>361.81</v>
      </c>
      <c r="D91" s="141">
        <f ca="1">IFERROR(__xludf.DUMMYFUNCTION("""COMPUTED_VALUE"""),365.3)</f>
        <v>365.3</v>
      </c>
      <c r="E91" s="141">
        <f ca="1">IFERROR(__xludf.DUMMYFUNCTION("""COMPUTED_VALUE"""),360.12)</f>
        <v>360.12</v>
      </c>
      <c r="F91" s="141">
        <f ca="1">IFERROR(__xludf.DUMMYFUNCTION("""COMPUTED_VALUE"""),364.38)</f>
        <v>364.38</v>
      </c>
      <c r="G91" s="143">
        <f ca="1">IFERROR(__xludf.DUMMYFUNCTION("""COMPUTED_VALUE"""),19257592)</f>
        <v>19257592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IFERROR(__xludf.DUMMYFUNCTION("""COMPUTED_VALUE"""),369.65)</f>
        <v>369.65</v>
      </c>
      <c r="D92" s="141">
        <f ca="1">IFERROR(__xludf.DUMMYFUNCTION("""COMPUTED_VALUE"""),370.08)</f>
        <v>370.08</v>
      </c>
      <c r="E92" s="141">
        <f ca="1">IFERROR(__xludf.DUMMYFUNCTION("""COMPUTED_VALUE"""),361.36)</f>
        <v>361.36</v>
      </c>
      <c r="F92" s="141">
        <f ca="1">IFERROR(__xludf.DUMMYFUNCTION("""COMPUTED_VALUE"""),363)</f>
        <v>363</v>
      </c>
      <c r="G92" s="143">
        <f ca="1">IFERROR(__xludf.DUMMYFUNCTION("""COMPUTED_VALUE"""),18891849)</f>
        <v>18891849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IFERROR(__xludf.DUMMYFUNCTION("""COMPUTED_VALUE"""),365.09)</f>
        <v>365.09</v>
      </c>
      <c r="D93" s="141">
        <f ca="1">IFERROR(__xludf.DUMMYFUNCTION("""COMPUTED_VALUE"""),370.36)</f>
        <v>370.36</v>
      </c>
      <c r="E93" s="141">
        <f ca="1">IFERROR(__xludf.DUMMYFUNCTION("""COMPUTED_VALUE"""),364.5)</f>
        <v>364.5</v>
      </c>
      <c r="F93" s="141">
        <f ca="1">IFERROR(__xludf.DUMMYFUNCTION("""COMPUTED_VALUE"""),370.13)</f>
        <v>370.13</v>
      </c>
      <c r="G93" s="143">
        <f ca="1">IFERROR(__xludf.DUMMYFUNCTION("""COMPUTED_VALUE"""),14812754)</f>
        <v>14812754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IFERROR(__xludf.DUMMYFUNCTION("""COMPUTED_VALUE"""),370.47)</f>
        <v>370.47</v>
      </c>
      <c r="D94" s="141">
        <f ca="1">IFERROR(__xludf.DUMMYFUNCTION("""COMPUTED_VALUE"""),370.66)</f>
        <v>370.66</v>
      </c>
      <c r="E94" s="141">
        <f ca="1">IFERROR(__xludf.DUMMYFUNCTION("""COMPUTED_VALUE"""),365.5)</f>
        <v>365.5</v>
      </c>
      <c r="F94" s="141">
        <f ca="1">IFERROR(__xludf.DUMMYFUNCTION("""COMPUTED_VALUE"""),368.12)</f>
        <v>368.12</v>
      </c>
      <c r="G94" s="143">
        <f ca="1">IFERROR(__xludf.DUMMYFUNCTION("""COMPUTED_VALUE"""),11077910)</f>
        <v>11077910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IFERROR(__xludf.DUMMYFUNCTION("""COMPUTED_VALUE"""),368.91)</f>
        <v>368.91</v>
      </c>
      <c r="D95" s="141">
        <f ca="1">IFERROR(__xludf.DUMMYFUNCTION("""COMPUTED_VALUE"""),370.84)</f>
        <v>370.84</v>
      </c>
      <c r="E95" s="141">
        <f ca="1">IFERROR(__xludf.DUMMYFUNCTION("""COMPUTED_VALUE"""),367.54)</f>
        <v>367.54</v>
      </c>
      <c r="F95" s="141">
        <f ca="1">IFERROR(__xludf.DUMMYFUNCTION("""COMPUTED_VALUE"""),368.78)</f>
        <v>368.78</v>
      </c>
      <c r="G95" s="143">
        <f ca="1">IFERROR(__xludf.DUMMYFUNCTION("""COMPUTED_VALUE"""),7254265)</f>
        <v>7254265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IFERROR(__xludf.DUMMYFUNCTION("""COMPUTED_VALUE"""),363.48)</f>
        <v>363.48</v>
      </c>
      <c r="D96" s="141">
        <f ca="1">IFERROR(__xludf.DUMMYFUNCTION("""COMPUTED_VALUE"""),365.74)</f>
        <v>365.74</v>
      </c>
      <c r="E96" s="141">
        <f ca="1">IFERROR(__xludf.DUMMYFUNCTION("""COMPUTED_VALUE"""),361.39)</f>
        <v>361.39</v>
      </c>
      <c r="F96" s="141">
        <f ca="1">IFERROR(__xludf.DUMMYFUNCTION("""COMPUTED_VALUE"""),362.32)</f>
        <v>362.32</v>
      </c>
      <c r="G96" s="143">
        <f ca="1">IFERROR(__xludf.DUMMYFUNCTION("""COMPUTED_VALUE"""),11540059)</f>
        <v>11540059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IFERROR(__xludf.DUMMYFUNCTION("""COMPUTED_VALUE"""),366.39)</f>
        <v>366.39</v>
      </c>
      <c r="D97" s="141">
        <f ca="1">IFERROR(__xludf.DUMMYFUNCTION("""COMPUTED_VALUE"""),367.1)</f>
        <v>367.1</v>
      </c>
      <c r="E97" s="141">
        <f ca="1">IFERROR(__xludf.DUMMYFUNCTION("""COMPUTED_VALUE"""),364.65)</f>
        <v>364.65</v>
      </c>
      <c r="F97" s="141">
        <f ca="1">IFERROR(__xludf.DUMMYFUNCTION("""COMPUTED_VALUE"""),366.51)</f>
        <v>366.51</v>
      </c>
      <c r="G97" s="143">
        <f ca="1">IFERROR(__xludf.DUMMYFUNCTION("""COMPUTED_VALUE"""),8357300)</f>
        <v>8357300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IFERROR(__xludf.DUMMYFUNCTION("""COMPUTED_VALUE"""),367.16)</f>
        <v>367.16</v>
      </c>
      <c r="D98" s="141">
        <f ca="1">IFERROR(__xludf.DUMMYFUNCTION("""COMPUTED_VALUE"""),368.18)</f>
        <v>368.18</v>
      </c>
      <c r="E98" s="141">
        <f ca="1">IFERROR(__xludf.DUMMYFUNCTION("""COMPUTED_VALUE"""),364.7)</f>
        <v>364.7</v>
      </c>
      <c r="F98" s="141">
        <f ca="1">IFERROR(__xludf.DUMMYFUNCTION("""COMPUTED_VALUE"""),366.07)</f>
        <v>366.07</v>
      </c>
      <c r="G98" s="143">
        <f ca="1">IFERROR(__xludf.DUMMYFUNCTION("""COMPUTED_VALUE"""),6891096)</f>
        <v>6891096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IFERROR(__xludf.DUMMYFUNCTION("""COMPUTED_VALUE"""),367.94)</f>
        <v>367.94</v>
      </c>
      <c r="D99" s="141">
        <f ca="1">IFERROR(__xludf.DUMMYFUNCTION("""COMPUTED_VALUE"""),370.42)</f>
        <v>370.42</v>
      </c>
      <c r="E99" s="141">
        <f ca="1">IFERROR(__xludf.DUMMYFUNCTION("""COMPUTED_VALUE"""),366.42)</f>
        <v>366.42</v>
      </c>
      <c r="F99" s="141">
        <f ca="1">IFERROR(__xludf.DUMMYFUNCTION("""COMPUTED_VALUE"""),368.31)</f>
        <v>368.31</v>
      </c>
      <c r="G99" s="143">
        <f ca="1">IFERROR(__xludf.DUMMYFUNCTION("""COMPUTED_VALUE"""),11060358)</f>
        <v>11060358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IFERROR(__xludf.DUMMYFUNCTION("""COMPUTED_VALUE"""),375.93)</f>
        <v>375.93</v>
      </c>
      <c r="D100" s="141">
        <f ca="1">IFERROR(__xludf.DUMMYFUNCTION("""COMPUTED_VALUE"""),378.66)</f>
        <v>378.66</v>
      </c>
      <c r="E100" s="141">
        <f ca="1">IFERROR(__xludf.DUMMYFUNCTION("""COMPUTED_VALUE"""),374.78)</f>
        <v>374.78</v>
      </c>
      <c r="F100" s="141">
        <f ca="1">IFERROR(__xludf.DUMMYFUNCTION("""COMPUTED_VALUE"""),378.38)</f>
        <v>378.38</v>
      </c>
      <c r="G100" s="143">
        <f ca="1">IFERROR(__xludf.DUMMYFUNCTION("""COMPUTED_VALUE"""),13456212)</f>
        <v>13456212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IFERROR(__xludf.DUMMYFUNCTION("""COMPUTED_VALUE"""),379.98)</f>
        <v>379.98</v>
      </c>
      <c r="D101" s="141">
        <f ca="1">IFERROR(__xludf.DUMMYFUNCTION("""COMPUTED_VALUE"""),380.4)</f>
        <v>380.4</v>
      </c>
      <c r="E101" s="141">
        <f ca="1">IFERROR(__xludf.DUMMYFUNCTION("""COMPUTED_VALUE"""),376.87)</f>
        <v>376.87</v>
      </c>
      <c r="F101" s="141">
        <f ca="1">IFERROR(__xludf.DUMMYFUNCTION("""COMPUTED_VALUE"""),379.87)</f>
        <v>379.87</v>
      </c>
      <c r="G101" s="143">
        <f ca="1">IFERROR(__xludf.DUMMYFUNCTION("""COMPUTED_VALUE"""),10753182)</f>
        <v>10753182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IFERROR(__xludf.DUMMYFUNCTION("""COMPUTED_VALUE"""),380.07)</f>
        <v>380.07</v>
      </c>
      <c r="D102" s="141">
        <f ca="1">IFERROR(__xludf.DUMMYFUNCTION("""COMPUTED_VALUE"""),387.46)</f>
        <v>387.46</v>
      </c>
      <c r="E102" s="141">
        <f ca="1">IFERROR(__xludf.DUMMYFUNCTION("""COMPUTED_VALUE"""),379.44)</f>
        <v>379.44</v>
      </c>
      <c r="F102" s="141">
        <f ca="1">IFERROR(__xludf.DUMMYFUNCTION("""COMPUTED_VALUE"""),385.99)</f>
        <v>385.99</v>
      </c>
      <c r="G102" s="143">
        <f ca="1">IFERROR(__xludf.DUMMYFUNCTION("""COMPUTED_VALUE"""),16203718)</f>
        <v>16203718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IFERROR(__xludf.DUMMYFUNCTION("""COMPUTED_VALUE"""),387.29)</f>
        <v>387.29</v>
      </c>
      <c r="D103" s="141">
        <f ca="1">IFERROR(__xludf.DUMMYFUNCTION("""COMPUTED_VALUE"""),388.18)</f>
        <v>388.18</v>
      </c>
      <c r="E103" s="141">
        <f ca="1">IFERROR(__xludf.DUMMYFUNCTION("""COMPUTED_VALUE"""),381.21)</f>
        <v>381.21</v>
      </c>
      <c r="F103" s="141">
        <f ca="1">IFERROR(__xludf.DUMMYFUNCTION("""COMPUTED_VALUE"""),382.87)</f>
        <v>382.87</v>
      </c>
      <c r="G103" s="143">
        <f ca="1">IFERROR(__xludf.DUMMYFUNCTION("""COMPUTED_VALUE"""),15867869)</f>
        <v>15867869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IFERROR(__xludf.DUMMYFUNCTION("""COMPUTED_VALUE"""),372.87)</f>
        <v>372.87</v>
      </c>
      <c r="D104" s="141">
        <f ca="1">IFERROR(__xludf.DUMMYFUNCTION("""COMPUTED_VALUE"""),378.2)</f>
        <v>378.2</v>
      </c>
      <c r="E104" s="141">
        <f ca="1">IFERROR(__xludf.DUMMYFUNCTION("""COMPUTED_VALUE"""),370.89)</f>
        <v>370.89</v>
      </c>
      <c r="F104" s="141">
        <f ca="1">IFERROR(__xludf.DUMMYFUNCTION("""COMPUTED_VALUE"""),375.96)</f>
        <v>375.96</v>
      </c>
      <c r="G104" s="143">
        <f ca="1">IFERROR(__xludf.DUMMYFUNCTION("""COMPUTED_VALUE"""),15198027)</f>
        <v>15198027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IFERROR(__xludf.DUMMYFUNCTION("""COMPUTED_VALUE"""),374.04)</f>
        <v>374.04</v>
      </c>
      <c r="D105" s="141">
        <f ca="1">IFERROR(__xludf.DUMMYFUNCTION("""COMPUTED_VALUE"""),375.46)</f>
        <v>375.46</v>
      </c>
      <c r="E105" s="141">
        <f ca="1">IFERROR(__xludf.DUMMYFUNCTION("""COMPUTED_VALUE"""),368.52)</f>
        <v>368.52</v>
      </c>
      <c r="F105" s="141">
        <f ca="1">IFERROR(__xludf.DUMMYFUNCTION("""COMPUTED_VALUE"""),371.65)</f>
        <v>371.65</v>
      </c>
      <c r="G105" s="143">
        <f ca="1">IFERROR(__xludf.DUMMYFUNCTION("""COMPUTED_VALUE"""),13295248)</f>
        <v>13295248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IFERROR(__xludf.DUMMYFUNCTION("""COMPUTED_VALUE"""),374.83)</f>
        <v>374.83</v>
      </c>
      <c r="D106" s="141">
        <f ca="1">IFERROR(__xludf.DUMMYFUNCTION("""COMPUTED_VALUE"""),375.54)</f>
        <v>375.54</v>
      </c>
      <c r="E106" s="141">
        <f ca="1">IFERROR(__xludf.DUMMYFUNCTION("""COMPUTED_VALUE"""),371.62)</f>
        <v>371.62</v>
      </c>
      <c r="F106" s="141">
        <f ca="1">IFERROR(__xludf.DUMMYFUNCTION("""COMPUTED_VALUE"""),374.35)</f>
        <v>374.35</v>
      </c>
      <c r="G106" s="143">
        <f ca="1">IFERROR(__xludf.DUMMYFUNCTION("""COMPUTED_VALUE"""),7818783)</f>
        <v>7818783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IFERROR(__xludf.DUMMYFUNCTION("""COMPUTED_VALUE"""),377.78)</f>
        <v>377.78</v>
      </c>
      <c r="D107" s="141">
        <f ca="1">IFERROR(__xludf.DUMMYFUNCTION("""COMPUTED_VALUE"""),380.17)</f>
        <v>380.17</v>
      </c>
      <c r="E107" s="141">
        <f ca="1">IFERROR(__xludf.DUMMYFUNCTION("""COMPUTED_VALUE"""),373.03)</f>
        <v>373.03</v>
      </c>
      <c r="F107" s="141">
        <f ca="1">IFERROR(__xludf.DUMMYFUNCTION("""COMPUTED_VALUE"""),374.96)</f>
        <v>374.96</v>
      </c>
      <c r="G107" s="143">
        <f ca="1">IFERROR(__xludf.DUMMYFUNCTION("""COMPUTED_VALUE"""),10980420)</f>
        <v>10980420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IFERROR(__xludf.DUMMYFUNCTION("""COMPUTED_VALUE"""),375.29)</f>
        <v>375.29</v>
      </c>
      <c r="D108" s="141">
        <f ca="1">IFERROR(__xludf.DUMMYFUNCTION("""COMPUTED_VALUE"""),377.69)</f>
        <v>377.69</v>
      </c>
      <c r="E108" s="141">
        <f ca="1">IFERROR(__xludf.DUMMYFUNCTION("""COMPUTED_VALUE"""),371.85)</f>
        <v>371.85</v>
      </c>
      <c r="F108" s="141">
        <f ca="1">IFERROR(__xludf.DUMMYFUNCTION("""COMPUTED_VALUE"""),374.85)</f>
        <v>374.85</v>
      </c>
      <c r="G108" s="143">
        <f ca="1">IFERROR(__xludf.DUMMYFUNCTION("""COMPUTED_VALUE"""),10506548)</f>
        <v>10506548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IFERROR(__xludf.DUMMYFUNCTION("""COMPUTED_VALUE"""),374.03)</f>
        <v>374.03</v>
      </c>
      <c r="D109" s="141">
        <f ca="1">IFERROR(__xludf.DUMMYFUNCTION("""COMPUTED_VALUE"""),377.23)</f>
        <v>377.23</v>
      </c>
      <c r="E109" s="141">
        <f ca="1">IFERROR(__xludf.DUMMYFUNCTION("""COMPUTED_VALUE"""),372.94)</f>
        <v>372.94</v>
      </c>
      <c r="F109" s="141">
        <f ca="1">IFERROR(__xludf.DUMMYFUNCTION("""COMPUTED_VALUE"""),374.27)</f>
        <v>374.27</v>
      </c>
      <c r="G109" s="143">
        <f ca="1">IFERROR(__xludf.DUMMYFUNCTION("""COMPUTED_VALUE"""),13194563)</f>
        <v>13194563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IFERROR(__xludf.DUMMYFUNCTION("""COMPUTED_VALUE"""),374.88)</f>
        <v>374.88</v>
      </c>
      <c r="D110" s="141">
        <f ca="1">IFERROR(__xludf.DUMMYFUNCTION("""COMPUTED_VALUE"""),380.28)</f>
        <v>380.28</v>
      </c>
      <c r="E110" s="141">
        <f ca="1">IFERROR(__xludf.DUMMYFUNCTION("""COMPUTED_VALUE"""),374.19)</f>
        <v>374.19</v>
      </c>
      <c r="F110" s="141">
        <f ca="1">IFERROR(__xludf.DUMMYFUNCTION("""COMPUTED_VALUE"""),380.2)</f>
        <v>380.2</v>
      </c>
      <c r="G110" s="143">
        <f ca="1">IFERROR(__xludf.DUMMYFUNCTION("""COMPUTED_VALUE"""),10085318)</f>
        <v>10085318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IFERROR(__xludf.DUMMYFUNCTION("""COMPUTED_VALUE"""),380.26)</f>
        <v>380.26</v>
      </c>
      <c r="D111" s="141">
        <f ca="1">IFERROR(__xludf.DUMMYFUNCTION("""COMPUTED_VALUE"""),382.52)</f>
        <v>382.52</v>
      </c>
      <c r="E111" s="141">
        <f ca="1">IFERROR(__xludf.DUMMYFUNCTION("""COMPUTED_VALUE"""),378.06)</f>
        <v>378.06</v>
      </c>
      <c r="F111" s="141">
        <f ca="1">IFERROR(__xludf.DUMMYFUNCTION("""COMPUTED_VALUE"""),380.08)</f>
        <v>380.08</v>
      </c>
      <c r="G111" s="143">
        <f ca="1">IFERROR(__xludf.DUMMYFUNCTION("""COMPUTED_VALUE"""),10462806)</f>
        <v>10462806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IFERROR(__xludf.DUMMYFUNCTION("""COMPUTED_VALUE"""),381.06)</f>
        <v>381.06</v>
      </c>
      <c r="D112" s="141">
        <f ca="1">IFERROR(__xludf.DUMMYFUNCTION("""COMPUTED_VALUE"""),383.78)</f>
        <v>383.78</v>
      </c>
      <c r="E112" s="141">
        <f ca="1">IFERROR(__xludf.DUMMYFUNCTION("""COMPUTED_VALUE"""),380.46)</f>
        <v>380.46</v>
      </c>
      <c r="F112" s="141">
        <f ca="1">IFERROR(__xludf.DUMMYFUNCTION("""COMPUTED_VALUE"""),383.12)</f>
        <v>383.12</v>
      </c>
      <c r="G112" s="143">
        <f ca="1">IFERROR(__xludf.DUMMYFUNCTION("""COMPUTED_VALUE"""),9184071)</f>
        <v>9184071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IFERROR(__xludf.DUMMYFUNCTION("""COMPUTED_VALUE"""),385.98)</f>
        <v>385.98</v>
      </c>
      <c r="D113" s="141">
        <f ca="1">IFERROR(__xludf.DUMMYFUNCTION("""COMPUTED_VALUE"""),388)</f>
        <v>388</v>
      </c>
      <c r="E113" s="141">
        <f ca="1">IFERROR(__xludf.DUMMYFUNCTION("""COMPUTED_VALUE"""),384.99)</f>
        <v>384.99</v>
      </c>
      <c r="F113" s="141">
        <f ca="1">IFERROR(__xludf.DUMMYFUNCTION("""COMPUTED_VALUE"""),387.88)</f>
        <v>387.88</v>
      </c>
      <c r="G113" s="143">
        <f ca="1">IFERROR(__xludf.DUMMYFUNCTION("""COMPUTED_VALUE"""),7175407)</f>
        <v>7175407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IFERROR(__xludf.DUMMYFUNCTION("""COMPUTED_VALUE"""),390.61)</f>
        <v>390.61</v>
      </c>
      <c r="D114" s="141">
        <f ca="1">IFERROR(__xludf.DUMMYFUNCTION("""COMPUTED_VALUE"""),390.7)</f>
        <v>390.7</v>
      </c>
      <c r="E114" s="141">
        <f ca="1">IFERROR(__xludf.DUMMYFUNCTION("""COMPUTED_VALUE"""),388.06)</f>
        <v>388.06</v>
      </c>
      <c r="F114" s="141">
        <f ca="1">IFERROR(__xludf.DUMMYFUNCTION("""COMPUTED_VALUE"""),389.75)</f>
        <v>389.75</v>
      </c>
      <c r="G114" s="143">
        <f ca="1">IFERROR(__xludf.DUMMYFUNCTION("""COMPUTED_VALUE"""),11177072)</f>
        <v>11177072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IFERROR(__xludf.DUMMYFUNCTION("""COMPUTED_VALUE"""),388.87)</f>
        <v>388.87</v>
      </c>
      <c r="D115" s="141">
        <f ca="1">IFERROR(__xludf.DUMMYFUNCTION("""COMPUTED_VALUE"""),388.98)</f>
        <v>388.98</v>
      </c>
      <c r="E115" s="141">
        <f ca="1">IFERROR(__xludf.DUMMYFUNCTION("""COMPUTED_VALUE"""),382.91)</f>
        <v>382.91</v>
      </c>
      <c r="F115" s="141">
        <f ca="1">IFERROR(__xludf.DUMMYFUNCTION("""COMPUTED_VALUE"""),387.24)</f>
        <v>387.24</v>
      </c>
      <c r="G115" s="143">
        <f ca="1">IFERROR(__xludf.DUMMYFUNCTION("""COMPUTED_VALUE"""),8103923)</f>
        <v>8103923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IFERROR(__xludf.DUMMYFUNCTION("""COMPUTED_VALUE"""),388.46)</f>
        <v>388.46</v>
      </c>
      <c r="D116" s="141">
        <f ca="1">IFERROR(__xludf.DUMMYFUNCTION("""COMPUTED_VALUE"""),390.13)</f>
        <v>390.13</v>
      </c>
      <c r="E116" s="141">
        <f ca="1">IFERROR(__xludf.DUMMYFUNCTION("""COMPUTED_VALUE"""),385.83)</f>
        <v>385.83</v>
      </c>
      <c r="F116" s="141">
        <f ca="1">IFERROR(__xludf.DUMMYFUNCTION("""COMPUTED_VALUE"""),386.88)</f>
        <v>386.88</v>
      </c>
      <c r="G116" s="143">
        <f ca="1">IFERROR(__xludf.DUMMYFUNCTION("""COMPUTED_VALUE"""),7886793)</f>
        <v>7886793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IFERROR(__xludf.DUMMYFUNCTION("""COMPUTED_VALUE"""),386.92)</f>
        <v>386.92</v>
      </c>
      <c r="D117" s="141">
        <f ca="1">IFERROR(__xludf.DUMMYFUNCTION("""COMPUTED_VALUE"""),388)</f>
        <v>388</v>
      </c>
      <c r="E117" s="141">
        <f ca="1">IFERROR(__xludf.DUMMYFUNCTION("""COMPUTED_VALUE"""),385.4)</f>
        <v>385.4</v>
      </c>
      <c r="F117" s="141">
        <f ca="1">IFERROR(__xludf.DUMMYFUNCTION("""COMPUTED_VALUE"""),387.13)</f>
        <v>387.13</v>
      </c>
      <c r="G117" s="143">
        <f ca="1">IFERROR(__xludf.DUMMYFUNCTION("""COMPUTED_VALUE"""),6754434)</f>
        <v>6754434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IFERROR(__xludf.DUMMYFUNCTION("""COMPUTED_VALUE"""),389.12)</f>
        <v>389.12</v>
      </c>
      <c r="D118" s="141">
        <f ca="1">IFERROR(__xludf.DUMMYFUNCTION("""COMPUTED_VALUE"""),391.74)</f>
        <v>391.74</v>
      </c>
      <c r="E118" s="141">
        <f ca="1">IFERROR(__xludf.DUMMYFUNCTION("""COMPUTED_VALUE"""),386.18)</f>
        <v>386.18</v>
      </c>
      <c r="F118" s="141">
        <f ca="1">IFERROR(__xludf.DUMMYFUNCTION("""COMPUTED_VALUE"""),386.44)</f>
        <v>386.44</v>
      </c>
      <c r="G118" s="143">
        <f ca="1">IFERROR(__xludf.DUMMYFUNCTION("""COMPUTED_VALUE"""),9449808)</f>
        <v>9449808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IFERROR(__xludf.DUMMYFUNCTION("""COMPUTED_VALUE"""),387.02)</f>
        <v>387.02</v>
      </c>
      <c r="D119" s="141">
        <f ca="1">IFERROR(__xludf.DUMMYFUNCTION("""COMPUTED_VALUE"""),387.24)</f>
        <v>387.24</v>
      </c>
      <c r="E119" s="141">
        <f ca="1">IFERROR(__xludf.DUMMYFUNCTION("""COMPUTED_VALUE"""),384.01)</f>
        <v>384.01</v>
      </c>
      <c r="F119" s="141">
        <f ca="1">IFERROR(__xludf.DUMMYFUNCTION("""COMPUTED_VALUE"""),385.42)</f>
        <v>385.42</v>
      </c>
      <c r="G119" s="143">
        <f ca="1">IFERROR(__xludf.DUMMYFUNCTION("""COMPUTED_VALUE"""),6822119)</f>
        <v>6822119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IFERROR(__xludf.DUMMYFUNCTION("""COMPUTED_VALUE"""),385.62)</f>
        <v>385.62</v>
      </c>
      <c r="D120" s="141">
        <f ca="1">IFERROR(__xludf.DUMMYFUNCTION("""COMPUTED_VALUE"""),388.21)</f>
        <v>388.21</v>
      </c>
      <c r="E120" s="141">
        <f ca="1">IFERROR(__xludf.DUMMYFUNCTION("""COMPUTED_VALUE"""),385.27)</f>
        <v>385.27</v>
      </c>
      <c r="F120" s="141">
        <f ca="1">IFERROR(__xludf.DUMMYFUNCTION("""COMPUTED_VALUE"""),387.4)</f>
        <v>387.4</v>
      </c>
      <c r="G120" s="143">
        <f ca="1">IFERROR(__xludf.DUMMYFUNCTION("""COMPUTED_VALUE"""),6358694)</f>
        <v>6358694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IFERROR(__xludf.DUMMYFUNCTION("""COMPUTED_VALUE"""),385.95)</f>
        <v>385.95</v>
      </c>
      <c r="D121" s="141">
        <f ca="1">IFERROR(__xludf.DUMMYFUNCTION("""COMPUTED_VALUE"""),389.76)</f>
        <v>389.76</v>
      </c>
      <c r="E121" s="141">
        <f ca="1">IFERROR(__xludf.DUMMYFUNCTION("""COMPUTED_VALUE"""),384.5)</f>
        <v>384.5</v>
      </c>
      <c r="F121" s="141">
        <f ca="1">IFERROR(__xludf.DUMMYFUNCTION("""COMPUTED_VALUE"""),389.05)</f>
        <v>389.05</v>
      </c>
      <c r="G121" s="143">
        <f ca="1">IFERROR(__xludf.DUMMYFUNCTION("""COMPUTED_VALUE"""),9120475)</f>
        <v>9120475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IFERROR(__xludf.DUMMYFUNCTION("""COMPUTED_VALUE"""),389.02)</f>
        <v>389.02</v>
      </c>
      <c r="D122" s="141">
        <f ca="1">IFERROR(__xludf.DUMMYFUNCTION("""COMPUTED_VALUE"""),394.09)</f>
        <v>394.09</v>
      </c>
      <c r="E122" s="141">
        <f ca="1">IFERROR(__xludf.DUMMYFUNCTION("""COMPUTED_VALUE"""),388.5)</f>
        <v>388.5</v>
      </c>
      <c r="F122" s="141">
        <f ca="1">IFERROR(__xludf.DUMMYFUNCTION("""COMPUTED_VALUE"""),393.24)</f>
        <v>393.24</v>
      </c>
      <c r="G122" s="143">
        <f ca="1">IFERROR(__xludf.DUMMYFUNCTION("""COMPUTED_VALUE"""),11240629)</f>
        <v>11240629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IFERROR(__xludf.DUMMYFUNCTION("""COMPUTED_VALUE"""),399.16)</f>
        <v>399.16</v>
      </c>
      <c r="D123" s="141">
        <f ca="1">IFERROR(__xludf.DUMMYFUNCTION("""COMPUTED_VALUE"""),400.39)</f>
        <v>400.39</v>
      </c>
      <c r="E123" s="141">
        <f ca="1">IFERROR(__xludf.DUMMYFUNCTION("""COMPUTED_VALUE"""),391.47)</f>
        <v>391.47</v>
      </c>
      <c r="F123" s="141">
        <f ca="1">IFERROR(__xludf.DUMMYFUNCTION("""COMPUTED_VALUE"""),395.44)</f>
        <v>395.44</v>
      </c>
      <c r="G123" s="143">
        <f ca="1">IFERROR(__xludf.DUMMYFUNCTION("""COMPUTED_VALUE"""),16792059)</f>
        <v>16792059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IFERROR(__xludf.DUMMYFUNCTION("""COMPUTED_VALUE"""),397.76)</f>
        <v>397.76</v>
      </c>
      <c r="D124" s="141">
        <f ca="1">IFERROR(__xludf.DUMMYFUNCTION("""COMPUTED_VALUE"""),398.71)</f>
        <v>398.71</v>
      </c>
      <c r="E124" s="141">
        <f ca="1">IFERROR(__xludf.DUMMYFUNCTION("""COMPUTED_VALUE"""),394.07)</f>
        <v>394.07</v>
      </c>
      <c r="F124" s="141">
        <f ca="1">IFERROR(__xludf.DUMMYFUNCTION("""COMPUTED_VALUE"""),395.8)</f>
        <v>395.8</v>
      </c>
      <c r="G124" s="143">
        <f ca="1">IFERROR(__xludf.DUMMYFUNCTION("""COMPUTED_VALUE"""),11345031)</f>
        <v>11345031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IFERROR(__xludf.DUMMYFUNCTION("""COMPUTED_VALUE"""),397.75)</f>
        <v>397.75</v>
      </c>
      <c r="D125" s="141">
        <f ca="1">IFERROR(__xludf.DUMMYFUNCTION("""COMPUTED_VALUE"""),398.71)</f>
        <v>398.71</v>
      </c>
      <c r="E125" s="141">
        <f ca="1">IFERROR(__xludf.DUMMYFUNCTION("""COMPUTED_VALUE"""),394.59)</f>
        <v>394.59</v>
      </c>
      <c r="F125" s="141">
        <f ca="1">IFERROR(__xludf.DUMMYFUNCTION("""COMPUTED_VALUE"""),395.89)</f>
        <v>395.89</v>
      </c>
      <c r="G125" s="143">
        <f ca="1">IFERROR(__xludf.DUMMYFUNCTION("""COMPUTED_VALUE"""),9201557)</f>
        <v>9201557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IFERROR(__xludf.DUMMYFUNCTION("""COMPUTED_VALUE"""),398.08)</f>
        <v>398.08</v>
      </c>
      <c r="D126" s="141">
        <f ca="1">IFERROR(__xludf.DUMMYFUNCTION("""COMPUTED_VALUE"""),399.98)</f>
        <v>399.98</v>
      </c>
      <c r="E126" s="141">
        <f ca="1">IFERROR(__xludf.DUMMYFUNCTION("""COMPUTED_VALUE"""),397.25)</f>
        <v>397.25</v>
      </c>
      <c r="F126" s="141">
        <f ca="1">IFERROR(__xludf.DUMMYFUNCTION("""COMPUTED_VALUE"""),399.29)</f>
        <v>399.29</v>
      </c>
      <c r="G126" s="143">
        <f ca="1">IFERROR(__xludf.DUMMYFUNCTION("""COMPUTED_VALUE"""),10456889)</f>
        <v>10456889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IFERROR(__xludf.DUMMYFUNCTION("""COMPUTED_VALUE"""),398.28)</f>
        <v>398.28</v>
      </c>
      <c r="D127" s="141">
        <f ca="1">IFERROR(__xludf.DUMMYFUNCTION("""COMPUTED_VALUE"""),402.21)</f>
        <v>402.21</v>
      </c>
      <c r="E127" s="141">
        <f ca="1">IFERROR(__xludf.DUMMYFUNCTION("""COMPUTED_VALUE"""),396.05)</f>
        <v>396.05</v>
      </c>
      <c r="F127" s="141">
        <f ca="1">IFERROR(__xludf.DUMMYFUNCTION("""COMPUTED_VALUE"""),398.57)</f>
        <v>398.57</v>
      </c>
      <c r="G127" s="143">
        <f ca="1">IFERROR(__xludf.DUMMYFUNCTION("""COMPUTED_VALUE"""),11837551)</f>
        <v>11837551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IFERROR(__xludf.DUMMYFUNCTION("""COMPUTED_VALUE"""),397.92)</f>
        <v>397.92</v>
      </c>
      <c r="D128" s="141">
        <f ca="1">IFERROR(__xludf.DUMMYFUNCTION("""COMPUTED_VALUE"""),400.63)</f>
        <v>400.63</v>
      </c>
      <c r="E128" s="141">
        <f ca="1">IFERROR(__xludf.DUMMYFUNCTION("""COMPUTED_VALUE"""),397.17)</f>
        <v>397.17</v>
      </c>
      <c r="F128" s="141">
        <f ca="1">IFERROR(__xludf.DUMMYFUNCTION("""COMPUTED_VALUE"""),399.02)</f>
        <v>399.02</v>
      </c>
      <c r="G128" s="143">
        <f ca="1">IFERROR(__xludf.DUMMYFUNCTION("""COMPUTED_VALUE"""),9894767)</f>
        <v>9894767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IFERROR(__xludf.DUMMYFUNCTION("""COMPUTED_VALUE"""),406.98)</f>
        <v>406.98</v>
      </c>
      <c r="D129" s="141">
        <f ca="1">IFERROR(__xludf.DUMMYFUNCTION("""COMPUTED_VALUE"""),408.52)</f>
        <v>408.52</v>
      </c>
      <c r="E129" s="141">
        <f ca="1">IFERROR(__xludf.DUMMYFUNCTION("""COMPUTED_VALUE"""),405.72)</f>
        <v>405.72</v>
      </c>
      <c r="F129" s="141">
        <f ca="1">IFERROR(__xludf.DUMMYFUNCTION("""COMPUTED_VALUE"""),408.23)</f>
        <v>408.23</v>
      </c>
      <c r="G129" s="143">
        <f ca="1">IFERROR(__xludf.DUMMYFUNCTION("""COMPUTED_VALUE"""),14202068)</f>
        <v>14202068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IFERROR(__xludf.DUMMYFUNCTION("""COMPUTED_VALUE"""),410.3)</f>
        <v>410.3</v>
      </c>
      <c r="D130" s="141">
        <f ca="1">IFERROR(__xludf.DUMMYFUNCTION("""COMPUTED_VALUE"""),413.76)</f>
        <v>413.76</v>
      </c>
      <c r="E130" s="141">
        <f ca="1">IFERROR(__xludf.DUMMYFUNCTION("""COMPUTED_VALUE"""),407.1)</f>
        <v>407.1</v>
      </c>
      <c r="F130" s="141">
        <f ca="1">IFERROR(__xludf.DUMMYFUNCTION("""COMPUTED_VALUE"""),413.64)</f>
        <v>413.64</v>
      </c>
      <c r="G130" s="143">
        <f ca="1">IFERROR(__xludf.DUMMYFUNCTION("""COMPUTED_VALUE"""),13193258)</f>
        <v>13193258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IFERROR(__xludf.DUMMYFUNCTION("""COMPUTED_VALUE"""),412.25)</f>
        <v>412.25</v>
      </c>
      <c r="D131" s="141">
        <f ca="1">IFERROR(__xludf.DUMMYFUNCTION("""COMPUTED_VALUE"""),412.63)</f>
        <v>412.63</v>
      </c>
      <c r="E131" s="141">
        <f ca="1">IFERROR(__xludf.DUMMYFUNCTION("""COMPUTED_VALUE"""),408.83)</f>
        <v>408.83</v>
      </c>
      <c r="F131" s="141">
        <f ca="1">IFERROR(__xludf.DUMMYFUNCTION("""COMPUTED_VALUE"""),411.93)</f>
        <v>411.93</v>
      </c>
      <c r="G131" s="143">
        <f ca="1">IFERROR(__xludf.DUMMYFUNCTION("""COMPUTED_VALUE"""),6718437)</f>
        <v>6718437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IFERROR(__xludf.DUMMYFUNCTION("""COMPUTED_VALUE"""),416.48)</f>
        <v>416.48</v>
      </c>
      <c r="D132" s="141">
        <f ca="1">IFERROR(__xludf.DUMMYFUNCTION("""COMPUTED_VALUE"""),418.45)</f>
        <v>418.45</v>
      </c>
      <c r="E132" s="141">
        <f ca="1">IFERROR(__xludf.DUMMYFUNCTION("""COMPUTED_VALUE"""),414.75)</f>
        <v>414.75</v>
      </c>
      <c r="F132" s="141">
        <f ca="1">IFERROR(__xludf.DUMMYFUNCTION("""COMPUTED_VALUE"""),416.74)</f>
        <v>416.74</v>
      </c>
      <c r="G132" s="143">
        <f ca="1">IFERROR(__xludf.DUMMYFUNCTION("""COMPUTED_VALUE"""),10476234)</f>
        <v>10476234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IFERROR(__xludf.DUMMYFUNCTION("""COMPUTED_VALUE"""),403.66)</f>
        <v>403.66</v>
      </c>
      <c r="D133" s="141">
        <f ca="1">IFERROR(__xludf.DUMMYFUNCTION("""COMPUTED_VALUE"""),403.76)</f>
        <v>403.76</v>
      </c>
      <c r="E133" s="141">
        <f ca="1">IFERROR(__xludf.DUMMYFUNCTION("""COMPUTED_VALUE"""),395.33)</f>
        <v>395.33</v>
      </c>
      <c r="F133" s="141">
        <f ca="1">IFERROR(__xludf.DUMMYFUNCTION("""COMPUTED_VALUE"""),398.6)</f>
        <v>398.6</v>
      </c>
      <c r="G133" s="143">
        <f ca="1">IFERROR(__xludf.DUMMYFUNCTION("""COMPUTED_VALUE"""),20679239)</f>
        <v>20679239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IFERROR(__xludf.DUMMYFUNCTION("""COMPUTED_VALUE"""),403.6)</f>
        <v>403.6</v>
      </c>
      <c r="D134" s="141">
        <f ca="1">IFERROR(__xludf.DUMMYFUNCTION("""COMPUTED_VALUE"""),403.8)</f>
        <v>403.8</v>
      </c>
      <c r="E134" s="141">
        <f ca="1">IFERROR(__xludf.DUMMYFUNCTION("""COMPUTED_VALUE"""),398.56)</f>
        <v>398.56</v>
      </c>
      <c r="F134" s="141">
        <f ca="1">IFERROR(__xludf.DUMMYFUNCTION("""COMPUTED_VALUE"""),398.89)</f>
        <v>398.89</v>
      </c>
      <c r="G134" s="143">
        <f ca="1">IFERROR(__xludf.DUMMYFUNCTION("""COMPUTED_VALUE"""),10179028)</f>
        <v>10179028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IFERROR(__xludf.DUMMYFUNCTION("""COMPUTED_VALUE"""),398.6)</f>
        <v>398.6</v>
      </c>
      <c r="D135" s="141">
        <f ca="1">IFERROR(__xludf.DUMMYFUNCTION("""COMPUTED_VALUE"""),400.13)</f>
        <v>400.13</v>
      </c>
      <c r="E135" s="141">
        <f ca="1">IFERROR(__xludf.DUMMYFUNCTION("""COMPUTED_VALUE"""),395.59)</f>
        <v>395.59</v>
      </c>
      <c r="F135" s="141">
        <f ca="1">IFERROR(__xludf.DUMMYFUNCTION("""COMPUTED_VALUE"""),396.31)</f>
        <v>396.31</v>
      </c>
      <c r="G135" s="143">
        <f ca="1">IFERROR(__xludf.DUMMYFUNCTION("""COMPUTED_VALUE"""),10194738)</f>
        <v>10194738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IFERROR(__xludf.DUMMYFUNCTION("""COMPUTED_VALUE"""),401.62)</f>
        <v>401.62</v>
      </c>
      <c r="D136" s="141">
        <f ca="1">IFERROR(__xludf.DUMMYFUNCTION("""COMPUTED_VALUE"""),401.82)</f>
        <v>401.82</v>
      </c>
      <c r="E136" s="141">
        <f ca="1">IFERROR(__xludf.DUMMYFUNCTION("""COMPUTED_VALUE"""),396.25)</f>
        <v>396.25</v>
      </c>
      <c r="F136" s="141">
        <f ca="1">IFERROR(__xludf.DUMMYFUNCTION("""COMPUTED_VALUE"""),398.28)</f>
        <v>398.28</v>
      </c>
      <c r="G136" s="143">
        <f ca="1">IFERROR(__xludf.DUMMYFUNCTION("""COMPUTED_VALUE"""),10372572)</f>
        <v>10372572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IFERROR(__xludf.DUMMYFUNCTION("""COMPUTED_VALUE"""),406.39)</f>
        <v>406.39</v>
      </c>
      <c r="D137" s="141">
        <f ca="1">IFERROR(__xludf.DUMMYFUNCTION("""COMPUTED_VALUE"""),409.72)</f>
        <v>409.72</v>
      </c>
      <c r="E137" s="141">
        <f ca="1">IFERROR(__xludf.DUMMYFUNCTION("""COMPUTED_VALUE"""),406.15)</f>
        <v>406.15</v>
      </c>
      <c r="F137" s="141">
        <f ca="1">IFERROR(__xludf.DUMMYFUNCTION("""COMPUTED_VALUE"""),408.76)</f>
        <v>408.76</v>
      </c>
      <c r="G137" s="143">
        <f ca="1">IFERROR(__xludf.DUMMYFUNCTION("""COMPUTED_VALUE"""),13410637)</f>
        <v>13410637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IFERROR(__xludf.DUMMYFUNCTION("""COMPUTED_VALUE"""),410.67)</f>
        <v>410.67</v>
      </c>
      <c r="D138" s="141">
        <f ca="1">IFERROR(__xludf.DUMMYFUNCTION("""COMPUTED_VALUE"""),413.48)</f>
        <v>413.48</v>
      </c>
      <c r="E138" s="141">
        <f ca="1">IFERROR(__xludf.DUMMYFUNCTION("""COMPUTED_VALUE"""),410.31)</f>
        <v>410.31</v>
      </c>
      <c r="F138" s="141">
        <f ca="1">IFERROR(__xludf.DUMMYFUNCTION("""COMPUTED_VALUE"""),413.18)</f>
        <v>413.18</v>
      </c>
      <c r="G138" s="143">
        <f ca="1">IFERROR(__xludf.DUMMYFUNCTION("""COMPUTED_VALUE"""),11640912)</f>
        <v>11640912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IFERROR(__xludf.DUMMYFUNCTION("""COMPUTED_VALUE"""),408.63)</f>
        <v>408.63</v>
      </c>
      <c r="D139" s="141">
        <f ca="1">IFERROR(__xludf.DUMMYFUNCTION("""COMPUTED_VALUE"""),410.81)</f>
        <v>410.81</v>
      </c>
      <c r="E139" s="141">
        <f ca="1">IFERROR(__xludf.DUMMYFUNCTION("""COMPUTED_VALUE"""),406.65)</f>
        <v>406.65</v>
      </c>
      <c r="F139" s="141">
        <f ca="1">IFERROR(__xludf.DUMMYFUNCTION("""COMPUTED_VALUE"""),409.23)</f>
        <v>409.23</v>
      </c>
      <c r="G139" s="143">
        <f ca="1">IFERROR(__xludf.DUMMYFUNCTION("""COMPUTED_VALUE"""),10589452)</f>
        <v>10589452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IFERROR(__xludf.DUMMYFUNCTION("""COMPUTED_VALUE"""),406.97)</f>
        <v>406.97</v>
      </c>
      <c r="D140" s="141">
        <f ca="1">IFERROR(__xludf.DUMMYFUNCTION("""COMPUTED_VALUE"""),411.64)</f>
        <v>411.64</v>
      </c>
      <c r="E140" s="141">
        <f ca="1">IFERROR(__xludf.DUMMYFUNCTION("""COMPUTED_VALUE"""),406.4)</f>
        <v>406.4</v>
      </c>
      <c r="F140" s="141">
        <f ca="1">IFERROR(__xludf.DUMMYFUNCTION("""COMPUTED_VALUE"""),411.49)</f>
        <v>411.49</v>
      </c>
      <c r="G140" s="143">
        <f ca="1">IFERROR(__xludf.DUMMYFUNCTION("""COMPUTED_VALUE"""),8705926)</f>
        <v>8705926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IFERROR(__xludf.DUMMYFUNCTION("""COMPUTED_VALUE"""),413.22)</f>
        <v>413.22</v>
      </c>
      <c r="D141" s="141">
        <f ca="1">IFERROR(__xludf.DUMMYFUNCTION("""COMPUTED_VALUE"""),415.29)</f>
        <v>415.29</v>
      </c>
      <c r="E141" s="141">
        <f ca="1">IFERROR(__xludf.DUMMYFUNCTION("""COMPUTED_VALUE"""),411.8)</f>
        <v>411.8</v>
      </c>
      <c r="F141" s="141">
        <f ca="1">IFERROR(__xludf.DUMMYFUNCTION("""COMPUTED_VALUE"""),414.47)</f>
        <v>414.47</v>
      </c>
      <c r="G141" s="143">
        <f ca="1">IFERROR(__xludf.DUMMYFUNCTION("""COMPUTED_VALUE"""),14011238)</f>
        <v>14011238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IFERROR(__xludf.DUMMYFUNCTION("""COMPUTED_VALUE"""),421.52)</f>
        <v>421.52</v>
      </c>
      <c r="D142" s="141">
        <f ca="1">IFERROR(__xludf.DUMMYFUNCTION("""COMPUTED_VALUE"""),425.74)</f>
        <v>425.74</v>
      </c>
      <c r="E142" s="141">
        <f ca="1">IFERROR(__xludf.DUMMYFUNCTION("""COMPUTED_VALUE"""),421.52)</f>
        <v>421.52</v>
      </c>
      <c r="F142" s="141">
        <f ca="1">IFERROR(__xludf.DUMMYFUNCTION("""COMPUTED_VALUE"""),422.23)</f>
        <v>422.23</v>
      </c>
      <c r="G142" s="143">
        <f ca="1">IFERROR(__xludf.DUMMYFUNCTION("""COMPUTED_VALUE"""),20904133)</f>
        <v>20904133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IFERROR(__xludf.DUMMYFUNCTION("""COMPUTED_VALUE"""),424.59)</f>
        <v>424.59</v>
      </c>
      <c r="D143" s="141">
        <f ca="1">IFERROR(__xludf.DUMMYFUNCTION("""COMPUTED_VALUE"""),426.12)</f>
        <v>426.12</v>
      </c>
      <c r="E143" s="141">
        <f ca="1">IFERROR(__xludf.DUMMYFUNCTION("""COMPUTED_VALUE"""),420.07)</f>
        <v>420.07</v>
      </c>
      <c r="F143" s="141">
        <f ca="1">IFERROR(__xludf.DUMMYFUNCTION("""COMPUTED_VALUE"""),421.63)</f>
        <v>421.63</v>
      </c>
      <c r="G143" s="143">
        <f ca="1">IFERROR(__xludf.DUMMYFUNCTION("""COMPUTED_VALUE"""),16681219)</f>
        <v>16681219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IFERROR(__xludf.DUMMYFUNCTION("""COMPUTED_VALUE"""),426.03)</f>
        <v>426.03</v>
      </c>
      <c r="D144" s="141">
        <f ca="1">IFERROR(__xludf.DUMMYFUNCTION("""COMPUTED_VALUE"""),426.86)</f>
        <v>426.86</v>
      </c>
      <c r="E144" s="141">
        <f ca="1">IFERROR(__xludf.DUMMYFUNCTION("""COMPUTED_VALUE"""),422.84)</f>
        <v>422.84</v>
      </c>
      <c r="F144" s="141">
        <f ca="1">IFERROR(__xludf.DUMMYFUNCTION("""COMPUTED_VALUE"""),425.94)</f>
        <v>425.94</v>
      </c>
      <c r="G144" s="143">
        <f ca="1">IFERROR(__xludf.DUMMYFUNCTION("""COMPUTED_VALUE"""),18305538)</f>
        <v>18305538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IFERROR(__xludf.DUMMYFUNCTION("""COMPUTED_VALUE"""),423.02)</f>
        <v>423.02</v>
      </c>
      <c r="D145" s="141">
        <f ca="1">IFERROR(__xludf.DUMMYFUNCTION("""COMPUTED_VALUE"""),425.06)</f>
        <v>425.06</v>
      </c>
      <c r="E145" s="141">
        <f ca="1">IFERROR(__xludf.DUMMYFUNCTION("""COMPUTED_VALUE"""),422.79)</f>
        <v>422.79</v>
      </c>
      <c r="F145" s="141">
        <f ca="1">IFERROR(__xludf.DUMMYFUNCTION("""COMPUTED_VALUE"""),423.33)</f>
        <v>423.33</v>
      </c>
      <c r="G145" s="143">
        <f ca="1">IFERROR(__xludf.DUMMYFUNCTION("""COMPUTED_VALUE"""),14253249)</f>
        <v>14253249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IFERROR(__xludf.DUMMYFUNCTION("""COMPUTED_VALUE"""),422.8)</f>
        <v>422.8</v>
      </c>
      <c r="D146" s="141">
        <f ca="1">IFERROR(__xludf.DUMMYFUNCTION("""COMPUTED_VALUE"""),424.8)</f>
        <v>424.8</v>
      </c>
      <c r="E146" s="141">
        <f ca="1">IFERROR(__xludf.DUMMYFUNCTION("""COMPUTED_VALUE"""),417.04)</f>
        <v>417.04</v>
      </c>
      <c r="F146" s="141">
        <f ca="1">IFERROR(__xludf.DUMMYFUNCTION("""COMPUTED_VALUE"""),421.29)</f>
        <v>421.29</v>
      </c>
      <c r="G146" s="143">
        <f ca="1">IFERROR(__xludf.DUMMYFUNCTION("""COMPUTED_VALUE"""),20951571)</f>
        <v>20951571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IFERROR(__xludf.DUMMYFUNCTION("""COMPUTED_VALUE"""),436.69)</f>
        <v>436.69</v>
      </c>
      <c r="D147" s="141">
        <f ca="1">IFERROR(__xludf.DUMMYFUNCTION("""COMPUTED_VALUE"""),438.14)</f>
        <v>438.14</v>
      </c>
      <c r="E147" s="141">
        <f ca="1">IFERROR(__xludf.DUMMYFUNCTION("""COMPUTED_VALUE"""),434.1)</f>
        <v>434.1</v>
      </c>
      <c r="F147" s="141">
        <f ca="1">IFERROR(__xludf.DUMMYFUNCTION("""COMPUTED_VALUE"""),437.23)</f>
        <v>437.23</v>
      </c>
      <c r="G147" s="143">
        <f ca="1">IFERROR(__xludf.DUMMYFUNCTION("""COMPUTED_VALUE"""),21308137)</f>
        <v>21308137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IFERROR(__xludf.DUMMYFUNCTION("""COMPUTED_VALUE"""),446.87)</f>
        <v>446.87</v>
      </c>
      <c r="D148" s="141">
        <f ca="1">IFERROR(__xludf.DUMMYFUNCTION("""COMPUTED_VALUE"""),448)</f>
        <v>448</v>
      </c>
      <c r="E148" s="141">
        <f ca="1">IFERROR(__xludf.DUMMYFUNCTION("""COMPUTED_VALUE"""),437.11)</f>
        <v>437.11</v>
      </c>
      <c r="F148" s="141">
        <f ca="1">IFERROR(__xludf.DUMMYFUNCTION("""COMPUTED_VALUE"""),443.6)</f>
        <v>443.6</v>
      </c>
      <c r="G148" s="143">
        <f ca="1">IFERROR(__xludf.DUMMYFUNCTION("""COMPUTED_VALUE"""),38830228)</f>
        <v>38830228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IFERROR(__xludf.DUMMYFUNCTION("""COMPUTED_VALUE"""),443.84)</f>
        <v>443.84</v>
      </c>
      <c r="D149" s="141">
        <f ca="1">IFERROR(__xludf.DUMMYFUNCTION("""COMPUTED_VALUE"""),452.98)</f>
        <v>452.98</v>
      </c>
      <c r="E149" s="141">
        <f ca="1">IFERROR(__xludf.DUMMYFUNCTION("""COMPUTED_VALUE"""),443.56)</f>
        <v>443.56</v>
      </c>
      <c r="F149" s="141">
        <f ca="1">IFERROR(__xludf.DUMMYFUNCTION("""COMPUTED_VALUE"""),451.79)</f>
        <v>451.79</v>
      </c>
      <c r="G149" s="143">
        <f ca="1">IFERROR(__xludf.DUMMYFUNCTION("""COMPUTED_VALUE"""),19251185)</f>
        <v>19251185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IFERROR(__xludf.DUMMYFUNCTION("""COMPUTED_VALUE"""),454.11)</f>
        <v>454.11</v>
      </c>
      <c r="D150" s="141">
        <f ca="1">IFERROR(__xludf.DUMMYFUNCTION("""COMPUTED_VALUE"""),458.75)</f>
        <v>458.75</v>
      </c>
      <c r="E150" s="141">
        <f ca="1">IFERROR(__xludf.DUMMYFUNCTION("""COMPUTED_VALUE"""),453.45)</f>
        <v>453.45</v>
      </c>
      <c r="F150" s="141">
        <f ca="1">IFERROR(__xludf.DUMMYFUNCTION("""COMPUTED_VALUE"""),458)</f>
        <v>458</v>
      </c>
      <c r="G150" s="143">
        <f ca="1">IFERROR(__xludf.DUMMYFUNCTION("""COMPUTED_VALUE"""),21531873)</f>
        <v>21531873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IFERROR(__xludf.DUMMYFUNCTION("""COMPUTED_VALUE"""),466.78)</f>
        <v>466.78</v>
      </c>
      <c r="D151" s="141">
        <f ca="1">IFERROR(__xludf.DUMMYFUNCTION("""COMPUTED_VALUE"""),469.28)</f>
        <v>469.28</v>
      </c>
      <c r="E151" s="141">
        <f ca="1">IFERROR(__xludf.DUMMYFUNCTION("""COMPUTED_VALUE"""),460.36)</f>
        <v>460.36</v>
      </c>
      <c r="F151" s="141">
        <f ca="1">IFERROR(__xludf.DUMMYFUNCTION("""COMPUTED_VALUE"""),464.7)</f>
        <v>464.7</v>
      </c>
      <c r="G151" s="143">
        <f ca="1">IFERROR(__xludf.DUMMYFUNCTION("""COMPUTED_VALUE"""),34155974)</f>
        <v>34155974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IFERROR(__xludf.DUMMYFUNCTION("""COMPUTED_VALUE"""),465.07)</f>
        <v>465.07</v>
      </c>
      <c r="D152" s="141">
        <f ca="1">IFERROR(__xludf.DUMMYFUNCTION("""COMPUTED_VALUE"""),476.49)</f>
        <v>476.49</v>
      </c>
      <c r="E152" s="141">
        <f ca="1">IFERROR(__xludf.DUMMYFUNCTION("""COMPUTED_VALUE"""),463.95)</f>
        <v>463.95</v>
      </c>
      <c r="F152" s="141">
        <f ca="1">IFERROR(__xludf.DUMMYFUNCTION("""COMPUTED_VALUE"""),476.1)</f>
        <v>476.1</v>
      </c>
      <c r="G152" s="143">
        <f ca="1">IFERROR(__xludf.DUMMYFUNCTION("""COMPUTED_VALUE"""),28386220)</f>
        <v>28386220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IFERROR(__xludf.DUMMYFUNCTION("""COMPUTED_VALUE"""),483.39)</f>
        <v>483.39</v>
      </c>
      <c r="D153" s="141">
        <f ca="1">IFERROR(__xludf.DUMMYFUNCTION("""COMPUTED_VALUE"""),495.88)</f>
        <v>495.88</v>
      </c>
      <c r="E153" s="141">
        <f ca="1">IFERROR(__xludf.DUMMYFUNCTION("""COMPUTED_VALUE"""),481.25)</f>
        <v>481.25</v>
      </c>
      <c r="F153" s="141">
        <f ca="1">IFERROR(__xludf.DUMMYFUNCTION("""COMPUTED_VALUE"""),494.56)</f>
        <v>494.56</v>
      </c>
      <c r="G153" s="143">
        <f ca="1">IFERROR(__xludf.DUMMYFUNCTION("""COMPUTED_VALUE"""),44154580)</f>
        <v>44154580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IFERROR(__xludf.DUMMYFUNCTION("""COMPUTED_VALUE"""),509.51)</f>
        <v>509.51</v>
      </c>
      <c r="D154" s="141">
        <f ca="1">IFERROR(__xludf.DUMMYFUNCTION("""COMPUTED_VALUE"""),509.7)</f>
        <v>509.7</v>
      </c>
      <c r="E154" s="141">
        <f ca="1">IFERROR(__xludf.DUMMYFUNCTION("""COMPUTED_VALUE"""),468.51)</f>
        <v>468.51</v>
      </c>
      <c r="F154" s="141">
        <f ca="1">IFERROR(__xludf.DUMMYFUNCTION("""COMPUTED_VALUE"""),495.9)</f>
        <v>495.9</v>
      </c>
      <c r="G154" s="143">
        <f ca="1">IFERROR(__xludf.DUMMYFUNCTION("""COMPUTED_VALUE"""),69970856)</f>
        <v>69970856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IFERROR(__xludf.DUMMYFUNCTION("""COMPUTED_VALUE"""),466.25)</f>
        <v>466.25</v>
      </c>
      <c r="D155" s="141">
        <f ca="1">IFERROR(__xludf.DUMMYFUNCTION("""COMPUTED_VALUE"""),470.06)</f>
        <v>470.06</v>
      </c>
      <c r="E155" s="141">
        <f ca="1">IFERROR(__xludf.DUMMYFUNCTION("""COMPUTED_VALUE"""),430.8)</f>
        <v>430.8</v>
      </c>
      <c r="F155" s="141">
        <f ca="1">IFERROR(__xludf.DUMMYFUNCTION("""COMPUTED_VALUE"""),444.95)</f>
        <v>444.95</v>
      </c>
      <c r="G155" s="143">
        <f ca="1">IFERROR(__xludf.DUMMYFUNCTION("""COMPUTED_VALUE"""),86593519)</f>
        <v>86593519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IFERROR(__xludf.DUMMYFUNCTION("""COMPUTED_VALUE"""),434.01)</f>
        <v>434.01</v>
      </c>
      <c r="D156" s="141">
        <f ca="1">IFERROR(__xludf.DUMMYFUNCTION("""COMPUTED_VALUE"""),440.78)</f>
        <v>440.78</v>
      </c>
      <c r="E156" s="141">
        <f ca="1">IFERROR(__xludf.DUMMYFUNCTION("""COMPUTED_VALUE"""),422.55)</f>
        <v>422.55</v>
      </c>
      <c r="F156" s="141">
        <f ca="1">IFERROR(__xludf.DUMMYFUNCTION("""COMPUTED_VALUE"""),427.13)</f>
        <v>427.13</v>
      </c>
      <c r="G156" s="143">
        <f ca="1">IFERROR(__xludf.DUMMYFUNCTION("""COMPUTED_VALUE"""),41626234)</f>
        <v>41626234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IFERROR(__xludf.DUMMYFUNCTION("""COMPUTED_VALUE"""),452.63)</f>
        <v>452.63</v>
      </c>
      <c r="D157" s="141">
        <f ca="1">IFERROR(__xludf.DUMMYFUNCTION("""COMPUTED_VALUE"""),459)</f>
        <v>459</v>
      </c>
      <c r="E157" s="141">
        <f ca="1">IFERROR(__xludf.DUMMYFUNCTION("""COMPUTED_VALUE"""),448.31)</f>
        <v>448.31</v>
      </c>
      <c r="F157" s="141">
        <f ca="1">IFERROR(__xludf.DUMMYFUNCTION("""COMPUTED_VALUE"""),454.29)</f>
        <v>454.29</v>
      </c>
      <c r="G157" s="143">
        <f ca="1">IFERROR(__xludf.DUMMYFUNCTION("""COMPUTED_VALUE"""),28703465)</f>
        <v>28703465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IFERROR(__xludf.DUMMYFUNCTION("""COMPUTED_VALUE"""),462.47)</f>
        <v>462.47</v>
      </c>
      <c r="D158" s="141">
        <f ca="1">IFERROR(__xludf.DUMMYFUNCTION("""COMPUTED_VALUE"""),463.1)</f>
        <v>463.1</v>
      </c>
      <c r="E158" s="141">
        <f ca="1">IFERROR(__xludf.DUMMYFUNCTION("""COMPUTED_VALUE"""),445.71)</f>
        <v>445.71</v>
      </c>
      <c r="F158" s="141">
        <f ca="1">IFERROR(__xludf.DUMMYFUNCTION("""COMPUTED_VALUE"""),453.97)</f>
        <v>453.97</v>
      </c>
      <c r="G158" s="143">
        <f ca="1">IFERROR(__xludf.DUMMYFUNCTION("""COMPUTED_VALUE"""),24427923)</f>
        <v>24427923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IFERROR(__xludf.DUMMYFUNCTION("""COMPUTED_VALUE"""),444.29)</f>
        <v>444.29</v>
      </c>
      <c r="D159" s="141">
        <f ca="1">IFERROR(__xludf.DUMMYFUNCTION("""COMPUTED_VALUE"""),450.9)</f>
        <v>450.9</v>
      </c>
      <c r="E159" s="141">
        <f ca="1">IFERROR(__xludf.DUMMYFUNCTION("""COMPUTED_VALUE"""),440.35)</f>
        <v>440.35</v>
      </c>
      <c r="F159" s="141">
        <f ca="1">IFERROR(__xludf.DUMMYFUNCTION("""COMPUTED_VALUE"""),441.88)</f>
        <v>441.88</v>
      </c>
      <c r="G159" s="143">
        <f ca="1">IFERROR(__xludf.DUMMYFUNCTION("""COMPUTED_VALUE"""),17718069)</f>
        <v>17718069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IFERROR(__xludf.DUMMYFUNCTION("""COMPUTED_VALUE"""),450.73)</f>
        <v>450.73</v>
      </c>
      <c r="D160" s="141">
        <f ca="1">IFERROR(__xludf.DUMMYFUNCTION("""COMPUTED_VALUE"""),456.93)</f>
        <v>456.93</v>
      </c>
      <c r="E160" s="141">
        <f ca="1">IFERROR(__xludf.DUMMYFUNCTION("""COMPUTED_VALUE"""),450.03)</f>
        <v>450.03</v>
      </c>
      <c r="F160" s="141">
        <f ca="1">IFERROR(__xludf.DUMMYFUNCTION("""COMPUTED_VALUE"""),455.46)</f>
        <v>455.46</v>
      </c>
      <c r="G160" s="143">
        <f ca="1">IFERROR(__xludf.DUMMYFUNCTION("""COMPUTED_VALUE"""),12663907)</f>
        <v>12663907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IFERROR(__xludf.DUMMYFUNCTION("""COMPUTED_VALUE"""),461.39)</f>
        <v>461.39</v>
      </c>
      <c r="D161" s="141">
        <f ca="1">IFERROR(__xludf.DUMMYFUNCTION("""COMPUTED_VALUE"""),467.56)</f>
        <v>467.56</v>
      </c>
      <c r="E161" s="141">
        <f ca="1">IFERROR(__xludf.DUMMYFUNCTION("""COMPUTED_VALUE"""),460.85)</f>
        <v>460.85</v>
      </c>
      <c r="F161" s="141">
        <f ca="1">IFERROR(__xludf.DUMMYFUNCTION("""COMPUTED_VALUE"""),467.03)</f>
        <v>467.03</v>
      </c>
      <c r="G161" s="143">
        <f ca="1">IFERROR(__xludf.DUMMYFUNCTION("""COMPUTED_VALUE"""),12330874)</f>
        <v>12330874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IFERROR(__xludf.DUMMYFUNCTION("""COMPUTED_VALUE"""),465.96)</f>
        <v>465.96</v>
      </c>
      <c r="D162" s="141">
        <f ca="1">IFERROR(__xludf.DUMMYFUNCTION("""COMPUTED_VALUE"""),466.75)</f>
        <v>466.75</v>
      </c>
      <c r="E162" s="141">
        <f ca="1">IFERROR(__xludf.DUMMYFUNCTION("""COMPUTED_VALUE"""),459.52)</f>
        <v>459.52</v>
      </c>
      <c r="F162" s="141">
        <f ca="1">IFERROR(__xludf.DUMMYFUNCTION("""COMPUTED_VALUE"""),462.4)</f>
        <v>462.4</v>
      </c>
      <c r="G162" s="143">
        <f ca="1">IFERROR(__xludf.DUMMYFUNCTION("""COMPUTED_VALUE"""),7861589)</f>
        <v>7861589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IFERROR(__xludf.DUMMYFUNCTION("""COMPUTED_VALUE"""),466)</f>
        <v>466</v>
      </c>
      <c r="D163" s="141">
        <f ca="1">IFERROR(__xludf.DUMMYFUNCTION("""COMPUTED_VALUE"""),468.61)</f>
        <v>468.61</v>
      </c>
      <c r="E163" s="141">
        <f ca="1">IFERROR(__xludf.DUMMYFUNCTION("""COMPUTED_VALUE"""),462.82)</f>
        <v>462.82</v>
      </c>
      <c r="F163" s="141">
        <f ca="1">IFERROR(__xludf.DUMMYFUNCTION("""COMPUTED_VALUE"""),467.63)</f>
        <v>467.63</v>
      </c>
      <c r="G163" s="143">
        <f ca="1">IFERROR(__xludf.DUMMYFUNCTION("""COMPUTED_VALUE"""),11209595)</f>
        <v>11209595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IFERROR(__xludf.DUMMYFUNCTION("""COMPUTED_VALUE"""),464.9)</f>
        <v>464.9</v>
      </c>
      <c r="D164" s="141">
        <f ca="1">IFERROR(__xludf.DUMMYFUNCTION("""COMPUTED_VALUE"""),466.38)</f>
        <v>466.38</v>
      </c>
      <c r="E164" s="141">
        <f ca="1">IFERROR(__xludf.DUMMYFUNCTION("""COMPUTED_VALUE"""),448.06)</f>
        <v>448.06</v>
      </c>
      <c r="F164" s="141">
        <f ca="1">IFERROR(__xludf.DUMMYFUNCTION("""COMPUTED_VALUE"""),451.39)</f>
        <v>451.39</v>
      </c>
      <c r="G164" s="143">
        <f ca="1">IFERROR(__xludf.DUMMYFUNCTION("""COMPUTED_VALUE"""),20488829)</f>
        <v>20488829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IFERROR(__xludf.DUMMYFUNCTION("""COMPUTED_VALUE"""),459.73)</f>
        <v>459.73</v>
      </c>
      <c r="D165" s="141">
        <f ca="1">IFERROR(__xludf.DUMMYFUNCTION("""COMPUTED_VALUE"""),463.84)</f>
        <v>463.84</v>
      </c>
      <c r="E165" s="141">
        <f ca="1">IFERROR(__xludf.DUMMYFUNCTION("""COMPUTED_VALUE"""),456.25)</f>
        <v>456.25</v>
      </c>
      <c r="F165" s="141">
        <f ca="1">IFERROR(__xludf.DUMMYFUNCTION("""COMPUTED_VALUE"""),462.62)</f>
        <v>462.62</v>
      </c>
      <c r="G165" s="143">
        <f ca="1">IFERROR(__xludf.DUMMYFUNCTION("""COMPUTED_VALUE"""),12359348)</f>
        <v>12359348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IFERROR(__xludf.DUMMYFUNCTION("""COMPUTED_VALUE"""),450.26)</f>
        <v>450.26</v>
      </c>
      <c r="D166" s="141">
        <f ca="1">IFERROR(__xludf.DUMMYFUNCTION("""COMPUTED_VALUE"""),451.37)</f>
        <v>451.37</v>
      </c>
      <c r="E166" s="141">
        <f ca="1">IFERROR(__xludf.DUMMYFUNCTION("""COMPUTED_VALUE"""),445.53)</f>
        <v>445.53</v>
      </c>
      <c r="F166" s="141">
        <f ca="1">IFERROR(__xludf.DUMMYFUNCTION("""COMPUTED_VALUE"""),448.2)</f>
        <v>448.2</v>
      </c>
      <c r="G166" s="143">
        <f ca="1">IFERROR(__xludf.DUMMYFUNCTION("""COMPUTED_VALUE"""),10976087)</f>
        <v>10976087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IFERROR(__xludf.DUMMYFUNCTION("""COMPUTED_VALUE"""),455.81)</f>
        <v>455.81</v>
      </c>
      <c r="D167" s="141">
        <f ca="1">IFERROR(__xludf.DUMMYFUNCTION("""COMPUTED_VALUE"""),460.51)</f>
        <v>460.51</v>
      </c>
      <c r="E167" s="141">
        <f ca="1">IFERROR(__xludf.DUMMYFUNCTION("""COMPUTED_VALUE"""),455.32)</f>
        <v>455.32</v>
      </c>
      <c r="F167" s="141">
        <f ca="1">IFERROR(__xludf.DUMMYFUNCTION("""COMPUTED_VALUE"""),458.28)</f>
        <v>458.28</v>
      </c>
      <c r="G167" s="143">
        <f ca="1">IFERROR(__xludf.DUMMYFUNCTION("""COMPUTED_VALUE"""),10226301)</f>
        <v>10226301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IFERROR(__xludf.DUMMYFUNCTION("""COMPUTED_VALUE"""),457.34)</f>
        <v>457.34</v>
      </c>
      <c r="D168" s="141">
        <f ca="1">IFERROR(__xludf.DUMMYFUNCTION("""COMPUTED_VALUE"""),461.51)</f>
        <v>461.51</v>
      </c>
      <c r="E168" s="141">
        <f ca="1">IFERROR(__xludf.DUMMYFUNCTION("""COMPUTED_VALUE"""),456.03)</f>
        <v>456.03</v>
      </c>
      <c r="F168" s="141">
        <f ca="1">IFERROR(__xludf.DUMMYFUNCTION("""COMPUTED_VALUE"""),459.56)</f>
        <v>459.56</v>
      </c>
      <c r="G168" s="143">
        <f ca="1">IFERROR(__xludf.DUMMYFUNCTION("""COMPUTED_VALUE"""),8411438)</f>
        <v>8411438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IFERROR(__xludf.DUMMYFUNCTION("""COMPUTED_VALUE"""),463.25)</f>
        <v>463.25</v>
      </c>
      <c r="D169" s="141">
        <f ca="1">IFERROR(__xludf.DUMMYFUNCTION("""COMPUTED_VALUE"""),468.62)</f>
        <v>468.62</v>
      </c>
      <c r="E169" s="141">
        <f ca="1">IFERROR(__xludf.DUMMYFUNCTION("""COMPUTED_VALUE"""),458.34)</f>
        <v>458.34</v>
      </c>
      <c r="F169" s="141">
        <f ca="1">IFERROR(__xludf.DUMMYFUNCTION("""COMPUTED_VALUE"""),468.62)</f>
        <v>468.62</v>
      </c>
      <c r="G169" s="143">
        <f ca="1">IFERROR(__xludf.DUMMYFUNCTION("""COMPUTED_VALUE"""),14316250)</f>
        <v>14316250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IFERROR(__xludf.DUMMYFUNCTION("""COMPUTED_VALUE"""),474.65)</f>
        <v>474.65</v>
      </c>
      <c r="D170" s="141">
        <f ca="1">IFERROR(__xludf.DUMMYFUNCTION("""COMPUTED_VALUE"""),481.46)</f>
        <v>481.46</v>
      </c>
      <c r="E170" s="141">
        <f ca="1">IFERROR(__xludf.DUMMYFUNCTION("""COMPUTED_VALUE"""),474.61)</f>
        <v>474.61</v>
      </c>
      <c r="F170" s="141">
        <f ca="1">IFERROR(__xludf.DUMMYFUNCTION("""COMPUTED_VALUE"""),481.28)</f>
        <v>481.28</v>
      </c>
      <c r="G170" s="143">
        <f ca="1">IFERROR(__xludf.DUMMYFUNCTION("""COMPUTED_VALUE"""),17221744)</f>
        <v>17221744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IFERROR(__xludf.DUMMYFUNCTION("""COMPUTED_VALUE"""),470.09)</f>
        <v>470.09</v>
      </c>
      <c r="D171" s="141">
        <f ca="1">IFERROR(__xludf.DUMMYFUNCTION("""COMPUTED_VALUE"""),475.44)</f>
        <v>475.44</v>
      </c>
      <c r="E171" s="141">
        <f ca="1">IFERROR(__xludf.DUMMYFUNCTION("""COMPUTED_VALUE"""),469.55)</f>
        <v>469.55</v>
      </c>
      <c r="F171" s="141">
        <f ca="1">IFERROR(__xludf.DUMMYFUNCTION("""COMPUTED_VALUE"""),474.61)</f>
        <v>474.61</v>
      </c>
      <c r="G171" s="143">
        <f ca="1">IFERROR(__xludf.DUMMYFUNCTION("""COMPUTED_VALUE"""),14041642)</f>
        <v>14041642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IFERROR(__xludf.DUMMYFUNCTION("""COMPUTED_VALUE"""),475.74)</f>
        <v>475.74</v>
      </c>
      <c r="D172" s="141">
        <f ca="1">IFERROR(__xludf.DUMMYFUNCTION("""COMPUTED_VALUE"""),479.53)</f>
        <v>479.53</v>
      </c>
      <c r="E172" s="141">
        <f ca="1">IFERROR(__xludf.DUMMYFUNCTION("""COMPUTED_VALUE"""),472.9)</f>
        <v>472.9</v>
      </c>
      <c r="F172" s="141">
        <f ca="1">IFERROR(__xludf.DUMMYFUNCTION("""COMPUTED_VALUE"""),473.42)</f>
        <v>473.42</v>
      </c>
      <c r="G172" s="143">
        <f ca="1">IFERROR(__xludf.DUMMYFUNCTION("""COMPUTED_VALUE"""),12531273)</f>
        <v>12531273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IFERROR(__xludf.DUMMYFUNCTION("""COMPUTED_VALUE"""),474.95)</f>
        <v>474.95</v>
      </c>
      <c r="D173" s="141">
        <f ca="1">IFERROR(__xludf.DUMMYFUNCTION("""COMPUTED_VALUE"""),477.83)</f>
        <v>477.83</v>
      </c>
      <c r="E173" s="141">
        <f ca="1">IFERROR(__xludf.DUMMYFUNCTION("""COMPUTED_VALUE"""),442.04)</f>
        <v>442.04</v>
      </c>
      <c r="F173" s="141">
        <f ca="1">IFERROR(__xludf.DUMMYFUNCTION("""COMPUTED_VALUE"""),477.48)</f>
        <v>477.48</v>
      </c>
      <c r="G173" s="143">
        <f ca="1">IFERROR(__xludf.DUMMYFUNCTION("""COMPUTED_VALUE"""),12147377)</f>
        <v>12147377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IFERROR(__xludf.DUMMYFUNCTION("""COMPUTED_VALUE"""),480.75)</f>
        <v>480.75</v>
      </c>
      <c r="D174" s="141">
        <f ca="1">IFERROR(__xludf.DUMMYFUNCTION("""COMPUTED_VALUE"""),483.9)</f>
        <v>483.9</v>
      </c>
      <c r="E174" s="141">
        <f ca="1">IFERROR(__xludf.DUMMYFUNCTION("""COMPUTED_VALUE"""),479.11)</f>
        <v>479.11</v>
      </c>
      <c r="F174" s="141">
        <f ca="1">IFERROR(__xludf.DUMMYFUNCTION("""COMPUTED_VALUE"""),483.75)</f>
        <v>483.75</v>
      </c>
      <c r="G174" s="143">
        <f ca="1">IFERROR(__xludf.DUMMYFUNCTION("""COMPUTED_VALUE"""),16522193)</f>
        <v>16522193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IFERROR(__xludf.DUMMYFUNCTION("""COMPUTED_VALUE"""),490.1)</f>
        <v>490.1</v>
      </c>
      <c r="D175" s="141">
        <f ca="1">IFERROR(__xludf.DUMMYFUNCTION("""COMPUTED_VALUE"""),492.15)</f>
        <v>492.15</v>
      </c>
      <c r="E175" s="141">
        <f ca="1">IFERROR(__xludf.DUMMYFUNCTION("""COMPUTED_VALUE"""),483.28)</f>
        <v>483.28</v>
      </c>
      <c r="F175" s="141">
        <f ca="1">IFERROR(__xludf.DUMMYFUNCTION("""COMPUTED_VALUE"""),490)</f>
        <v>490</v>
      </c>
      <c r="G175" s="143">
        <f ca="1">IFERROR(__xludf.DUMMYFUNCTION("""COMPUTED_VALUE"""),19702296)</f>
        <v>19702296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IFERROR(__xludf.DUMMYFUNCTION("""COMPUTED_VALUE"""),472.83)</f>
        <v>472.83</v>
      </c>
      <c r="D176" s="141">
        <f ca="1">IFERROR(__xludf.DUMMYFUNCTION("""COMPUTED_VALUE"""),473.2)</f>
        <v>473.2</v>
      </c>
      <c r="E176" s="141">
        <f ca="1">IFERROR(__xludf.DUMMYFUNCTION("""COMPUTED_VALUE"""),458.93)</f>
        <v>458.93</v>
      </c>
      <c r="F176" s="141">
        <f ca="1">IFERROR(__xludf.DUMMYFUNCTION("""COMPUTED_VALUE"""),468.14)</f>
        <v>468.14</v>
      </c>
      <c r="G176" s="143">
        <f ca="1">IFERROR(__xludf.DUMMYFUNCTION("""COMPUTED_VALUE"""),22387107)</f>
        <v>22387107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IFERROR(__xludf.DUMMYFUNCTION("""COMPUTED_VALUE"""),474.82)</f>
        <v>474.82</v>
      </c>
      <c r="D177" s="141">
        <f ca="1">IFERROR(__xludf.DUMMYFUNCTION("""COMPUTED_VALUE"""),476.42)</f>
        <v>476.42</v>
      </c>
      <c r="E177" s="141">
        <f ca="1">IFERROR(__xludf.DUMMYFUNCTION("""COMPUTED_VALUE"""),469.39)</f>
        <v>469.39</v>
      </c>
      <c r="F177" s="141">
        <f ca="1">IFERROR(__xludf.DUMMYFUNCTION("""COMPUTED_VALUE"""),471.8)</f>
        <v>471.8</v>
      </c>
      <c r="G177" s="143">
        <f ca="1">IFERROR(__xludf.DUMMYFUNCTION("""COMPUTED_VALUE"""),9831640)</f>
        <v>9831640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IFERROR(__xludf.DUMMYFUNCTION("""COMPUTED_VALUE"""),470.45)</f>
        <v>470.45</v>
      </c>
      <c r="D178" s="141">
        <f ca="1">IFERROR(__xludf.DUMMYFUNCTION("""COMPUTED_VALUE"""),470.67)</f>
        <v>470.67</v>
      </c>
      <c r="E178" s="141">
        <f ca="1">IFERROR(__xludf.DUMMYFUNCTION("""COMPUTED_VALUE"""),463.91)</f>
        <v>463.91</v>
      </c>
      <c r="F178" s="141">
        <f ca="1">IFERROR(__xludf.DUMMYFUNCTION("""COMPUTED_VALUE"""),466.13)</f>
        <v>466.13</v>
      </c>
      <c r="G178" s="143">
        <f ca="1">IFERROR(__xludf.DUMMYFUNCTION("""COMPUTED_VALUE"""),11556088)</f>
        <v>11556088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IFERROR(__xludf.DUMMYFUNCTION("""COMPUTED_VALUE"""),469.04)</f>
        <v>469.04</v>
      </c>
      <c r="D179" s="141">
        <f ca="1">IFERROR(__xludf.DUMMYFUNCTION("""COMPUTED_VALUE"""),475.46)</f>
        <v>475.46</v>
      </c>
      <c r="E179" s="141">
        <f ca="1">IFERROR(__xludf.DUMMYFUNCTION("""COMPUTED_VALUE"""),467.07)</f>
        <v>467.07</v>
      </c>
      <c r="F179" s="141">
        <f ca="1">IFERROR(__xludf.DUMMYFUNCTION("""COMPUTED_VALUE"""),473.51)</f>
        <v>473.51</v>
      </c>
      <c r="G179" s="143">
        <f ca="1">IFERROR(__xludf.DUMMYFUNCTION("""COMPUTED_VALUE"""),10282135)</f>
        <v>10282135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IFERROR(__xludf.DUMMYFUNCTION("""COMPUTED_VALUE"""),468.09)</f>
        <v>468.09</v>
      </c>
      <c r="D180" s="141">
        <f ca="1">IFERROR(__xludf.DUMMYFUNCTION("""COMPUTED_VALUE"""),472.68)</f>
        <v>472.68</v>
      </c>
      <c r="E180" s="141">
        <f ca="1">IFERROR(__xludf.DUMMYFUNCTION("""COMPUTED_VALUE"""),464.79)</f>
        <v>464.79</v>
      </c>
      <c r="F180" s="141">
        <f ca="1">IFERROR(__xludf.DUMMYFUNCTION("""COMPUTED_VALUE"""),472.53)</f>
        <v>472.53</v>
      </c>
      <c r="G180" s="143">
        <f ca="1">IFERROR(__xludf.DUMMYFUNCTION("""COMPUTED_VALUE"""),8742649)</f>
        <v>8742649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IFERROR(__xludf.DUMMYFUNCTION("""COMPUTED_VALUE"""),479.74)</f>
        <v>479.74</v>
      </c>
      <c r="D181" s="141">
        <f ca="1">IFERROR(__xludf.DUMMYFUNCTION("""COMPUTED_VALUE"""),481.31)</f>
        <v>481.31</v>
      </c>
      <c r="E181" s="141">
        <f ca="1">IFERROR(__xludf.DUMMYFUNCTION("""COMPUTED_VALUE"""),474.21)</f>
        <v>474.21</v>
      </c>
      <c r="F181" s="141">
        <f ca="1">IFERROR(__xludf.DUMMYFUNCTION("""COMPUTED_VALUE"""),477.86)</f>
        <v>477.86</v>
      </c>
      <c r="G181" s="143">
        <f ca="1">IFERROR(__xludf.DUMMYFUNCTION("""COMPUTED_VALUE"""),9513286)</f>
        <v>9513286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IFERROR(__xludf.DUMMYFUNCTION("""COMPUTED_VALUE"""),476.13)</f>
        <v>476.13</v>
      </c>
      <c r="D182" s="141">
        <f ca="1">IFERROR(__xludf.DUMMYFUNCTION("""COMPUTED_VALUE"""),477.45)</f>
        <v>477.45</v>
      </c>
      <c r="E182" s="141">
        <f ca="1">IFERROR(__xludf.DUMMYFUNCTION("""COMPUTED_VALUE"""),473.13)</f>
        <v>473.13</v>
      </c>
      <c r="F182" s="141">
        <f ca="1">IFERROR(__xludf.DUMMYFUNCTION("""COMPUTED_VALUE"""),476.24)</f>
        <v>476.24</v>
      </c>
      <c r="G182" s="143">
        <f ca="1">IFERROR(__xludf.DUMMYFUNCTION("""COMPUTED_VALUE"""),7522851)</f>
        <v>7522851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IFERROR(__xludf.DUMMYFUNCTION("""COMPUTED_VALUE"""),474.95)</f>
        <v>474.95</v>
      </c>
      <c r="D183" s="141">
        <f ca="1">IFERROR(__xludf.DUMMYFUNCTION("""COMPUTED_VALUE"""),475.02)</f>
        <v>475.02</v>
      </c>
      <c r="E183" s="141">
        <f ca="1">IFERROR(__xludf.DUMMYFUNCTION("""COMPUTED_VALUE"""),466.6)</f>
        <v>466.6</v>
      </c>
      <c r="F183" s="141">
        <f ca="1">IFERROR(__xludf.DUMMYFUNCTION("""COMPUTED_VALUE"""),466.88)</f>
        <v>466.88</v>
      </c>
      <c r="G183" s="143">
        <f ca="1">IFERROR(__xludf.DUMMYFUNCTION("""COMPUTED_VALUE"""),11900581)</f>
        <v>11900581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IFERROR(__xludf.DUMMYFUNCTION("""COMPUTED_VALUE"""),469.31)</f>
        <v>469.31</v>
      </c>
      <c r="D184" s="141">
        <f ca="1">IFERROR(__xludf.DUMMYFUNCTION("""COMPUTED_VALUE"""),470.1)</f>
        <v>470.1</v>
      </c>
      <c r="E184" s="141">
        <f ca="1">IFERROR(__xludf.DUMMYFUNCTION("""COMPUTED_VALUE"""),460.22)</f>
        <v>460.22</v>
      </c>
      <c r="F184" s="141">
        <f ca="1">IFERROR(__xludf.DUMMYFUNCTION("""COMPUTED_VALUE"""),460.84)</f>
        <v>460.84</v>
      </c>
      <c r="G184" s="143">
        <f ca="1">IFERROR(__xludf.DUMMYFUNCTION("""COMPUTED_VALUE"""),11741579)</f>
        <v>11741579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IFERROR(__xludf.DUMMYFUNCTION("""COMPUTED_VALUE"""),461.27)</f>
        <v>461.27</v>
      </c>
      <c r="D185" s="141">
        <f ca="1">IFERROR(__xludf.DUMMYFUNCTION("""COMPUTED_VALUE"""),462.8)</f>
        <v>462.8</v>
      </c>
      <c r="E185" s="141">
        <f ca="1">IFERROR(__xludf.DUMMYFUNCTION("""COMPUTED_VALUE"""),456.91)</f>
        <v>456.91</v>
      </c>
      <c r="F185" s="141">
        <f ca="1">IFERROR(__xludf.DUMMYFUNCTION("""COMPUTED_VALUE"""),460.43)</f>
        <v>460.43</v>
      </c>
      <c r="G185" s="143">
        <f ca="1">IFERROR(__xludf.DUMMYFUNCTION("""COMPUTED_VALUE"""),8964093)</f>
        <v>8964093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IFERROR(__xludf.DUMMYFUNCTION("""COMPUTED_VALUE"""),460.51)</f>
        <v>460.51</v>
      </c>
      <c r="D186" s="141">
        <f ca="1">IFERROR(__xludf.DUMMYFUNCTION("""COMPUTED_VALUE"""),462.21)</f>
        <v>462.21</v>
      </c>
      <c r="E186" s="141">
        <f ca="1">IFERROR(__xludf.DUMMYFUNCTION("""COMPUTED_VALUE"""),456.87)</f>
        <v>456.87</v>
      </c>
      <c r="F186" s="141">
        <f ca="1">IFERROR(__xludf.DUMMYFUNCTION("""COMPUTED_VALUE"""),459.27)</f>
        <v>459.27</v>
      </c>
      <c r="G186" s="143">
        <f ca="1">IFERROR(__xludf.DUMMYFUNCTION("""COMPUTED_VALUE"""),7610092)</f>
        <v>7610092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IFERROR(__xludf.DUMMYFUNCTION("""COMPUTED_VALUE"""),446.66)</f>
        <v>446.66</v>
      </c>
      <c r="D187" s="141">
        <f ca="1">IFERROR(__xludf.DUMMYFUNCTION("""COMPUTED_VALUE"""),450.06)</f>
        <v>450.06</v>
      </c>
      <c r="E187" s="141">
        <f ca="1">IFERROR(__xludf.DUMMYFUNCTION("""COMPUTED_VALUE"""),444.39)</f>
        <v>444.39</v>
      </c>
      <c r="F187" s="141">
        <f ca="1">IFERROR(__xludf.DUMMYFUNCTION("""COMPUTED_VALUE"""),444.74)</f>
        <v>444.74</v>
      </c>
      <c r="G187" s="143">
        <f ca="1">IFERROR(__xludf.DUMMYFUNCTION("""COMPUTED_VALUE"""),18375613)</f>
        <v>18375613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IFERROR(__xludf.DUMMYFUNCTION("""COMPUTED_VALUE"""),420.36)</f>
        <v>420.36</v>
      </c>
      <c r="D188" s="141">
        <f ca="1">IFERROR(__xludf.DUMMYFUNCTION("""COMPUTED_VALUE"""),428.27)</f>
        <v>428.27</v>
      </c>
      <c r="E188" s="141">
        <f ca="1">IFERROR(__xludf.DUMMYFUNCTION("""COMPUTED_VALUE"""),416.8)</f>
        <v>416.8</v>
      </c>
      <c r="F188" s="141">
        <f ca="1">IFERROR(__xludf.DUMMYFUNCTION("""COMPUTED_VALUE"""),426.41)</f>
        <v>426.41</v>
      </c>
      <c r="G188" s="143">
        <f ca="1">IFERROR(__xludf.DUMMYFUNCTION("""COMPUTED_VALUE"""),30205978)</f>
        <v>30205978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IFERROR(__xludf.DUMMYFUNCTION("""COMPUTED_VALUE"""),428.09)</f>
        <v>428.09</v>
      </c>
      <c r="D189" s="141">
        <f ca="1">IFERROR(__xludf.DUMMYFUNCTION("""COMPUTED_VALUE"""),428.59)</f>
        <v>428.59</v>
      </c>
      <c r="E189" s="141">
        <f ca="1">IFERROR(__xludf.DUMMYFUNCTION("""COMPUTED_VALUE"""),411.23)</f>
        <v>411.23</v>
      </c>
      <c r="F189" s="141">
        <f ca="1">IFERROR(__xludf.DUMMYFUNCTION("""COMPUTED_VALUE"""),413.38)</f>
        <v>413.38</v>
      </c>
      <c r="G189" s="143">
        <f ca="1">IFERROR(__xludf.DUMMYFUNCTION("""COMPUTED_VALUE"""),27204939)</f>
        <v>27204939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IFERROR(__xludf.DUMMYFUNCTION("""COMPUTED_VALUE"""),405.12)</f>
        <v>405.12</v>
      </c>
      <c r="D190" s="141">
        <f ca="1">IFERROR(__xludf.DUMMYFUNCTION("""COMPUTED_VALUE"""),414.54)</f>
        <v>414.54</v>
      </c>
      <c r="E190" s="141">
        <f ca="1">IFERROR(__xludf.DUMMYFUNCTION("""COMPUTED_VALUE"""),399.64)</f>
        <v>399.64</v>
      </c>
      <c r="F190" s="141">
        <f ca="1">IFERROR(__xludf.DUMMYFUNCTION("""COMPUTED_VALUE"""),404.04)</f>
        <v>404.04</v>
      </c>
      <c r="G190" s="143">
        <f ca="1">IFERROR(__xludf.DUMMYFUNCTION("""COMPUTED_VALUE"""),36796839)</f>
        <v>36796839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IFERROR(__xludf.DUMMYFUNCTION("""COMPUTED_VALUE"""),400.24)</f>
        <v>400.24</v>
      </c>
      <c r="D191" s="141">
        <f ca="1">IFERROR(__xludf.DUMMYFUNCTION("""COMPUTED_VALUE"""),407.29)</f>
        <v>407.29</v>
      </c>
      <c r="E191" s="141">
        <f ca="1">IFERROR(__xludf.DUMMYFUNCTION("""COMPUTED_VALUE"""),399.2)</f>
        <v>399.2</v>
      </c>
      <c r="F191" s="141">
        <f ca="1">IFERROR(__xludf.DUMMYFUNCTION("""COMPUTED_VALUE"""),404.13)</f>
        <v>404.13</v>
      </c>
      <c r="G191" s="143">
        <f ca="1">IFERROR(__xludf.DUMMYFUNCTION("""COMPUTED_VALUE"""),17478516)</f>
        <v>17478516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IFERROR(__xludf.DUMMYFUNCTION("""COMPUTED_VALUE"""),419.71)</f>
        <v>419.71</v>
      </c>
      <c r="D192" s="141">
        <f ca="1">IFERROR(__xludf.DUMMYFUNCTION("""COMPUTED_VALUE"""),420.66)</f>
        <v>420.66</v>
      </c>
      <c r="E192" s="141">
        <f ca="1">IFERROR(__xludf.DUMMYFUNCTION("""COMPUTED_VALUE"""),412.25)</f>
        <v>412.25</v>
      </c>
      <c r="F192" s="141">
        <f ca="1">IFERROR(__xludf.DUMMYFUNCTION("""COMPUTED_VALUE"""),416.29)</f>
        <v>416.29</v>
      </c>
      <c r="G192" s="143">
        <f ca="1">IFERROR(__xludf.DUMMYFUNCTION("""COMPUTED_VALUE"""),15713158)</f>
        <v>15713158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IFERROR(__xludf.DUMMYFUNCTION("""COMPUTED_VALUE"""),408.53)</f>
        <v>408.53</v>
      </c>
      <c r="D193" s="141">
        <f ca="1">IFERROR(__xludf.DUMMYFUNCTION("""COMPUTED_VALUE"""),411.37)</f>
        <v>411.37</v>
      </c>
      <c r="E193" s="141">
        <f ca="1">IFERROR(__xludf.DUMMYFUNCTION("""COMPUTED_VALUE"""),400.26)</f>
        <v>400.26</v>
      </c>
      <c r="F193" s="141">
        <f ca="1">IFERROR(__xludf.DUMMYFUNCTION("""COMPUTED_VALUE"""),400.64)</f>
        <v>400.64</v>
      </c>
      <c r="G193" s="143">
        <f ca="1">IFERROR(__xludf.DUMMYFUNCTION("""COMPUTED_VALUE"""),15756340)</f>
        <v>15756340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IFERROR(__xludf.DUMMYFUNCTION("""COMPUTED_VALUE"""),406.2)</f>
        <v>406.2</v>
      </c>
      <c r="D194" s="141">
        <f ca="1">IFERROR(__xludf.DUMMYFUNCTION("""COMPUTED_VALUE"""),418.4)</f>
        <v>418.4</v>
      </c>
      <c r="E194" s="141">
        <f ca="1">IFERROR(__xludf.DUMMYFUNCTION("""COMPUTED_VALUE"""),405.41)</f>
        <v>405.41</v>
      </c>
      <c r="F194" s="141">
        <f ca="1">IFERROR(__xludf.DUMMYFUNCTION("""COMPUTED_VALUE"""),414.7)</f>
        <v>414.7</v>
      </c>
      <c r="G194" s="143">
        <f ca="1">IFERROR(__xludf.DUMMYFUNCTION("""COMPUTED_VALUE"""),16580719)</f>
        <v>16580719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IFERROR(__xludf.DUMMYFUNCTION("""COMPUTED_VALUE"""),419.54)</f>
        <v>419.54</v>
      </c>
      <c r="D195" s="141">
        <f ca="1">IFERROR(__xludf.DUMMYFUNCTION("""COMPUTED_VALUE"""),420.1)</f>
        <v>420.1</v>
      </c>
      <c r="E195" s="141">
        <f ca="1">IFERROR(__xludf.DUMMYFUNCTION("""COMPUTED_VALUE"""),412.66)</f>
        <v>412.66</v>
      </c>
      <c r="F195" s="141">
        <f ca="1">IFERROR(__xludf.DUMMYFUNCTION("""COMPUTED_VALUE"""),414.58)</f>
        <v>414.58</v>
      </c>
      <c r="G195" s="143">
        <f ca="1">IFERROR(__xludf.DUMMYFUNCTION("""COMPUTED_VALUE"""),13172067)</f>
        <v>13172067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IFERROR(__xludf.DUMMYFUNCTION("""COMPUTED_VALUE"""),420.08)</f>
        <v>420.08</v>
      </c>
      <c r="D196" s="141">
        <f ca="1">IFERROR(__xludf.DUMMYFUNCTION("""COMPUTED_VALUE"""),430.57)</f>
        <v>430.57</v>
      </c>
      <c r="E196" s="141">
        <f ca="1">IFERROR(__xludf.DUMMYFUNCTION("""COMPUTED_VALUE"""),419.59)</f>
        <v>419.59</v>
      </c>
      <c r="F196" s="141">
        <f ca="1">IFERROR(__xludf.DUMMYFUNCTION("""COMPUTED_VALUE"""),430.29)</f>
        <v>430.29</v>
      </c>
      <c r="G196" s="143">
        <f ca="1">IFERROR(__xludf.DUMMYFUNCTION("""COMPUTED_VALUE"""),14534304)</f>
        <v>14534304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IFERROR(__xludf.DUMMYFUNCTION("""COMPUTED_VALUE"""),435)</f>
        <v>435</v>
      </c>
      <c r="D197" s="141">
        <f ca="1">IFERROR(__xludf.DUMMYFUNCTION("""COMPUTED_VALUE"""),440.19)</f>
        <v>440.19</v>
      </c>
      <c r="E197" s="141">
        <f ca="1">IFERROR(__xludf.DUMMYFUNCTION("""COMPUTED_VALUE"""),433.76)</f>
        <v>433.76</v>
      </c>
      <c r="F197" s="141">
        <f ca="1">IFERROR(__xludf.DUMMYFUNCTION("""COMPUTED_VALUE"""),437.82)</f>
        <v>437.82</v>
      </c>
      <c r="G197" s="143">
        <f ca="1">IFERROR(__xludf.DUMMYFUNCTION("""COMPUTED_VALUE"""),14133118)</f>
        <v>14133118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IFERROR(__xludf.DUMMYFUNCTION("""COMPUTED_VALUE"""),422.29)</f>
        <v>422.29</v>
      </c>
      <c r="D198" s="141">
        <f ca="1">IFERROR(__xludf.DUMMYFUNCTION("""COMPUTED_VALUE"""),431.67)</f>
        <v>431.67</v>
      </c>
      <c r="E198" s="141">
        <f ca="1">IFERROR(__xludf.DUMMYFUNCTION("""COMPUTED_VALUE"""),421.17)</f>
        <v>421.17</v>
      </c>
      <c r="F198" s="141">
        <f ca="1">IFERROR(__xludf.DUMMYFUNCTION("""COMPUTED_VALUE"""),429.41)</f>
        <v>429.41</v>
      </c>
      <c r="G198" s="143">
        <f ca="1">IFERROR(__xludf.DUMMYFUNCTION("""COMPUTED_VALUE"""),10838639)</f>
        <v>10838639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IFERROR(__xludf.DUMMYFUNCTION("""COMPUTED_VALUE"""),428.87)</f>
        <v>428.87</v>
      </c>
      <c r="D199" s="141">
        <f ca="1">IFERROR(__xludf.DUMMYFUNCTION("""COMPUTED_VALUE"""),431.49)</f>
        <v>431.49</v>
      </c>
      <c r="E199" s="141">
        <f ca="1">IFERROR(__xludf.DUMMYFUNCTION("""COMPUTED_VALUE"""),426.71)</f>
        <v>426.71</v>
      </c>
      <c r="F199" s="141">
        <f ca="1">IFERROR(__xludf.DUMMYFUNCTION("""COMPUTED_VALUE"""),427.65)</f>
        <v>427.65</v>
      </c>
      <c r="G199" s="143">
        <f ca="1">IFERROR(__xludf.DUMMYFUNCTION("""COMPUTED_VALUE"""),5417251)</f>
        <v>5417251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IFERROR(__xludf.DUMMYFUNCTION("""COMPUTED_VALUE"""),427.9)</f>
        <v>427.9</v>
      </c>
      <c r="D200" s="141">
        <f ca="1">IFERROR(__xludf.DUMMYFUNCTION("""COMPUTED_VALUE"""),433.43)</f>
        <v>433.43</v>
      </c>
      <c r="E200" s="141">
        <f ca="1">IFERROR(__xludf.DUMMYFUNCTION("""COMPUTED_VALUE"""),423.1)</f>
        <v>423.1</v>
      </c>
      <c r="F200" s="141">
        <f ca="1">IFERROR(__xludf.DUMMYFUNCTION("""COMPUTED_VALUE"""),431.81)</f>
        <v>431.81</v>
      </c>
      <c r="G200" s="143">
        <f ca="1">IFERROR(__xludf.DUMMYFUNCTION("""COMPUTED_VALUE"""),7263495)</f>
        <v>7263495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IFERROR(__xludf.DUMMYFUNCTION("""COMPUTED_VALUE"""),439.98)</f>
        <v>439.98</v>
      </c>
      <c r="D201" s="141">
        <f ca="1">IFERROR(__xludf.DUMMYFUNCTION("""COMPUTED_VALUE"""),440.44)</f>
        <v>440.44</v>
      </c>
      <c r="E201" s="141">
        <f ca="1">IFERROR(__xludf.DUMMYFUNCTION("""COMPUTED_VALUE"""),431.31)</f>
        <v>431.31</v>
      </c>
      <c r="F201" s="141">
        <f ca="1">IFERROR(__xludf.DUMMYFUNCTION("""COMPUTED_VALUE"""),434.53)</f>
        <v>434.53</v>
      </c>
      <c r="G201" s="143">
        <f ca="1">IFERROR(__xludf.DUMMYFUNCTION("""COMPUTED_VALUE"""),9689696)</f>
        <v>9689696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IFERROR(__xludf.DUMMYFUNCTION("""COMPUTED_VALUE"""),436.47)</f>
        <v>436.47</v>
      </c>
      <c r="D202" s="141">
        <f ca="1">IFERROR(__xludf.DUMMYFUNCTION("""COMPUTED_VALUE"""),440.91)</f>
        <v>440.91</v>
      </c>
      <c r="E202" s="141">
        <f ca="1">IFERROR(__xludf.DUMMYFUNCTION("""COMPUTED_VALUE"""),435.87)</f>
        <v>435.87</v>
      </c>
      <c r="F202" s="141">
        <f ca="1">IFERROR(__xludf.DUMMYFUNCTION("""COMPUTED_VALUE"""),437.91)</f>
        <v>437.91</v>
      </c>
      <c r="G202" s="143">
        <f ca="1">IFERROR(__xludf.DUMMYFUNCTION("""COMPUTED_VALUE"""),6748463)</f>
        <v>6748463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IFERROR(__xludf.DUMMYFUNCTION("""COMPUTED_VALUE"""),438.59)</f>
        <v>438.59</v>
      </c>
      <c r="D203" s="141">
        <f ca="1">IFERROR(__xludf.DUMMYFUNCTION("""COMPUTED_VALUE"""),440.35)</f>
        <v>440.35</v>
      </c>
      <c r="E203" s="141">
        <f ca="1">IFERROR(__xludf.DUMMYFUNCTION("""COMPUTED_VALUE"""),436)</f>
        <v>436</v>
      </c>
      <c r="F203" s="141">
        <f ca="1">IFERROR(__xludf.DUMMYFUNCTION("""COMPUTED_VALUE"""),437.13)</f>
        <v>437.13</v>
      </c>
      <c r="G203" s="143">
        <f ca="1">IFERROR(__xludf.DUMMYFUNCTION("""COMPUTED_VALUE"""),6193254)</f>
        <v>6193254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IFERROR(__xludf.DUMMYFUNCTION("""COMPUTED_VALUE"""),434.78)</f>
        <v>434.78</v>
      </c>
      <c r="D204" s="141">
        <f ca="1">IFERROR(__xludf.DUMMYFUNCTION("""COMPUTED_VALUE"""),436.22)</f>
        <v>436.22</v>
      </c>
      <c r="E204" s="141">
        <f ca="1">IFERROR(__xludf.DUMMYFUNCTION("""COMPUTED_VALUE"""),431.63)</f>
        <v>431.63</v>
      </c>
      <c r="F204" s="141">
        <f ca="1">IFERROR(__xludf.DUMMYFUNCTION("""COMPUTED_VALUE"""),435.36)</f>
        <v>435.36</v>
      </c>
      <c r="G204" s="143">
        <f ca="1">IFERROR(__xludf.DUMMYFUNCTION("""COMPUTED_VALUE"""),5549419)</f>
        <v>5549419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IFERROR(__xludf.DUMMYFUNCTION("""COMPUTED_VALUE"""),439.32)</f>
        <v>439.32</v>
      </c>
      <c r="D205" s="141">
        <f ca="1">IFERROR(__xludf.DUMMYFUNCTION("""COMPUTED_VALUE"""),445.18)</f>
        <v>445.18</v>
      </c>
      <c r="E205" s="141">
        <f ca="1">IFERROR(__xludf.DUMMYFUNCTION("""COMPUTED_VALUE"""),439.02)</f>
        <v>439.02</v>
      </c>
      <c r="F205" s="141">
        <f ca="1">IFERROR(__xludf.DUMMYFUNCTION("""COMPUTED_VALUE"""),445.09)</f>
        <v>445.09</v>
      </c>
      <c r="G205" s="143">
        <f ca="1">IFERROR(__xludf.DUMMYFUNCTION("""COMPUTED_VALUE"""),8731651)</f>
        <v>8731651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IFERROR(__xludf.DUMMYFUNCTION("""COMPUTED_VALUE"""),442.88)</f>
        <v>442.88</v>
      </c>
      <c r="D206" s="141">
        <f ca="1">IFERROR(__xludf.DUMMYFUNCTION("""COMPUTED_VALUE"""),443.74)</f>
        <v>443.74</v>
      </c>
      <c r="E206" s="141">
        <f ca="1">IFERROR(__xludf.DUMMYFUNCTION("""COMPUTED_VALUE"""),439.6)</f>
        <v>439.6</v>
      </c>
      <c r="F206" s="141">
        <f ca="1">IFERROR(__xludf.DUMMYFUNCTION("""COMPUTED_VALUE"""),440.46)</f>
        <v>440.46</v>
      </c>
      <c r="G206" s="143">
        <f ca="1">IFERROR(__xludf.DUMMYFUNCTION("""COMPUTED_VALUE"""),6455885)</f>
        <v>6455885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IFERROR(__xludf.DUMMYFUNCTION("""COMPUTED_VALUE"""),442.15)</f>
        <v>442.15</v>
      </c>
      <c r="D207" s="141">
        <f ca="1">IFERROR(__xludf.DUMMYFUNCTION("""COMPUTED_VALUE"""),442.98)</f>
        <v>442.98</v>
      </c>
      <c r="E207" s="141">
        <f ca="1">IFERROR(__xludf.DUMMYFUNCTION("""COMPUTED_VALUE"""),438.18)</f>
        <v>438.18</v>
      </c>
      <c r="F207" s="141">
        <f ca="1">IFERROR(__xludf.DUMMYFUNCTION("""COMPUTED_VALUE"""),440.08)</f>
        <v>440.08</v>
      </c>
      <c r="G207" s="143">
        <f ca="1">IFERROR(__xludf.DUMMYFUNCTION("""COMPUTED_VALUE"""),5350128)</f>
        <v>5350128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IFERROR(__xludf.DUMMYFUNCTION("""COMPUTED_VALUE"""),445.65)</f>
        <v>445.65</v>
      </c>
      <c r="D208" s="141">
        <f ca="1">IFERROR(__xludf.DUMMYFUNCTION("""COMPUTED_VALUE"""),448.7)</f>
        <v>448.7</v>
      </c>
      <c r="E208" s="141">
        <f ca="1">IFERROR(__xludf.DUMMYFUNCTION("""COMPUTED_VALUE"""),445.32)</f>
        <v>445.32</v>
      </c>
      <c r="F208" s="141">
        <f ca="1">IFERROR(__xludf.DUMMYFUNCTION("""COMPUTED_VALUE"""),445.93)</f>
        <v>445.93</v>
      </c>
      <c r="G208" s="143">
        <f ca="1">IFERROR(__xludf.DUMMYFUNCTION("""COMPUTED_VALUE"""),9711965)</f>
        <v>9711965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IFERROR(__xludf.DUMMYFUNCTION("""COMPUTED_VALUE"""),443.13)</f>
        <v>443.13</v>
      </c>
      <c r="D209" s="141">
        <f ca="1">IFERROR(__xludf.DUMMYFUNCTION("""COMPUTED_VALUE"""),443.42)</f>
        <v>443.42</v>
      </c>
      <c r="E209" s="141">
        <f ca="1">IFERROR(__xludf.DUMMYFUNCTION("""COMPUTED_VALUE"""),440.05)</f>
        <v>440.05</v>
      </c>
      <c r="F209" s="141">
        <f ca="1">IFERROR(__xludf.DUMMYFUNCTION("""COMPUTED_VALUE"""),442.09)</f>
        <v>442.09</v>
      </c>
      <c r="G209" s="143">
        <f ca="1">IFERROR(__xludf.DUMMYFUNCTION("""COMPUTED_VALUE"""),8473003)</f>
        <v>8473003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IFERROR(__xludf.DUMMYFUNCTION("""COMPUTED_VALUE"""),438.55)</f>
        <v>438.55</v>
      </c>
      <c r="D210" s="141">
        <f ca="1">IFERROR(__xludf.DUMMYFUNCTION("""COMPUTED_VALUE"""),440.25)</f>
        <v>440.25</v>
      </c>
      <c r="E210" s="141">
        <f ca="1">IFERROR(__xludf.DUMMYFUNCTION("""COMPUTED_VALUE"""),428.71)</f>
        <v>428.71</v>
      </c>
      <c r="F210" s="141">
        <f ca="1">IFERROR(__xludf.DUMMYFUNCTION("""COMPUTED_VALUE"""),429.57)</f>
        <v>429.57</v>
      </c>
      <c r="G210" s="143">
        <f ca="1">IFERROR(__xludf.DUMMYFUNCTION("""COMPUTED_VALUE"""),9480024)</f>
        <v>9480024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IFERROR(__xludf.DUMMYFUNCTION("""COMPUTED_VALUE"""),436.27)</f>
        <v>436.27</v>
      </c>
      <c r="D211" s="141">
        <f ca="1">IFERROR(__xludf.DUMMYFUNCTION("""COMPUTED_VALUE"""),437.17)</f>
        <v>437.17</v>
      </c>
      <c r="E211" s="141">
        <f ca="1">IFERROR(__xludf.DUMMYFUNCTION("""COMPUTED_VALUE"""),433.78)</f>
        <v>433.78</v>
      </c>
      <c r="F211" s="141">
        <f ca="1">IFERROR(__xludf.DUMMYFUNCTION("""COMPUTED_VALUE"""),435.26)</f>
        <v>435.26</v>
      </c>
      <c r="G211" s="143">
        <f ca="1">IFERROR(__xludf.DUMMYFUNCTION("""COMPUTED_VALUE"""),5178054)</f>
        <v>5178054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IFERROR(__xludf.DUMMYFUNCTION("""COMPUTED_VALUE"""),433.96)</f>
        <v>433.96</v>
      </c>
      <c r="D212" s="141">
        <f ca="1">IFERROR(__xludf.DUMMYFUNCTION("""COMPUTED_VALUE"""),435.29)</f>
        <v>435.29</v>
      </c>
      <c r="E212" s="141">
        <f ca="1">IFERROR(__xludf.DUMMYFUNCTION("""COMPUTED_VALUE"""),428.22)</f>
        <v>428.22</v>
      </c>
      <c r="F212" s="141">
        <f ca="1">IFERROR(__xludf.DUMMYFUNCTION("""COMPUTED_VALUE"""),431.04)</f>
        <v>431.04</v>
      </c>
      <c r="G212" s="143">
        <f ca="1">IFERROR(__xludf.DUMMYFUNCTION("""COMPUTED_VALUE"""),4976400)</f>
        <v>4976400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IFERROR(__xludf.DUMMYFUNCTION("""COMPUTED_VALUE"""),431.34)</f>
        <v>431.34</v>
      </c>
      <c r="D213" s="141">
        <f ca="1">IFERROR(__xludf.DUMMYFUNCTION("""COMPUTED_VALUE"""),435.28)</f>
        <v>435.28</v>
      </c>
      <c r="E213" s="141">
        <f ca="1">IFERROR(__xludf.DUMMYFUNCTION("""COMPUTED_VALUE"""),430.65)</f>
        <v>430.65</v>
      </c>
      <c r="F213" s="141">
        <f ca="1">IFERROR(__xludf.DUMMYFUNCTION("""COMPUTED_VALUE"""),433.25)</f>
        <v>433.25</v>
      </c>
      <c r="G213" s="143">
        <f ca="1">IFERROR(__xludf.DUMMYFUNCTION("""COMPUTED_VALUE"""),5924116)</f>
        <v>5924116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IFERROR(__xludf.DUMMYFUNCTION("""COMPUTED_VALUE"""),431.66)</f>
        <v>431.66</v>
      </c>
      <c r="D214" s="141">
        <f ca="1">IFERROR(__xludf.DUMMYFUNCTION("""COMPUTED_VALUE"""),431.8)</f>
        <v>431.8</v>
      </c>
      <c r="E214" s="141">
        <f ca="1">IFERROR(__xludf.DUMMYFUNCTION("""COMPUTED_VALUE"""),428.52)</f>
        <v>428.52</v>
      </c>
      <c r="F214" s="141">
        <f ca="1">IFERROR(__xludf.DUMMYFUNCTION("""COMPUTED_VALUE"""),429.89)</f>
        <v>429.89</v>
      </c>
      <c r="G214" s="143">
        <f ca="1">IFERROR(__xludf.DUMMYFUNCTION("""COMPUTED_VALUE"""),6105233)</f>
        <v>6105233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IFERROR(__xludf.DUMMYFUNCTION("""COMPUTED_VALUE"""),420.72)</f>
        <v>420.72</v>
      </c>
      <c r="D215" s="141">
        <f ca="1">IFERROR(__xludf.DUMMYFUNCTION("""COMPUTED_VALUE"""),422.52)</f>
        <v>422.52</v>
      </c>
      <c r="E215" s="141">
        <f ca="1">IFERROR(__xludf.DUMMYFUNCTION("""COMPUTED_VALUE"""),418.4)</f>
        <v>418.4</v>
      </c>
      <c r="F215" s="141">
        <f ca="1">IFERROR(__xludf.DUMMYFUNCTION("""COMPUTED_VALUE"""),421.91)</f>
        <v>421.91</v>
      </c>
      <c r="G215" s="143">
        <f ca="1">IFERROR(__xludf.DUMMYFUNCTION("""COMPUTED_VALUE"""),7723433)</f>
        <v>7723433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IFERROR(__xludf.DUMMYFUNCTION("""COMPUTED_VALUE"""),416.74)</f>
        <v>416.74</v>
      </c>
      <c r="D216" s="141">
        <f ca="1">IFERROR(__xludf.DUMMYFUNCTION("""COMPUTED_VALUE"""),419.17)</f>
        <v>419.17</v>
      </c>
      <c r="E216" s="141">
        <f ca="1">IFERROR(__xludf.DUMMYFUNCTION("""COMPUTED_VALUE"""),414.16)</f>
        <v>414.16</v>
      </c>
      <c r="F216" s="141">
        <f ca="1">IFERROR(__xludf.DUMMYFUNCTION("""COMPUTED_VALUE"""),417.41)</f>
        <v>417.41</v>
      </c>
      <c r="G216" s="143">
        <f ca="1">IFERROR(__xludf.DUMMYFUNCTION("""COMPUTED_VALUE"""),6452572)</f>
        <v>6452572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IFERROR(__xludf.DUMMYFUNCTION("""COMPUTED_VALUE"""),425.34)</f>
        <v>425.34</v>
      </c>
      <c r="D217" s="141">
        <f ca="1">IFERROR(__xludf.DUMMYFUNCTION("""COMPUTED_VALUE"""),425.46)</f>
        <v>425.46</v>
      </c>
      <c r="E217" s="141">
        <f ca="1">IFERROR(__xludf.DUMMYFUNCTION("""COMPUTED_VALUE"""),422.74)</f>
        <v>422.74</v>
      </c>
      <c r="F217" s="141">
        <f ca="1">IFERROR(__xludf.DUMMYFUNCTION("""COMPUTED_VALUE"""),423.66)</f>
        <v>423.66</v>
      </c>
      <c r="G217" s="143">
        <f ca="1">IFERROR(__xludf.DUMMYFUNCTION("""COMPUTED_VALUE"""),6732811)</f>
        <v>6732811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IFERROR(__xludf.DUMMYFUNCTION("""COMPUTED_VALUE"""),421.41)</f>
        <v>421.41</v>
      </c>
      <c r="D218" s="141">
        <f ca="1">IFERROR(__xludf.DUMMYFUNCTION("""COMPUTED_VALUE"""),427.93)</f>
        <v>427.93</v>
      </c>
      <c r="E218" s="141">
        <f ca="1">IFERROR(__xludf.DUMMYFUNCTION("""COMPUTED_VALUE"""),421.08)</f>
        <v>421.08</v>
      </c>
      <c r="F218" s="141">
        <f ca="1">IFERROR(__xludf.DUMMYFUNCTION("""COMPUTED_VALUE"""),423.18)</f>
        <v>423.18</v>
      </c>
      <c r="G218" s="143">
        <f ca="1">IFERROR(__xludf.DUMMYFUNCTION("""COMPUTED_VALUE"""),5911487)</f>
        <v>5911487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IFERROR(__xludf.DUMMYFUNCTION("""COMPUTED_VALUE"""),418.84)</f>
        <v>418.84</v>
      </c>
      <c r="D219" s="141">
        <f ca="1">IFERROR(__xludf.DUMMYFUNCTION("""COMPUTED_VALUE"""),420.86)</f>
        <v>420.86</v>
      </c>
      <c r="E219" s="141">
        <f ca="1">IFERROR(__xludf.DUMMYFUNCTION("""COMPUTED_VALUE"""),413.28)</f>
        <v>413.28</v>
      </c>
      <c r="F219" s="141">
        <f ca="1">IFERROR(__xludf.DUMMYFUNCTION("""COMPUTED_VALUE"""),414.71)</f>
        <v>414.71</v>
      </c>
      <c r="G219" s="143">
        <f ca="1">IFERROR(__xludf.DUMMYFUNCTION("""COMPUTED_VALUE"""),7285731)</f>
        <v>7285731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IFERROR(__xludf.DUMMYFUNCTION("""COMPUTED_VALUE"""),420.15)</f>
        <v>420.15</v>
      </c>
      <c r="D220" s="141">
        <f ca="1">IFERROR(__xludf.DUMMYFUNCTION("""COMPUTED_VALUE"""),421.16)</f>
        <v>421.16</v>
      </c>
      <c r="E220" s="141">
        <f ca="1">IFERROR(__xludf.DUMMYFUNCTION("""COMPUTED_VALUE"""),417.91)</f>
        <v>417.91</v>
      </c>
      <c r="F220" s="141">
        <f ca="1">IFERROR(__xludf.DUMMYFUNCTION("""COMPUTED_VALUE"""),418.27)</f>
        <v>418.27</v>
      </c>
      <c r="G220" s="143">
        <f ca="1">IFERROR(__xludf.DUMMYFUNCTION("""COMPUTED_VALUE"""),4279932)</f>
        <v>4279932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IFERROR(__xludf.DUMMYFUNCTION("""COMPUTED_VALUE"""),430.15)</f>
        <v>430.15</v>
      </c>
      <c r="D221" s="141">
        <f ca="1">IFERROR(__xludf.DUMMYFUNCTION("""COMPUTED_VALUE"""),433.19)</f>
        <v>433.19</v>
      </c>
      <c r="E221" s="141">
        <f ca="1">IFERROR(__xludf.DUMMYFUNCTION("""COMPUTED_VALUE"""),429.6)</f>
        <v>429.6</v>
      </c>
      <c r="F221" s="141">
        <f ca="1">IFERROR(__xludf.DUMMYFUNCTION("""COMPUTED_VALUE"""),430.96)</f>
        <v>430.96</v>
      </c>
      <c r="G221" s="143">
        <f ca="1">IFERROR(__xludf.DUMMYFUNCTION("""COMPUTED_VALUE"""),7013889)</f>
        <v>7013889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IFERROR(__xludf.DUMMYFUNCTION("""COMPUTED_VALUE"""),435.61)</f>
        <v>435.61</v>
      </c>
      <c r="D222" s="141">
        <f ca="1">IFERROR(__xludf.DUMMYFUNCTION("""COMPUTED_VALUE"""),437.42)</f>
        <v>437.42</v>
      </c>
      <c r="E222" s="141">
        <f ca="1">IFERROR(__xludf.DUMMYFUNCTION("""COMPUTED_VALUE"""),430.25)</f>
        <v>430.25</v>
      </c>
      <c r="F222" s="141">
        <f ca="1">IFERROR(__xludf.DUMMYFUNCTION("""COMPUTED_VALUE"""),431.68)</f>
        <v>431.68</v>
      </c>
      <c r="G222" s="143">
        <f ca="1">IFERROR(__xludf.DUMMYFUNCTION("""COMPUTED_VALUE"""),6816211)</f>
        <v>6816211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IFERROR(__xludf.DUMMYFUNCTION("""COMPUTED_VALUE"""),434.05)</f>
        <v>434.05</v>
      </c>
      <c r="D223" s="141">
        <f ca="1">IFERROR(__xludf.DUMMYFUNCTION("""COMPUTED_VALUE"""),436.2)</f>
        <v>436.2</v>
      </c>
      <c r="E223" s="141">
        <f ca="1">IFERROR(__xludf.DUMMYFUNCTION("""COMPUTED_VALUE"""),431.7)</f>
        <v>431.7</v>
      </c>
      <c r="F223" s="141">
        <f ca="1">IFERROR(__xludf.DUMMYFUNCTION("""COMPUTED_VALUE"""),433.77)</f>
        <v>433.77</v>
      </c>
      <c r="G223" s="143">
        <f ca="1">IFERROR(__xludf.DUMMYFUNCTION("""COMPUTED_VALUE"""),5380821)</f>
        <v>5380821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IFERROR(__xludf.DUMMYFUNCTION("""COMPUTED_VALUE"""),434.18)</f>
        <v>434.18</v>
      </c>
      <c r="D224" s="141">
        <f ca="1">IFERROR(__xludf.DUMMYFUNCTION("""COMPUTED_VALUE"""),436.04)</f>
        <v>436.04</v>
      </c>
      <c r="E224" s="141">
        <f ca="1">IFERROR(__xludf.DUMMYFUNCTION("""COMPUTED_VALUE"""),432.21)</f>
        <v>432.21</v>
      </c>
      <c r="F224" s="141">
        <f ca="1">IFERROR(__xludf.DUMMYFUNCTION("""COMPUTED_VALUE"""),434.65)</f>
        <v>434.65</v>
      </c>
      <c r="G224" s="143">
        <f ca="1">IFERROR(__xludf.DUMMYFUNCTION("""COMPUTED_VALUE"""),5569060)</f>
        <v>5569060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IFERROR(__xludf.DUMMYFUNCTION("""COMPUTED_VALUE"""),430.7)</f>
        <v>430.7</v>
      </c>
      <c r="D225" s="141">
        <f ca="1">IFERROR(__xludf.DUMMYFUNCTION("""COMPUTED_VALUE"""),432.98)</f>
        <v>432.98</v>
      </c>
      <c r="E225" s="141">
        <f ca="1">IFERROR(__xludf.DUMMYFUNCTION("""COMPUTED_VALUE"""),425.85)</f>
        <v>425.85</v>
      </c>
      <c r="F225" s="141">
        <f ca="1">IFERROR(__xludf.DUMMYFUNCTION("""COMPUTED_VALUE"""),432.93)</f>
        <v>432.93</v>
      </c>
      <c r="G225" s="143">
        <f ca="1">IFERROR(__xludf.DUMMYFUNCTION("""COMPUTED_VALUE"""),6660930)</f>
        <v>6660930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IFERROR(__xludf.DUMMYFUNCTION("""COMPUTED_VALUE"""),430.52)</f>
        <v>430.52</v>
      </c>
      <c r="D226" s="141">
        <f ca="1">IFERROR(__xludf.DUMMYFUNCTION("""COMPUTED_VALUE"""),432.49)</f>
        <v>432.49</v>
      </c>
      <c r="E226" s="141">
        <f ca="1">IFERROR(__xludf.DUMMYFUNCTION("""COMPUTED_VALUE"""),428.75)</f>
        <v>428.75</v>
      </c>
      <c r="F226" s="141">
        <f ca="1">IFERROR(__xludf.DUMMYFUNCTION("""COMPUTED_VALUE"""),430.5)</f>
        <v>430.5</v>
      </c>
      <c r="G226" s="143">
        <f ca="1">IFERROR(__xludf.DUMMYFUNCTION("""COMPUTED_VALUE"""),4180267)</f>
        <v>4180267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IFERROR(__xludf.DUMMYFUNCTION("""COMPUTED_VALUE"""),430.3)</f>
        <v>430.3</v>
      </c>
      <c r="D227" s="141">
        <f ca="1">IFERROR(__xludf.DUMMYFUNCTION("""COMPUTED_VALUE"""),431.54)</f>
        <v>431.54</v>
      </c>
      <c r="E227" s="141">
        <f ca="1">IFERROR(__xludf.DUMMYFUNCTION("""COMPUTED_VALUE"""),427.1)</f>
        <v>427.1</v>
      </c>
      <c r="F227" s="141">
        <f ca="1">IFERROR(__xludf.DUMMYFUNCTION("""COMPUTED_VALUE"""),427.21)</f>
        <v>427.21</v>
      </c>
      <c r="G227" s="143">
        <f ca="1">IFERROR(__xludf.DUMMYFUNCTION("""COMPUTED_VALUE"""),4021406)</f>
        <v>4021406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IFERROR(__xludf.DUMMYFUNCTION("""COMPUTED_VALUE"""),417.64)</f>
        <v>417.64</v>
      </c>
      <c r="D228" s="141">
        <f ca="1">IFERROR(__xludf.DUMMYFUNCTION("""COMPUTED_VALUE"""),419.25)</f>
        <v>419.25</v>
      </c>
      <c r="E228" s="141">
        <f ca="1">IFERROR(__xludf.DUMMYFUNCTION("""COMPUTED_VALUE"""),414.12)</f>
        <v>414.12</v>
      </c>
      <c r="F228" s="141">
        <f ca="1">IFERROR(__xludf.DUMMYFUNCTION("""COMPUTED_VALUE"""),417.29)</f>
        <v>417.29</v>
      </c>
      <c r="G228" s="143">
        <f ca="1">IFERROR(__xludf.DUMMYFUNCTION("""COMPUTED_VALUE"""),9360393)</f>
        <v>9360393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IFERROR(__xludf.DUMMYFUNCTION("""COMPUTED_VALUE"""),419.82)</f>
        <v>419.82</v>
      </c>
      <c r="D229" s="141">
        <f ca="1">IFERROR(__xludf.DUMMYFUNCTION("""COMPUTED_VALUE"""),420.93)</f>
        <v>420.93</v>
      </c>
      <c r="E229" s="141">
        <f ca="1">IFERROR(__xludf.DUMMYFUNCTION("""COMPUTED_VALUE"""),416.06)</f>
        <v>416.06</v>
      </c>
      <c r="F229" s="141">
        <f ca="1">IFERROR(__xludf.DUMMYFUNCTION("""COMPUTED_VALUE"""),418.43)</f>
        <v>418.43</v>
      </c>
      <c r="G229" s="143">
        <f ca="1">IFERROR(__xludf.DUMMYFUNCTION("""COMPUTED_VALUE"""),5628255)</f>
        <v>5628255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IFERROR(__xludf.DUMMYFUNCTION("""COMPUTED_VALUE"""),412.45)</f>
        <v>412.45</v>
      </c>
      <c r="D230" s="141">
        <f ca="1">IFERROR(__xludf.DUMMYFUNCTION("""COMPUTED_VALUE"""),414.47)</f>
        <v>414.47</v>
      </c>
      <c r="E230" s="141">
        <f ca="1">IFERROR(__xludf.DUMMYFUNCTION("""COMPUTED_VALUE"""),409.88)</f>
        <v>409.88</v>
      </c>
      <c r="F230" s="141">
        <f ca="1">IFERROR(__xludf.DUMMYFUNCTION("""COMPUTED_VALUE"""),411.5)</f>
        <v>411.5</v>
      </c>
      <c r="G230" s="143">
        <f ca="1">IFERROR(__xludf.DUMMYFUNCTION("""COMPUTED_VALUE"""),5419418)</f>
        <v>5419418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IFERROR(__xludf.DUMMYFUNCTION("""COMPUTED_VALUE"""),412.14)</f>
        <v>412.14</v>
      </c>
      <c r="D231" s="141">
        <f ca="1">IFERROR(__xludf.DUMMYFUNCTION("""COMPUTED_VALUE"""),417.99)</f>
        <v>417.99</v>
      </c>
      <c r="E231" s="141">
        <f ca="1">IFERROR(__xludf.DUMMYFUNCTION("""COMPUTED_VALUE"""),410.08)</f>
        <v>410.08</v>
      </c>
      <c r="F231" s="141">
        <f ca="1">IFERROR(__xludf.DUMMYFUNCTION("""COMPUTED_VALUE"""),417.4)</f>
        <v>417.4</v>
      </c>
      <c r="G231" s="143">
        <f ca="1">IFERROR(__xludf.DUMMYFUNCTION("""COMPUTED_VALUE"""),6004982)</f>
        <v>6004982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IFERROR(__xludf.DUMMYFUNCTION("""COMPUTED_VALUE"""),413.14)</f>
        <v>413.14</v>
      </c>
      <c r="D232" s="141">
        <f ca="1">IFERROR(__xludf.DUMMYFUNCTION("""COMPUTED_VALUE"""),418.42)</f>
        <v>418.42</v>
      </c>
      <c r="E232" s="141">
        <f ca="1">IFERROR(__xludf.DUMMYFUNCTION("""COMPUTED_VALUE"""),411.95)</f>
        <v>411.95</v>
      </c>
      <c r="F232" s="141">
        <f ca="1">IFERROR(__xludf.DUMMYFUNCTION("""COMPUTED_VALUE"""),416.99)</f>
        <v>416.99</v>
      </c>
      <c r="G232" s="143">
        <f ca="1">IFERROR(__xludf.DUMMYFUNCTION("""COMPUTED_VALUE"""),4679936)</f>
        <v>4679936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IFERROR(__xludf.DUMMYFUNCTION("""COMPUTED_VALUE"""),415.17)</f>
        <v>415.17</v>
      </c>
      <c r="D233" s="141">
        <f ca="1">IFERROR(__xludf.DUMMYFUNCTION("""COMPUTED_VALUE"""),415.68)</f>
        <v>415.68</v>
      </c>
      <c r="E233" s="141">
        <f ca="1">IFERROR(__xludf.DUMMYFUNCTION("""COMPUTED_VALUE"""),412)</f>
        <v>412</v>
      </c>
      <c r="F233" s="141">
        <f ca="1">IFERROR(__xludf.DUMMYFUNCTION("""COMPUTED_VALUE"""),413.82)</f>
        <v>413.82</v>
      </c>
      <c r="G233" s="143">
        <f ca="1">IFERROR(__xludf.DUMMYFUNCTION("""COMPUTED_VALUE"""),5528437)</f>
        <v>5528437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IFERROR(__xludf.DUMMYFUNCTION("""COMPUTED_VALUE"""),415.16)</f>
        <v>415.16</v>
      </c>
      <c r="D234" s="141">
        <f ca="1">IFERROR(__xludf.DUMMYFUNCTION("""COMPUTED_VALUE"""),415.98)</f>
        <v>415.98</v>
      </c>
      <c r="E234" s="141">
        <f ca="1">IFERROR(__xludf.DUMMYFUNCTION("""COMPUTED_VALUE"""),411.5)</f>
        <v>411.5</v>
      </c>
      <c r="F234" s="141">
        <f ca="1">IFERROR(__xludf.DUMMYFUNCTION("""COMPUTED_VALUE"""),414)</f>
        <v>414</v>
      </c>
      <c r="G234" s="143">
        <f ca="1">IFERROR(__xludf.DUMMYFUNCTION("""COMPUTED_VALUE"""),5098408)</f>
        <v>5098408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IFERROR(__xludf.DUMMYFUNCTION("""COMPUTED_VALUE"""),404.34)</f>
        <v>404.34</v>
      </c>
      <c r="D235" s="141">
        <f ca="1">IFERROR(__xludf.DUMMYFUNCTION("""COMPUTED_VALUE"""),409.25)</f>
        <v>409.25</v>
      </c>
      <c r="E235" s="141">
        <f ca="1">IFERROR(__xludf.DUMMYFUNCTION("""COMPUTED_VALUE"""),404.3)</f>
        <v>404.3</v>
      </c>
      <c r="F235" s="141">
        <f ca="1">IFERROR(__xludf.DUMMYFUNCTION("""COMPUTED_VALUE"""),408.49)</f>
        <v>408.49</v>
      </c>
      <c r="G235" s="143">
        <f ca="1">IFERROR(__xludf.DUMMYFUNCTION("""COMPUTED_VALUE"""),6624576)</f>
        <v>6624576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IFERROR(__xludf.DUMMYFUNCTION("""COMPUTED_VALUE"""),406.48)</f>
        <v>406.48</v>
      </c>
      <c r="D236" s="141">
        <f ca="1">IFERROR(__xludf.DUMMYFUNCTION("""COMPUTED_VALUE"""),414.51)</f>
        <v>414.51</v>
      </c>
      <c r="E236" s="141">
        <f ca="1">IFERROR(__xludf.DUMMYFUNCTION("""COMPUTED_VALUE"""),405.41)</f>
        <v>405.41</v>
      </c>
      <c r="F236" s="141">
        <f ca="1">IFERROR(__xludf.DUMMYFUNCTION("""COMPUTED_VALUE"""),412.77)</f>
        <v>412.77</v>
      </c>
      <c r="G236" s="143">
        <f ca="1">IFERROR(__xludf.DUMMYFUNCTION("""COMPUTED_VALUE"""),7184087)</f>
        <v>7184087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IFERROR(__xludf.DUMMYFUNCTION("""COMPUTED_VALUE"""),415.62)</f>
        <v>415.62</v>
      </c>
      <c r="D237" s="141">
        <f ca="1">IFERROR(__xludf.DUMMYFUNCTION("""COMPUTED_VALUE"""),421.82)</f>
        <v>421.82</v>
      </c>
      <c r="E237" s="141">
        <f ca="1">IFERROR(__xludf.DUMMYFUNCTION("""COMPUTED_VALUE"""),415.08)</f>
        <v>415.08</v>
      </c>
      <c r="F237" s="141">
        <f ca="1">IFERROR(__xludf.DUMMYFUNCTION("""COMPUTED_VALUE"""),417.12)</f>
        <v>417.12</v>
      </c>
      <c r="G237" s="143">
        <f ca="1">IFERROR(__xludf.DUMMYFUNCTION("""COMPUTED_VALUE"""),7705706)</f>
        <v>7705706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IFERROR(__xludf.DUMMYFUNCTION("""COMPUTED_VALUE"""),409.86)</f>
        <v>409.86</v>
      </c>
      <c r="D238" s="141">
        <f ca="1">IFERROR(__xludf.DUMMYFUNCTION("""COMPUTED_VALUE"""),412.61)</f>
        <v>412.61</v>
      </c>
      <c r="E238" s="141">
        <f ca="1">IFERROR(__xludf.DUMMYFUNCTION("""COMPUTED_VALUE"""),408.24)</f>
        <v>408.24</v>
      </c>
      <c r="F238" s="141">
        <f ca="1">IFERROR(__xludf.DUMMYFUNCTION("""COMPUTED_VALUE"""),411.26)</f>
        <v>411.26</v>
      </c>
      <c r="G238" s="143">
        <f ca="1">IFERROR(__xludf.DUMMYFUNCTION("""COMPUTED_VALUE"""),6158855)</f>
        <v>6158855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IFERROR(__xludf.DUMMYFUNCTION("""COMPUTED_VALUE"""),414.08)</f>
        <v>414.08</v>
      </c>
      <c r="D239" s="141">
        <f ca="1">IFERROR(__xludf.DUMMYFUNCTION("""COMPUTED_VALUE"""),414.4)</f>
        <v>414.4</v>
      </c>
      <c r="E239" s="141">
        <f ca="1">IFERROR(__xludf.DUMMYFUNCTION("""COMPUTED_VALUE"""),411.1)</f>
        <v>411.1</v>
      </c>
      <c r="F239" s="141">
        <f ca="1">IFERROR(__xludf.DUMMYFUNCTION("""COMPUTED_VALUE"""),411.95)</f>
        <v>411.95</v>
      </c>
      <c r="G239" s="143">
        <f ca="1">IFERROR(__xludf.DUMMYFUNCTION("""COMPUTED_VALUE"""),3823879)</f>
        <v>3823879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IFERROR(__xludf.DUMMYFUNCTION("""COMPUTED_VALUE"""),408.38)</f>
        <v>408.38</v>
      </c>
      <c r="D240" s="141">
        <f ca="1">IFERROR(__xludf.DUMMYFUNCTION("""COMPUTED_VALUE"""),409.38)</f>
        <v>409.38</v>
      </c>
      <c r="E240" s="141">
        <f ca="1">IFERROR(__xludf.DUMMYFUNCTION("""COMPUTED_VALUE"""),406.23)</f>
        <v>406.23</v>
      </c>
      <c r="F240" s="141">
        <f ca="1">IFERROR(__xludf.DUMMYFUNCTION("""COMPUTED_VALUE"""),407.87)</f>
        <v>407.87</v>
      </c>
      <c r="G240" s="143">
        <f ca="1">IFERROR(__xludf.DUMMYFUNCTION("""COMPUTED_VALUE"""),5038038)</f>
        <v>5038038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IFERROR(__xludf.DUMMYFUNCTION("""COMPUTED_VALUE"""),413.37)</f>
        <v>413.37</v>
      </c>
      <c r="D241" s="141">
        <f ca="1">IFERROR(__xludf.DUMMYFUNCTION("""COMPUTED_VALUE"""),414.37)</f>
        <v>414.37</v>
      </c>
      <c r="E241" s="141">
        <f ca="1">IFERROR(__xludf.DUMMYFUNCTION("""COMPUTED_VALUE"""),409.01)</f>
        <v>409.01</v>
      </c>
      <c r="F241" s="141">
        <f ca="1">IFERROR(__xludf.DUMMYFUNCTION("""COMPUTED_VALUE"""),411.27)</f>
        <v>411.27</v>
      </c>
      <c r="G241" s="143">
        <f ca="1">IFERROR(__xludf.DUMMYFUNCTION("""COMPUTED_VALUE"""),4646546)</f>
        <v>4646546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IFERROR(__xludf.DUMMYFUNCTION("""COMPUTED_VALUE"""),404.38)</f>
        <v>404.38</v>
      </c>
      <c r="D242" s="141">
        <f ca="1">IFERROR(__xludf.DUMMYFUNCTION("""COMPUTED_VALUE"""),404.72)</f>
        <v>404.72</v>
      </c>
      <c r="E242" s="141">
        <f ca="1">IFERROR(__xludf.DUMMYFUNCTION("""COMPUTED_VALUE"""),395.92)</f>
        <v>395.92</v>
      </c>
      <c r="F242" s="141">
        <f ca="1">IFERROR(__xludf.DUMMYFUNCTION("""COMPUTED_VALUE"""),396.24)</f>
        <v>396.24</v>
      </c>
      <c r="G242" s="143">
        <f ca="1">IFERROR(__xludf.DUMMYFUNCTION("""COMPUTED_VALUE"""),11473873)</f>
        <v>11473873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IFERROR(__xludf.DUMMYFUNCTION("""COMPUTED_VALUE"""),397.52)</f>
        <v>397.52</v>
      </c>
      <c r="D243" s="141">
        <f ca="1">IFERROR(__xludf.DUMMYFUNCTION("""COMPUTED_VALUE"""),398.98)</f>
        <v>398.98</v>
      </c>
      <c r="E243" s="141">
        <f ca="1">IFERROR(__xludf.DUMMYFUNCTION("""COMPUTED_VALUE"""),396.03)</f>
        <v>396.03</v>
      </c>
      <c r="F243" s="141">
        <f ca="1">IFERROR(__xludf.DUMMYFUNCTION("""COMPUTED_VALUE"""),397.27)</f>
        <v>397.27</v>
      </c>
      <c r="G243" s="143">
        <f ca="1">IFERROR(__xludf.DUMMYFUNCTION("""COMPUTED_VALUE"""),8057349)</f>
        <v>8057349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IFERROR(__xludf.DUMMYFUNCTION("""COMPUTED_VALUE"""),397.57)</f>
        <v>397.57</v>
      </c>
      <c r="D244" s="141">
        <f ca="1">IFERROR(__xludf.DUMMYFUNCTION("""COMPUTED_VALUE"""),400.48)</f>
        <v>400.48</v>
      </c>
      <c r="E244" s="141">
        <f ca="1">IFERROR(__xludf.DUMMYFUNCTION("""COMPUTED_VALUE"""),388.75)</f>
        <v>388.75</v>
      </c>
      <c r="F244" s="141">
        <f ca="1">IFERROR(__xludf.DUMMYFUNCTION("""COMPUTED_VALUE"""),390.78)</f>
        <v>390.78</v>
      </c>
      <c r="G244" s="143">
        <f ca="1">IFERROR(__xludf.DUMMYFUNCTION("""COMPUTED_VALUE"""),9567301)</f>
        <v>9567301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IFERROR(__xludf.DUMMYFUNCTION("""COMPUTED_VALUE"""),380.75)</f>
        <v>380.75</v>
      </c>
      <c r="D245" s="141">
        <f ca="1">IFERROR(__xludf.DUMMYFUNCTION("""COMPUTED_VALUE"""),384.21)</f>
        <v>384.21</v>
      </c>
      <c r="E245" s="141">
        <f ca="1">IFERROR(__xludf.DUMMYFUNCTION("""COMPUTED_VALUE"""),374.55)</f>
        <v>374.55</v>
      </c>
      <c r="F245" s="141">
        <f ca="1">IFERROR(__xludf.DUMMYFUNCTION("""COMPUTED_VALUE"""),374.58)</f>
        <v>374.58</v>
      </c>
      <c r="G245" s="143">
        <f ca="1">IFERROR(__xludf.DUMMYFUNCTION("""COMPUTED_VALUE"""),13956163)</f>
        <v>13956163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IFERROR(__xludf.DUMMYFUNCTION("""COMPUTED_VALUE"""),373.96)</f>
        <v>373.96</v>
      </c>
      <c r="D246" s="141">
        <f ca="1">IFERROR(__xludf.DUMMYFUNCTION("""COMPUTED_VALUE"""),387.21)</f>
        <v>387.21</v>
      </c>
      <c r="E246" s="141">
        <f ca="1">IFERROR(__xludf.DUMMYFUNCTION("""COMPUTED_VALUE"""),371.88)</f>
        <v>371.88</v>
      </c>
      <c r="F246" s="141">
        <f ca="1">IFERROR(__xludf.DUMMYFUNCTION("""COMPUTED_VALUE"""),386.32)</f>
        <v>386.32</v>
      </c>
      <c r="G246" s="143">
        <f ca="1">IFERROR(__xludf.DUMMYFUNCTION("""COMPUTED_VALUE"""),12622475)</f>
        <v>12622475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IFERROR(__xludf.DUMMYFUNCTION("""COMPUTED_VALUE"""),385.73)</f>
        <v>385.73</v>
      </c>
      <c r="D247" s="141">
        <f ca="1">IFERROR(__xludf.DUMMYFUNCTION("""COMPUTED_VALUE"""),388.77)</f>
        <v>388.77</v>
      </c>
      <c r="E247" s="141">
        <f ca="1">IFERROR(__xludf.DUMMYFUNCTION("""COMPUTED_VALUE"""),383.35)</f>
        <v>383.35</v>
      </c>
      <c r="F247" s="141">
        <f ca="1">IFERROR(__xludf.DUMMYFUNCTION("""COMPUTED_VALUE"""),386.54)</f>
        <v>386.54</v>
      </c>
      <c r="G247" s="143">
        <f ca="1">IFERROR(__xludf.DUMMYFUNCTION("""COMPUTED_VALUE"""),7532578)</f>
        <v>7532578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IFERROR(__xludf.DUMMYFUNCTION("""COMPUTED_VALUE"""),399.49)</f>
        <v>399.49</v>
      </c>
      <c r="D248" s="141">
        <f ca="1">IFERROR(__xludf.DUMMYFUNCTION("""COMPUTED_VALUE"""),401)</f>
        <v>401</v>
      </c>
      <c r="E248" s="141">
        <f ca="1">IFERROR(__xludf.DUMMYFUNCTION("""COMPUTED_VALUE"""),396.15)</f>
        <v>396.15</v>
      </c>
      <c r="F248" s="141">
        <f ca="1">IFERROR(__xludf.DUMMYFUNCTION("""COMPUTED_VALUE"""),396.55)</f>
        <v>396.55</v>
      </c>
      <c r="G248" s="143">
        <f ca="1">IFERROR(__xludf.DUMMYFUNCTION("""COMPUTED_VALUE"""),10477124)</f>
        <v>10477124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IFERROR(__xludf.DUMMYFUNCTION("""COMPUTED_VALUE"""),397.83)</f>
        <v>397.83</v>
      </c>
      <c r="D249" s="141">
        <f ca="1">IFERROR(__xludf.DUMMYFUNCTION("""COMPUTED_VALUE"""),398.96)</f>
        <v>398.96</v>
      </c>
      <c r="E249" s="141">
        <f ca="1">IFERROR(__xludf.DUMMYFUNCTION("""COMPUTED_VALUE"""),395.82)</f>
        <v>395.82</v>
      </c>
      <c r="F249" s="141">
        <f ca="1">IFERROR(__xludf.DUMMYFUNCTION("""COMPUTED_VALUE"""),397.63)</f>
        <v>397.63</v>
      </c>
      <c r="G249" s="143">
        <f ca="1">IFERROR(__xludf.DUMMYFUNCTION("""COMPUTED_VALUE"""),6003964)</f>
        <v>6003964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IFERROR(__xludf.DUMMYFUNCTION("""COMPUTED_VALUE"""),397.82)</f>
        <v>397.82</v>
      </c>
      <c r="D250" s="141">
        <f ca="1">IFERROR(__xludf.DUMMYFUNCTION("""COMPUTED_VALUE"""),402.04)</f>
        <v>402.04</v>
      </c>
      <c r="E250" s="141">
        <f ca="1">IFERROR(__xludf.DUMMYFUNCTION("""COMPUTED_VALUE"""),387.08)</f>
        <v>387.08</v>
      </c>
      <c r="F250" s="141">
        <f ca="1">IFERROR(__xludf.DUMMYFUNCTION("""COMPUTED_VALUE"""),388.6)</f>
        <v>388.6</v>
      </c>
      <c r="G250" s="143">
        <f ca="1">IFERROR(__xludf.DUMMYFUNCTION("""COMPUTED_VALUE"""),13343024)</f>
        <v>13343024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IFERROR(__xludf.DUMMYFUNCTION("""COMPUTED_VALUE"""),391.24)</f>
        <v>391.24</v>
      </c>
      <c r="D251" s="141">
        <f ca="1">IFERROR(__xludf.DUMMYFUNCTION("""COMPUTED_VALUE"""),392.5)</f>
        <v>392.5</v>
      </c>
      <c r="E251" s="141">
        <f ca="1">IFERROR(__xludf.DUMMYFUNCTION("""COMPUTED_VALUE"""),385.6)</f>
        <v>385.6</v>
      </c>
      <c r="F251" s="141">
        <f ca="1">IFERROR(__xludf.DUMMYFUNCTION("""COMPUTED_VALUE"""),387.12)</f>
        <v>387.12</v>
      </c>
      <c r="G251" s="143">
        <f ca="1">IFERROR(__xludf.DUMMYFUNCTION("""COMPUTED_VALUE"""),7627320)</f>
        <v>7627320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IFERROR(__xludf.DUMMYFUNCTION("""COMPUTED_VALUE"""),384.25)</f>
        <v>384.25</v>
      </c>
      <c r="D252" s="141">
        <f ca="1">IFERROR(__xludf.DUMMYFUNCTION("""COMPUTED_VALUE"""),386.41)</f>
        <v>386.41</v>
      </c>
      <c r="E252" s="141">
        <f ca="1">IFERROR(__xludf.DUMMYFUNCTION("""COMPUTED_VALUE"""),382.64)</f>
        <v>382.64</v>
      </c>
      <c r="F252" s="141">
        <f ca="1">IFERROR(__xludf.DUMMYFUNCTION("""COMPUTED_VALUE"""),384.59)</f>
        <v>384.59</v>
      </c>
      <c r="G252" s="143">
        <f ca="1">IFERROR(__xludf.DUMMYFUNCTION("""COMPUTED_VALUE"""),7835120)</f>
        <v>7835120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IFERROR(__xludf.DUMMYFUNCTION("""COMPUTED_VALUE"""),377.72)</f>
        <v>377.72</v>
      </c>
      <c r="D253" s="141">
        <f ca="1">IFERROR(__xludf.DUMMYFUNCTION("""COMPUTED_VALUE"""),380.35)</f>
        <v>380.35</v>
      </c>
      <c r="E253" s="141">
        <f ca="1">IFERROR(__xludf.DUMMYFUNCTION("""COMPUTED_VALUE"""),377.17)</f>
        <v>377.17</v>
      </c>
      <c r="F253" s="141">
        <f ca="1">IFERROR(__xludf.DUMMYFUNCTION("""COMPUTED_VALUE"""),377.32)</f>
        <v>377.32</v>
      </c>
      <c r="G253" s="143">
        <f ca="1">IFERROR(__xludf.DUMMYFUNCTION("""COMPUTED_VALUE"""),7389591)</f>
        <v>7389591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IFERROR(__xludf.DUMMYFUNCTION("""COMPUTED_VALUE"""),364.81)</f>
        <v>364.81</v>
      </c>
      <c r="D254" s="141">
        <f ca="1">IFERROR(__xludf.DUMMYFUNCTION("""COMPUTED_VALUE"""),370.9)</f>
        <v>370.9</v>
      </c>
      <c r="E254" s="141">
        <f ca="1">IFERROR(__xludf.DUMMYFUNCTION("""COMPUTED_VALUE"""),363.32)</f>
        <v>363.32</v>
      </c>
      <c r="F254" s="141">
        <f ca="1">IFERROR(__xludf.DUMMYFUNCTION("""COMPUTED_VALUE"""),365.92)</f>
        <v>365.92</v>
      </c>
      <c r="G254" s="143">
        <f ca="1">IFERROR(__xludf.DUMMYFUNCTION("""COMPUTED_VALUE"""),12741717)</f>
        <v>12741717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IFERROR(__xludf.DUMMYFUNCTION("""COMPUTED_VALUE"""),368.99)</f>
        <v>368.99</v>
      </c>
      <c r="D255" s="141">
        <f ca="1">IFERROR(__xludf.DUMMYFUNCTION("""COMPUTED_VALUE"""),371.04)</f>
        <v>371.04</v>
      </c>
      <c r="E255" s="141">
        <f ca="1">IFERROR(__xludf.DUMMYFUNCTION("""COMPUTED_VALUE"""),366.8)</f>
        <v>366.8</v>
      </c>
      <c r="F255" s="141">
        <f ca="1">IFERROR(__xludf.DUMMYFUNCTION("""COMPUTED_VALUE"""),369.46)</f>
        <v>369.46</v>
      </c>
      <c r="G255" s="143">
        <f ca="1">IFERROR(__xludf.DUMMYFUNCTION("""COMPUTED_VALUE"""),9164675)</f>
        <v>9164675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IFERROR(__xludf.DUMMYFUNCTION("""COMPUTED_VALUE"""),372.27)</f>
        <v>372.27</v>
      </c>
      <c r="D256" s="141">
        <f ca="1">IFERROR(__xludf.DUMMYFUNCTION("""COMPUTED_VALUE"""),375.85)</f>
        <v>375.85</v>
      </c>
      <c r="E256" s="141">
        <f ca="1">IFERROR(__xludf.DUMMYFUNCTION("""COMPUTED_VALUE"""),371.18)</f>
        <v>371.18</v>
      </c>
      <c r="F256" s="141">
        <f ca="1">IFERROR(__xludf.DUMMYFUNCTION("""COMPUTED_VALUE"""),373.63)</f>
        <v>373.63</v>
      </c>
      <c r="G256" s="143">
        <f ca="1">IFERROR(__xludf.DUMMYFUNCTION("""COMPUTED_VALUE"""),5603325)</f>
        <v>5603325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IFERROR(__xludf.DUMMYFUNCTION("""COMPUTED_VALUE"""),370.58)</f>
        <v>370.58</v>
      </c>
      <c r="D257" s="141">
        <f ca="1">IFERROR(__xludf.DUMMYFUNCTION("""COMPUTED_VALUE"""),371.19)</f>
        <v>371.19</v>
      </c>
      <c r="E257" s="141">
        <f ca="1">IFERROR(__xludf.DUMMYFUNCTION("""COMPUTED_VALUE"""),366.97)</f>
        <v>366.97</v>
      </c>
      <c r="F257" s="141">
        <f ca="1">IFERROR(__xludf.DUMMYFUNCTION("""COMPUTED_VALUE"""),368.58)</f>
        <v>368.58</v>
      </c>
      <c r="G257" s="143">
        <f ca="1">IFERROR(__xludf.DUMMYFUNCTION("""COMPUTED_VALUE"""),5006270)</f>
        <v>5006270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IFERROR(__xludf.DUMMYFUNCTION("""COMPUTED_VALUE"""),369.22)</f>
        <v>369.22</v>
      </c>
      <c r="D258" s="141">
        <f ca="1">IFERROR(__xludf.DUMMYFUNCTION("""COMPUTED_VALUE"""),372.83)</f>
        <v>372.83</v>
      </c>
      <c r="E258" s="141">
        <f ca="1">IFERROR(__xludf.DUMMYFUNCTION("""COMPUTED_VALUE"""),368.26)</f>
        <v>368.26</v>
      </c>
      <c r="F258" s="141">
        <f ca="1">IFERROR(__xludf.DUMMYFUNCTION("""COMPUTED_VALUE"""),368.38)</f>
        <v>368.38</v>
      </c>
      <c r="G258" s="143">
        <f ca="1">IFERROR(__xludf.DUMMYFUNCTION("""COMPUTED_VALUE"""),5302054)</f>
        <v>5302054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IFERROR(__xludf.DUMMYFUNCTION("""COMPUTED_VALUE"""),371.21)</f>
        <v>371.21</v>
      </c>
      <c r="D259" s="141">
        <f ca="1">IFERROR(__xludf.DUMMYFUNCTION("""COMPUTED_VALUE"""),377.78)</f>
        <v>377.78</v>
      </c>
      <c r="E259" s="141">
        <f ca="1">IFERROR(__xludf.DUMMYFUNCTION("""COMPUTED_VALUE"""),370.21)</f>
        <v>370.21</v>
      </c>
      <c r="F259" s="141">
        <f ca="1">IFERROR(__xludf.DUMMYFUNCTION("""COMPUTED_VALUE"""),370.6)</f>
        <v>370.6</v>
      </c>
      <c r="G259" s="143">
        <f ca="1">IFERROR(__xludf.DUMMYFUNCTION("""COMPUTED_VALUE"""),9058288)</f>
        <v>9058288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IFERROR(__xludf.DUMMYFUNCTION("""COMPUTED_VALUE"""),377.44)</f>
        <v>377.44</v>
      </c>
      <c r="D260" s="141">
        <f ca="1">IFERROR(__xludf.DUMMYFUNCTION("""COMPUTED_VALUE"""),380.27)</f>
        <v>380.27</v>
      </c>
      <c r="E260" s="141">
        <f ca="1">IFERROR(__xludf.DUMMYFUNCTION("""COMPUTED_VALUE"""),376.29)</f>
        <v>376.29</v>
      </c>
      <c r="F260" s="141">
        <f ca="1">IFERROR(__xludf.DUMMYFUNCTION("""COMPUTED_VALUE"""),378.13)</f>
        <v>378.13</v>
      </c>
      <c r="G260" s="143">
        <f ca="1">IFERROR(__xludf.DUMMYFUNCTION("""COMPUTED_VALUE"""),7607968)</f>
        <v>7607968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IFERROR(__xludf.DUMMYFUNCTION("""COMPUTED_VALUE"""),380.21)</f>
        <v>380.21</v>
      </c>
      <c r="D261" s="141">
        <f ca="1">IFERROR(__xludf.DUMMYFUNCTION("""COMPUTED_VALUE"""),382.43)</f>
        <v>382.43</v>
      </c>
      <c r="E261" s="141">
        <f ca="1">IFERROR(__xludf.DUMMYFUNCTION("""COMPUTED_VALUE"""),378.83)</f>
        <v>378.83</v>
      </c>
      <c r="F261" s="141">
        <f ca="1">IFERROR(__xludf.DUMMYFUNCTION("""COMPUTED_VALUE"""),382.13)</f>
        <v>382.13</v>
      </c>
      <c r="G261" s="143">
        <f ca="1">IFERROR(__xludf.DUMMYFUNCTION("""COMPUTED_VALUE"""),3906525)</f>
        <v>3906525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IFERROR(__xludf.DUMMYFUNCTION("""COMPUTED_VALUE"""),382.39)</f>
        <v>382.39</v>
      </c>
      <c r="D262" s="141">
        <f ca="1">IFERROR(__xludf.DUMMYFUNCTION("""COMPUTED_VALUE"""),383.6)</f>
        <v>383.6</v>
      </c>
      <c r="E262" s="141">
        <f ca="1">IFERROR(__xludf.DUMMYFUNCTION("""COMPUTED_VALUE"""),375.52)</f>
        <v>375.52</v>
      </c>
      <c r="F262" s="141">
        <f ca="1">IFERROR(__xludf.DUMMYFUNCTION("""COMPUTED_VALUE"""),377.49)</f>
        <v>377.49</v>
      </c>
      <c r="G262" s="143">
        <f ca="1">IFERROR(__xludf.DUMMYFUNCTION("""COMPUTED_VALUE"""),4815435)</f>
        <v>4815435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IFERROR(__xludf.DUMMYFUNCTION("""COMPUTED_VALUE"""),373.17)</f>
        <v>373.17</v>
      </c>
      <c r="D263" s="141">
        <f ca="1">IFERROR(__xludf.DUMMYFUNCTION("""COMPUTED_VALUE"""),375.47)</f>
        <v>375.47</v>
      </c>
      <c r="E263" s="141">
        <f ca="1">IFERROR(__xludf.DUMMYFUNCTION("""COMPUTED_VALUE"""),368.95)</f>
        <v>368.95</v>
      </c>
      <c r="F263" s="141">
        <f ca="1">IFERROR(__xludf.DUMMYFUNCTION("""COMPUTED_VALUE"""),374.45)</f>
        <v>374.45</v>
      </c>
      <c r="G263" s="143">
        <f ca="1">IFERROR(__xludf.DUMMYFUNCTION("""COMPUTED_VALUE"""),7728536)</f>
        <v>7728536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IFERROR(__xludf.DUMMYFUNCTION("""COMPUTED_VALUE"""),378.51)</f>
        <v>378.51</v>
      </c>
      <c r="D264" s="141">
        <f ca="1">IFERROR(__xludf.DUMMYFUNCTION("""COMPUTED_VALUE"""),379.65)</f>
        <v>379.65</v>
      </c>
      <c r="E264" s="141">
        <f ca="1">IFERROR(__xludf.DUMMYFUNCTION("""COMPUTED_VALUE"""),377.41)</f>
        <v>377.41</v>
      </c>
      <c r="F264" s="141">
        <f ca="1">IFERROR(__xludf.DUMMYFUNCTION("""COMPUTED_VALUE"""),378.18)</f>
        <v>378.18</v>
      </c>
      <c r="G264" s="143">
        <f ca="1">IFERROR(__xludf.DUMMYFUNCTION("""COMPUTED_VALUE"""),4754582)</f>
        <v>4754582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IFERROR(__xludf.DUMMYFUNCTION("""COMPUTED_VALUE"""),375)</f>
        <v>375</v>
      </c>
      <c r="D265" s="141">
        <f ca="1">IFERROR(__xludf.DUMMYFUNCTION("""COMPUTED_VALUE"""),377.55)</f>
        <v>377.55</v>
      </c>
      <c r="E265" s="141">
        <f ca="1">IFERROR(__xludf.DUMMYFUNCTION("""COMPUTED_VALUE"""),373.7)</f>
        <v>373.7</v>
      </c>
      <c r="F265" s="141">
        <f ca="1">IFERROR(__xludf.DUMMYFUNCTION("""COMPUTED_VALUE"""),377.01)</f>
        <v>377.01</v>
      </c>
      <c r="G265" s="143">
        <f ca="1">IFERROR(__xludf.DUMMYFUNCTION("""COMPUTED_VALUE"""),5455435)</f>
        <v>5455435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IFERROR(__xludf.DUMMYFUNCTION("""COMPUTED_VALUE"""),372.77)</f>
        <v>372.77</v>
      </c>
      <c r="D266" s="141">
        <f ca="1">IFERROR(__xludf.DUMMYFUNCTION("""COMPUTED_VALUE"""),372.89)</f>
        <v>372.89</v>
      </c>
      <c r="E266" s="141">
        <f ca="1">IFERROR(__xludf.DUMMYFUNCTION("""COMPUTED_VALUE"""),365.77)</f>
        <v>365.77</v>
      </c>
      <c r="F266" s="141">
        <f ca="1">IFERROR(__xludf.DUMMYFUNCTION("""COMPUTED_VALUE"""),367.13)</f>
        <v>367.13</v>
      </c>
      <c r="G266" s="143">
        <f ca="1">IFERROR(__xludf.DUMMYFUNCTION("""COMPUTED_VALUE"""),7161731)</f>
        <v>7161731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IFERROR(__xludf.DUMMYFUNCTION("""COMPUTED_VALUE"""),374.53)</f>
        <v>374.53</v>
      </c>
      <c r="D267" s="141">
        <f ca="1">IFERROR(__xludf.DUMMYFUNCTION("""COMPUTED_VALUE"""),376.28)</f>
        <v>376.28</v>
      </c>
      <c r="E267" s="141">
        <f ca="1">IFERROR(__xludf.DUMMYFUNCTION("""COMPUTED_VALUE"""),370.92)</f>
        <v>370.92</v>
      </c>
      <c r="F267" s="141">
        <f ca="1">IFERROR(__xludf.DUMMYFUNCTION("""COMPUTED_VALUE"""),372.15)</f>
        <v>372.15</v>
      </c>
      <c r="G267" s="143">
        <f ca="1">IFERROR(__xludf.DUMMYFUNCTION("""COMPUTED_VALUE"""),6303383)</f>
        <v>6303383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IFERROR(__xludf.DUMMYFUNCTION("""COMPUTED_VALUE"""),372.11)</f>
        <v>372.11</v>
      </c>
      <c r="D268" s="141">
        <f ca="1">IFERROR(__xludf.DUMMYFUNCTION("""COMPUTED_VALUE"""),374.49)</f>
        <v>374.49</v>
      </c>
      <c r="E268" s="141">
        <f ca="1">IFERROR(__xludf.DUMMYFUNCTION("""COMPUTED_VALUE"""),369.5)</f>
        <v>369.5</v>
      </c>
      <c r="F268" s="141">
        <f ca="1">IFERROR(__xludf.DUMMYFUNCTION("""COMPUTED_VALUE"""),372.35)</f>
        <v>372.35</v>
      </c>
      <c r="G268" s="143">
        <f ca="1">IFERROR(__xludf.DUMMYFUNCTION("""COMPUTED_VALUE"""),7683668)</f>
        <v>7683668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IFERROR(__xludf.DUMMYFUNCTION("""COMPUTED_VALUE"""),367.45)</f>
        <v>367.45</v>
      </c>
      <c r="D269" s="141">
        <f ca="1">IFERROR(__xludf.DUMMYFUNCTION("""COMPUTED_VALUE"""),368.43)</f>
        <v>368.43</v>
      </c>
      <c r="E269" s="141">
        <f ca="1">IFERROR(__xludf.DUMMYFUNCTION("""COMPUTED_VALUE"""),364.05)</f>
        <v>364.05</v>
      </c>
      <c r="F269" s="141">
        <f ca="1">IFERROR(__xludf.DUMMYFUNCTION("""COMPUTED_VALUE"""),364.96)</f>
        <v>364.96</v>
      </c>
      <c r="G269" s="143">
        <f ca="1">IFERROR(__xludf.DUMMYFUNCTION("""COMPUTED_VALUE"""),9048048)</f>
        <v>9048048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IFERROR(__xludf.DUMMYFUNCTION("""COMPUTED_VALUE"""),364.11)</f>
        <v>364.11</v>
      </c>
      <c r="D270" s="141">
        <f ca="1">IFERROR(__xludf.DUMMYFUNCTION("""COMPUTED_VALUE"""),369.21)</f>
        <v>369.21</v>
      </c>
      <c r="E270" s="141">
        <f ca="1">IFERROR(__xludf.DUMMYFUNCTION("""COMPUTED_VALUE"""),363.6)</f>
        <v>363.6</v>
      </c>
      <c r="F270" s="141">
        <f ca="1">IFERROR(__xludf.DUMMYFUNCTION("""COMPUTED_VALUE"""),368.41)</f>
        <v>368.41</v>
      </c>
      <c r="G270" s="143">
        <f ca="1">IFERROR(__xludf.DUMMYFUNCTION("""COMPUTED_VALUE"""),6456632)</f>
        <v>6456632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IFERROR(__xludf.DUMMYFUNCTION("""COMPUTED_VALUE"""),367.79)</f>
        <v>367.79</v>
      </c>
      <c r="D271" s="141">
        <f ca="1">IFERROR(__xludf.DUMMYFUNCTION("""COMPUTED_VALUE"""),368.79)</f>
        <v>368.79</v>
      </c>
      <c r="E271" s="141">
        <f ca="1">IFERROR(__xludf.DUMMYFUNCTION("""COMPUTED_VALUE"""),366.8)</f>
        <v>366.8</v>
      </c>
      <c r="F271" s="141">
        <f ca="1">IFERROR(__xludf.DUMMYFUNCTION("""COMPUTED_VALUE"""),367.6)</f>
        <v>367.6</v>
      </c>
      <c r="G271" s="143">
        <f ca="1">IFERROR(__xludf.DUMMYFUNCTION("""COMPUTED_VALUE"""),3922525)</f>
        <v>3922525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IFERROR(__xludf.DUMMYFUNCTION("""COMPUTED_VALUE"""),371.7)</f>
        <v>371.7</v>
      </c>
      <c r="D272" s="141">
        <f ca="1">IFERROR(__xludf.DUMMYFUNCTION("""COMPUTED_VALUE"""),375.01)</f>
        <v>375.01</v>
      </c>
      <c r="E272" s="141">
        <f ca="1">IFERROR(__xludf.DUMMYFUNCTION("""COMPUTED_VALUE"""),371.07)</f>
        <v>371.07</v>
      </c>
      <c r="F272" s="141">
        <f ca="1">IFERROR(__xludf.DUMMYFUNCTION("""COMPUTED_VALUE"""),374.81)</f>
        <v>374.81</v>
      </c>
      <c r="G272" s="143">
        <f ca="1">IFERROR(__xludf.DUMMYFUNCTION("""COMPUTED_VALUE"""),6070621)</f>
        <v>6070621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IFERROR(__xludf.DUMMYFUNCTION("""COMPUTED_VALUE"""),379.07)</f>
        <v>379.07</v>
      </c>
      <c r="D273" s="141">
        <f ca="1">IFERROR(__xludf.DUMMYFUNCTION("""COMPUTED_VALUE"""),382.22)</f>
        <v>382.22</v>
      </c>
      <c r="E273" s="141">
        <f ca="1">IFERROR(__xludf.DUMMYFUNCTION("""COMPUTED_VALUE"""),378.83)</f>
        <v>378.83</v>
      </c>
      <c r="F273" s="141">
        <f ca="1">IFERROR(__xludf.DUMMYFUNCTION("""COMPUTED_VALUE"""),379.12)</f>
        <v>379.12</v>
      </c>
      <c r="G273" s="143">
        <f ca="1">IFERROR(__xludf.DUMMYFUNCTION("""COMPUTED_VALUE"""),7115062)</f>
        <v>7115062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IFERROR(__xludf.DUMMYFUNCTION("""COMPUTED_VALUE"""),372.36)</f>
        <v>372.36</v>
      </c>
      <c r="D274" s="141">
        <f ca="1">IFERROR(__xludf.DUMMYFUNCTION("""COMPUTED_VALUE"""),373.09)</f>
        <v>373.09</v>
      </c>
      <c r="E274" s="141">
        <f ca="1">IFERROR(__xludf.DUMMYFUNCTION("""COMPUTED_VALUE"""),370.53)</f>
        <v>370.53</v>
      </c>
      <c r="F274" s="141">
        <f ca="1">IFERROR(__xludf.DUMMYFUNCTION("""COMPUTED_VALUE"""),371.52)</f>
        <v>371.52</v>
      </c>
      <c r="G274" s="143">
        <f ca="1">IFERROR(__xludf.DUMMYFUNCTION("""COMPUTED_VALUE"""),9820641)</f>
        <v>9820641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IFERROR(__xludf.DUMMYFUNCTION("""COMPUTED_VALUE"""),371.26)</f>
        <v>371.26</v>
      </c>
      <c r="D275" s="141">
        <f ca="1">IFERROR(__xludf.DUMMYFUNCTION("""COMPUTED_VALUE"""),374.49)</f>
        <v>374.49</v>
      </c>
      <c r="E275" s="141">
        <f ca="1">IFERROR(__xludf.DUMMYFUNCTION("""COMPUTED_VALUE"""),371.03)</f>
        <v>371.03</v>
      </c>
      <c r="F275" s="141">
        <f ca="1">IFERROR(__xludf.DUMMYFUNCTION("""COMPUTED_VALUE"""),371.9)</f>
        <v>371.9</v>
      </c>
      <c r="G275" s="143">
        <f ca="1">IFERROR(__xludf.DUMMYFUNCTION("""COMPUTED_VALUE"""),3852356)</f>
        <v>3852356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IFERROR(__xludf.DUMMYFUNCTION("""COMPUTED_VALUE"""),373.89)</f>
        <v>373.89</v>
      </c>
      <c r="D276" s="141">
        <f ca="1">IFERROR(__xludf.DUMMYFUNCTION("""COMPUTED_VALUE"""),375.53)</f>
        <v>375.53</v>
      </c>
      <c r="E276" s="141">
        <f ca="1">IFERROR(__xludf.DUMMYFUNCTION("""COMPUTED_VALUE"""),372.91)</f>
        <v>372.91</v>
      </c>
      <c r="F276" s="141">
        <f ca="1">IFERROR(__xludf.DUMMYFUNCTION("""COMPUTED_VALUE"""),374.63)</f>
        <v>374.63</v>
      </c>
      <c r="G276" s="143">
        <f ca="1">IFERROR(__xludf.DUMMYFUNCTION("""COMPUTED_VALUE"""),3699962)</f>
        <v>3699962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IFERROR(__xludf.DUMMYFUNCTION("""COMPUTED_VALUE"""),369.61)</f>
        <v>369.61</v>
      </c>
      <c r="D277" s="141">
        <f ca="1">IFERROR(__xludf.DUMMYFUNCTION("""COMPUTED_VALUE"""),371.23)</f>
        <v>371.23</v>
      </c>
      <c r="E277" s="141">
        <f ca="1">IFERROR(__xludf.DUMMYFUNCTION("""COMPUTED_VALUE"""),367.98)</f>
        <v>367.98</v>
      </c>
      <c r="F277" s="141">
        <f ca="1">IFERROR(__xludf.DUMMYFUNCTION("""COMPUTED_VALUE"""),369.37)</f>
        <v>369.37</v>
      </c>
      <c r="G277" s="143">
        <f ca="1">IFERROR(__xludf.DUMMYFUNCTION("""COMPUTED_VALUE"""),4819262)</f>
        <v>4819262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IFERROR(__xludf.DUMMYFUNCTION("""COMPUTED_VALUE"""),368.29)</f>
        <v>368.29</v>
      </c>
      <c r="D278" s="141">
        <f ca="1">IFERROR(__xludf.DUMMYFUNCTION("""COMPUTED_VALUE"""),377.62)</f>
        <v>377.62</v>
      </c>
      <c r="E278" s="141">
        <f ca="1">IFERROR(__xludf.DUMMYFUNCTION("""COMPUTED_VALUE"""),366.53)</f>
        <v>366.53</v>
      </c>
      <c r="F278" s="141">
        <f ca="1">IFERROR(__xludf.DUMMYFUNCTION("""COMPUTED_VALUE"""),371.08)</f>
        <v>371.08</v>
      </c>
      <c r="G278" s="143">
        <f ca="1">IFERROR(__xludf.DUMMYFUNCTION("""COMPUTED_VALUE"""),11511699)</f>
        <v>11511699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F28:F1000">
    <cfRule type="expression" dxfId="9" priority="1">
      <formula>AND(F28=MAX(F$28:F$1000),F28&gt;0)</formula>
    </cfRule>
    <cfRule type="expression" dxfId="8" priority="2">
      <formula>AND(F28=MIN(F$28:F$1000),F28&gt;0)</formula>
    </cfRule>
  </conditionalFormatting>
  <conditionalFormatting sqref="F29:F1000">
    <cfRule type="expression" dxfId="7" priority="3">
      <formula>F29&gt;F27</formula>
    </cfRule>
    <cfRule type="expression" dxfId="6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800-000000000000}">
      <formula1>"1 Month,3 Months,6 Months,12 Months,36 Months"</formula1>
    </dataValidation>
  </dataValidations>
  <hyperlinks>
    <hyperlink ref="G2" r:id="rId1" xr:uid="{00000000-0004-0000-1800-000000000000}"/>
  </hyperlinks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000"/>
  <sheetViews>
    <sheetView showGridLines="0" workbookViewId="0"/>
  </sheetViews>
  <sheetFormatPr defaultColWidth="12.5703125" defaultRowHeight="15.75" customHeight="1" x14ac:dyDescent="0.2"/>
  <cols>
    <col min="1" max="1" width="5.42578125" customWidth="1"/>
    <col min="2" max="2" width="15.7109375" customWidth="1"/>
    <col min="8" max="8" width="5.42578125" customWidth="1"/>
  </cols>
  <sheetData>
    <row r="1" spans="1:8" ht="22.5" customHeight="1" x14ac:dyDescent="0.2">
      <c r="A1" s="69"/>
      <c r="B1" s="339" t="s">
        <v>36</v>
      </c>
      <c r="C1" s="322"/>
      <c r="D1" s="322"/>
      <c r="E1" s="322"/>
      <c r="F1" s="322"/>
      <c r="G1" s="72" t="s">
        <v>2</v>
      </c>
      <c r="H1" s="69"/>
    </row>
    <row r="2" spans="1:8" ht="22.5" customHeight="1" x14ac:dyDescent="0.2">
      <c r="A2" s="69"/>
      <c r="B2" s="322"/>
      <c r="C2" s="322"/>
      <c r="D2" s="322"/>
      <c r="E2" s="322"/>
      <c r="F2" s="322"/>
      <c r="G2" s="77" t="s">
        <v>3</v>
      </c>
      <c r="H2" s="69"/>
    </row>
    <row r="3" spans="1:8" ht="11.25" customHeight="1" x14ac:dyDescent="0.2">
      <c r="A3" s="1"/>
      <c r="B3" s="1"/>
      <c r="C3" s="1"/>
      <c r="D3" s="1"/>
      <c r="E3" s="1"/>
      <c r="F3" s="1"/>
      <c r="G3" s="1"/>
      <c r="H3" s="1"/>
    </row>
    <row r="4" spans="1:8" ht="15.75" customHeight="1" x14ac:dyDescent="0.2">
      <c r="A4" s="1"/>
      <c r="B4" s="80" t="s">
        <v>105</v>
      </c>
      <c r="C4" s="81" t="s">
        <v>43</v>
      </c>
      <c r="D4" s="1"/>
      <c r="E4" s="1"/>
      <c r="F4" s="1"/>
      <c r="G4" s="1"/>
      <c r="H4" s="1"/>
    </row>
    <row r="5" spans="1:8" ht="15.75" customHeight="1" x14ac:dyDescent="0.2">
      <c r="A5" s="1"/>
      <c r="B5" s="82"/>
      <c r="C5" s="81" t="s">
        <v>45</v>
      </c>
      <c r="D5" s="85"/>
      <c r="E5" s="1"/>
      <c r="F5" s="1"/>
      <c r="G5" s="1"/>
      <c r="H5" s="1"/>
    </row>
    <row r="6" spans="1:8" ht="11.25" customHeight="1" x14ac:dyDescent="0.2">
      <c r="A6" s="26"/>
      <c r="B6" s="26"/>
      <c r="C6" s="26"/>
      <c r="D6" s="26"/>
      <c r="E6" s="26"/>
      <c r="F6" s="26"/>
      <c r="G6" s="26"/>
      <c r="H6" s="26"/>
    </row>
    <row r="7" spans="1:8" ht="20.25" x14ac:dyDescent="0.7">
      <c r="A7" s="12"/>
      <c r="B7" s="340" t="str">
        <f ca="1">IFERROR(__xludf.DUMMYFUNCTION("GOOGLEFINANCE(B18,""name"")"),"State Street SPDR Bloomberg 1-3 Month T-Bill ETF")</f>
        <v>State Street SPDR Bloomberg 1-3 Month T-Bill ETF</v>
      </c>
      <c r="C7" s="322"/>
      <c r="D7" s="322"/>
      <c r="E7" s="322"/>
      <c r="F7" s="322"/>
      <c r="G7" s="322"/>
      <c r="H7" s="12"/>
    </row>
    <row r="8" spans="1:8" ht="11.25" customHeight="1" x14ac:dyDescent="0.2">
      <c r="A8" s="12"/>
      <c r="B8" s="12"/>
      <c r="C8" s="12"/>
      <c r="D8" s="12"/>
      <c r="E8" s="12"/>
      <c r="F8" s="12"/>
      <c r="G8" s="12"/>
      <c r="H8" s="12"/>
    </row>
    <row r="9" spans="1:8" ht="12" customHeight="1" x14ac:dyDescent="0.2">
      <c r="A9" s="1"/>
      <c r="B9" s="11" t="s">
        <v>1</v>
      </c>
      <c r="C9" s="1"/>
      <c r="D9" s="90" t="s">
        <v>12</v>
      </c>
      <c r="E9" s="90" t="s">
        <v>13</v>
      </c>
      <c r="F9" s="1"/>
      <c r="G9" s="1"/>
      <c r="H9" s="1"/>
    </row>
    <row r="10" spans="1:8" ht="31.5" x14ac:dyDescent="0.2">
      <c r="A10" s="12"/>
      <c r="B10" s="341">
        <f ca="1">IFERROR(__xludf.DUMMYFUNCTION("GOOGLEFINANCE(B18,""price"")"),91.64)</f>
        <v>91.64</v>
      </c>
      <c r="C10" s="322"/>
      <c r="D10" s="100">
        <f ca="1">IFERROR(__xludf.DUMMYFUNCTION("IFERROR(GOOGLEFINANCE(B18,""change""),""-"")"),0.01)</f>
        <v>0.01</v>
      </c>
      <c r="E10" s="103">
        <f ca="1">IFERROR(__xludf.DUMMYFUNCTION("IFERROR(GOOGLEFINANCE(B18,""changepct"")/100,""-"")"),0.0001)</f>
        <v>1E-4</v>
      </c>
      <c r="F10" s="12"/>
      <c r="G10" s="12"/>
      <c r="H10" s="12"/>
    </row>
    <row r="11" spans="1:8" ht="11.25" customHeight="1" x14ac:dyDescent="0.2">
      <c r="A11" s="12"/>
      <c r="B11" s="106"/>
      <c r="C11" s="106"/>
      <c r="D11" s="106"/>
      <c r="E11" s="106"/>
      <c r="F11" s="106"/>
      <c r="G11" s="106"/>
      <c r="H11" s="12"/>
    </row>
    <row r="12" spans="1:8" ht="11.25" customHeight="1" x14ac:dyDescent="0.2">
      <c r="A12" s="12"/>
      <c r="B12" s="12"/>
      <c r="C12" s="12"/>
      <c r="D12" s="12"/>
      <c r="E12" s="12"/>
      <c r="F12" s="12"/>
      <c r="G12" s="12"/>
      <c r="H12" s="12"/>
    </row>
    <row r="13" spans="1:8" ht="12" customHeight="1" x14ac:dyDescent="0.2">
      <c r="A13" s="1"/>
      <c r="B13" s="90" t="s">
        <v>57</v>
      </c>
      <c r="C13" s="90" t="s">
        <v>58</v>
      </c>
      <c r="D13" s="90" t="s">
        <v>59</v>
      </c>
      <c r="E13" s="1"/>
      <c r="F13" s="1"/>
      <c r="G13" s="1"/>
      <c r="H13" s="1"/>
    </row>
    <row r="14" spans="1:8" x14ac:dyDescent="0.2">
      <c r="A14" s="113"/>
      <c r="B14" s="114" t="str">
        <f ca="1">IFERROR(__xludf.DUMMYFUNCTION("IFERROR(GOOGLEFINANCE(B18,""marketcap""),""-"")"),"-")</f>
        <v>-</v>
      </c>
      <c r="C14" s="115" t="str">
        <f ca="1">IFERROR(__xludf.DUMMYFUNCTION("IFERROR(GOOGLEFINANCE(B18,""pe""),""-"")"),"-")</f>
        <v>-</v>
      </c>
      <c r="D14" s="115" t="str">
        <f ca="1">IFERROR(__xludf.DUMMYFUNCTION("IFERROR(GOOGLEFINANCE(B18,""beta""),""-"")"),"-")</f>
        <v>-</v>
      </c>
      <c r="E14" s="113"/>
      <c r="F14" s="113"/>
      <c r="G14" s="113"/>
      <c r="H14" s="113"/>
    </row>
    <row r="15" spans="1:8" ht="15.75" customHeight="1" x14ac:dyDescent="0.2">
      <c r="A15" s="12"/>
      <c r="B15" s="12"/>
      <c r="C15" s="12"/>
      <c r="D15" s="12"/>
      <c r="E15" s="12"/>
      <c r="F15" s="12"/>
      <c r="G15" s="123" t="s">
        <v>84</v>
      </c>
      <c r="H15" s="12"/>
    </row>
    <row r="16" spans="1:8" ht="15.7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7" t="str">
        <f>IF(ISBLANK(B5),"",B5&amp;":")&amp;B4</f>
        <v>BIL</v>
      </c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33"/>
      <c r="B27" s="136" t="str">
        <f ca="1">IFERROR(__xludf.DUMMYFUNCTION("GOOGLEFINANCE(B18, ""all"", EDATE(TODAY(), -LEFT(G15, FIND("" "", G15))), TODAY(), ""DAILY"")"),"Date")</f>
        <v>Date</v>
      </c>
      <c r="C27" s="137" t="str">
        <f ca="1">IFERROR(__xludf.DUMMYFUNCTION("""COMPUTED_VALUE"""),"Open")</f>
        <v>Open</v>
      </c>
      <c r="D27" s="137" t="str">
        <f ca="1">IFERROR(__xludf.DUMMYFUNCTION("""COMPUTED_VALUE"""),"High")</f>
        <v>High</v>
      </c>
      <c r="E27" s="137" t="str">
        <f ca="1">IFERROR(__xludf.DUMMYFUNCTION("""COMPUTED_VALUE"""),"Low")</f>
        <v>Low</v>
      </c>
      <c r="F27" s="137" t="str">
        <f ca="1">IFERROR(__xludf.DUMMYFUNCTION("""COMPUTED_VALUE"""),"Close")</f>
        <v>Close</v>
      </c>
      <c r="G27" s="137" t="str">
        <f ca="1">IFERROR(__xludf.DUMMYFUNCTION("""COMPUTED_VALUE"""),"Volume")</f>
        <v>Volume</v>
      </c>
      <c r="H27" s="133"/>
    </row>
    <row r="28" spans="1:8" ht="17.25" customHeight="1" x14ac:dyDescent="0.2">
      <c r="A28" s="26"/>
      <c r="B28" s="139">
        <f ca="1">IFERROR(__xludf.DUMMYFUNCTION("""COMPUTED_VALUE"""),45868.6666666666)</f>
        <v>45868.666666666599</v>
      </c>
      <c r="C28" s="141">
        <f ca="1">IFERROR(__xludf.DUMMYFUNCTION("""COMPUTED_VALUE"""),91.74)</f>
        <v>91.74</v>
      </c>
      <c r="D28" s="141">
        <f ca="1">IFERROR(__xludf.DUMMYFUNCTION("""COMPUTED_VALUE"""),91.75)</f>
        <v>91.75</v>
      </c>
      <c r="E28" s="141">
        <f ca="1">IFERROR(__xludf.DUMMYFUNCTION("""COMPUTED_VALUE"""),91.74)</f>
        <v>91.74</v>
      </c>
      <c r="F28" s="141">
        <f ca="1">IFERROR(__xludf.DUMMYFUNCTION("""COMPUTED_VALUE"""),91.74)</f>
        <v>91.74</v>
      </c>
      <c r="G28" s="143">
        <f ca="1">IFERROR(__xludf.DUMMYFUNCTION("""COMPUTED_VALUE"""),6895082)</f>
        <v>6895082</v>
      </c>
      <c r="H28" s="26"/>
    </row>
    <row r="29" spans="1:8" ht="17.25" customHeight="1" x14ac:dyDescent="0.2">
      <c r="A29" s="26"/>
      <c r="B29" s="139">
        <f ca="1">IFERROR(__xludf.DUMMYFUNCTION("""COMPUTED_VALUE"""),45869.6666666666)</f>
        <v>45869.666666666599</v>
      </c>
      <c r="C29" s="141">
        <f ca="1">IFERROR(__xludf.DUMMYFUNCTION("""COMPUTED_VALUE"""),91.75)</f>
        <v>91.75</v>
      </c>
      <c r="D29" s="141">
        <f ca="1">IFERROR(__xludf.DUMMYFUNCTION("""COMPUTED_VALUE"""),91.76)</f>
        <v>91.76</v>
      </c>
      <c r="E29" s="141">
        <f ca="1">IFERROR(__xludf.DUMMYFUNCTION("""COMPUTED_VALUE"""),91.75)</f>
        <v>91.75</v>
      </c>
      <c r="F29" s="141">
        <f ca="1">IFERROR(__xludf.DUMMYFUNCTION("""COMPUTED_VALUE"""),91.75)</f>
        <v>91.75</v>
      </c>
      <c r="G29" s="143">
        <f ca="1">IFERROR(__xludf.DUMMYFUNCTION("""COMPUTED_VALUE"""),11795120)</f>
        <v>11795120</v>
      </c>
      <c r="H29" s="26"/>
    </row>
    <row r="30" spans="1:8" ht="17.25" customHeight="1" x14ac:dyDescent="0.2">
      <c r="A30" s="26"/>
      <c r="B30" s="139">
        <f ca="1">IFERROR(__xludf.DUMMYFUNCTION("""COMPUTED_VALUE"""),45870.6666666666)</f>
        <v>45870.666666666599</v>
      </c>
      <c r="C30" s="141">
        <f ca="1">IFERROR(__xludf.DUMMYFUNCTION("""COMPUTED_VALUE"""),91.47)</f>
        <v>91.47</v>
      </c>
      <c r="D30" s="141">
        <f ca="1">IFERROR(__xludf.DUMMYFUNCTION("""COMPUTED_VALUE"""),91.47)</f>
        <v>91.47</v>
      </c>
      <c r="E30" s="141">
        <f ca="1">IFERROR(__xludf.DUMMYFUNCTION("""COMPUTED_VALUE"""),91.46)</f>
        <v>91.46</v>
      </c>
      <c r="F30" s="141">
        <f ca="1">IFERROR(__xludf.DUMMYFUNCTION("""COMPUTED_VALUE"""),91.47)</f>
        <v>91.47</v>
      </c>
      <c r="G30" s="143">
        <f ca="1">IFERROR(__xludf.DUMMYFUNCTION("""COMPUTED_VALUE"""),20144832)</f>
        <v>20144832</v>
      </c>
      <c r="H30" s="26"/>
    </row>
    <row r="31" spans="1:8" ht="17.25" customHeight="1" x14ac:dyDescent="0.2">
      <c r="A31" s="26"/>
      <c r="B31" s="139">
        <f ca="1">IFERROR(__xludf.DUMMYFUNCTION("""COMPUTED_VALUE"""),45873.6666666666)</f>
        <v>45873.666666666599</v>
      </c>
      <c r="C31" s="141">
        <f ca="1">IFERROR(__xludf.DUMMYFUNCTION("""COMPUTED_VALUE"""),91.48)</f>
        <v>91.48</v>
      </c>
      <c r="D31" s="141">
        <f ca="1">IFERROR(__xludf.DUMMYFUNCTION("""COMPUTED_VALUE"""),91.48)</f>
        <v>91.48</v>
      </c>
      <c r="E31" s="141">
        <f ca="1">IFERROR(__xludf.DUMMYFUNCTION("""COMPUTED_VALUE"""),91.47)</f>
        <v>91.47</v>
      </c>
      <c r="F31" s="141">
        <f ca="1">IFERROR(__xludf.DUMMYFUNCTION("""COMPUTED_VALUE"""),91.48)</f>
        <v>91.48</v>
      </c>
      <c r="G31" s="143">
        <f ca="1">IFERROR(__xludf.DUMMYFUNCTION("""COMPUTED_VALUE"""),20328030)</f>
        <v>20328030</v>
      </c>
      <c r="H31" s="26"/>
    </row>
    <row r="32" spans="1:8" ht="17.25" customHeight="1" x14ac:dyDescent="0.2">
      <c r="A32" s="26"/>
      <c r="B32" s="139">
        <f ca="1">IFERROR(__xludf.DUMMYFUNCTION("""COMPUTED_VALUE"""),45874.6666666666)</f>
        <v>45874.666666666599</v>
      </c>
      <c r="C32" s="141">
        <f ca="1">IFERROR(__xludf.DUMMYFUNCTION("""COMPUTED_VALUE"""),91.49)</f>
        <v>91.49</v>
      </c>
      <c r="D32" s="141">
        <f ca="1">IFERROR(__xludf.DUMMYFUNCTION("""COMPUTED_VALUE"""),91.49)</f>
        <v>91.49</v>
      </c>
      <c r="E32" s="141">
        <f ca="1">IFERROR(__xludf.DUMMYFUNCTION("""COMPUTED_VALUE"""),91.48)</f>
        <v>91.48</v>
      </c>
      <c r="F32" s="141">
        <f ca="1">IFERROR(__xludf.DUMMYFUNCTION("""COMPUTED_VALUE"""),91.48)</f>
        <v>91.48</v>
      </c>
      <c r="G32" s="143">
        <f ca="1">IFERROR(__xludf.DUMMYFUNCTION("""COMPUTED_VALUE"""),8588430)</f>
        <v>8588430</v>
      </c>
      <c r="H32" s="26"/>
    </row>
    <row r="33" spans="1:8" ht="17.25" customHeight="1" x14ac:dyDescent="0.2">
      <c r="A33" s="26"/>
      <c r="B33" s="139">
        <f ca="1">IFERROR(__xludf.DUMMYFUNCTION("""COMPUTED_VALUE"""),45875.6666666666)</f>
        <v>45875.666666666599</v>
      </c>
      <c r="C33" s="141">
        <f ca="1">IFERROR(__xludf.DUMMYFUNCTION("""COMPUTED_VALUE"""),91.5)</f>
        <v>91.5</v>
      </c>
      <c r="D33" s="141">
        <f ca="1">IFERROR(__xludf.DUMMYFUNCTION("""COMPUTED_VALUE"""),91.51)</f>
        <v>91.51</v>
      </c>
      <c r="E33" s="141">
        <f ca="1">IFERROR(__xludf.DUMMYFUNCTION("""COMPUTED_VALUE"""),91.49)</f>
        <v>91.49</v>
      </c>
      <c r="F33" s="141">
        <f ca="1">IFERROR(__xludf.DUMMYFUNCTION("""COMPUTED_VALUE"""),91.51)</f>
        <v>91.51</v>
      </c>
      <c r="G33" s="143">
        <f ca="1">IFERROR(__xludf.DUMMYFUNCTION("""COMPUTED_VALUE"""),7208805)</f>
        <v>7208805</v>
      </c>
      <c r="H33" s="26"/>
    </row>
    <row r="34" spans="1:8" ht="17.25" customHeight="1" x14ac:dyDescent="0.2">
      <c r="A34" s="26"/>
      <c r="B34" s="139">
        <f ca="1">IFERROR(__xludf.DUMMYFUNCTION("""COMPUTED_VALUE"""),45876.6666666666)</f>
        <v>45876.666666666599</v>
      </c>
      <c r="C34" s="141">
        <f ca="1">IFERROR(__xludf.DUMMYFUNCTION("""COMPUTED_VALUE"""),91.51)</f>
        <v>91.51</v>
      </c>
      <c r="D34" s="141">
        <f ca="1">IFERROR(__xludf.DUMMYFUNCTION("""COMPUTED_VALUE"""),91.52)</f>
        <v>91.52</v>
      </c>
      <c r="E34" s="141">
        <f ca="1">IFERROR(__xludf.DUMMYFUNCTION("""COMPUTED_VALUE"""),91.51)</f>
        <v>91.51</v>
      </c>
      <c r="F34" s="141">
        <f ca="1">IFERROR(__xludf.DUMMYFUNCTION("""COMPUTED_VALUE"""),91.51)</f>
        <v>91.51</v>
      </c>
      <c r="G34" s="143">
        <f ca="1">IFERROR(__xludf.DUMMYFUNCTION("""COMPUTED_VALUE"""),7157927)</f>
        <v>7157927</v>
      </c>
      <c r="H34" s="26"/>
    </row>
    <row r="35" spans="1:8" ht="17.25" customHeight="1" x14ac:dyDescent="0.2">
      <c r="A35" s="26"/>
      <c r="B35" s="139">
        <f ca="1">IFERROR(__xludf.DUMMYFUNCTION("""COMPUTED_VALUE"""),45877.6666666666)</f>
        <v>45877.666666666599</v>
      </c>
      <c r="C35" s="141">
        <f ca="1">IFERROR(__xludf.DUMMYFUNCTION("""COMPUTED_VALUE"""),91.55)</f>
        <v>91.55</v>
      </c>
      <c r="D35" s="141">
        <f ca="1">IFERROR(__xludf.DUMMYFUNCTION("""COMPUTED_VALUE"""),91.55)</f>
        <v>91.55</v>
      </c>
      <c r="E35" s="141">
        <f ca="1">IFERROR(__xludf.DUMMYFUNCTION("""COMPUTED_VALUE"""),91.54)</f>
        <v>91.54</v>
      </c>
      <c r="F35" s="141">
        <f ca="1">IFERROR(__xludf.DUMMYFUNCTION("""COMPUTED_VALUE"""),91.54)</f>
        <v>91.54</v>
      </c>
      <c r="G35" s="143">
        <f ca="1">IFERROR(__xludf.DUMMYFUNCTION("""COMPUTED_VALUE"""),6243476)</f>
        <v>6243476</v>
      </c>
      <c r="H35" s="26"/>
    </row>
    <row r="36" spans="1:8" ht="17.25" customHeight="1" x14ac:dyDescent="0.2">
      <c r="A36" s="26"/>
      <c r="B36" s="139">
        <f ca="1">IFERROR(__xludf.DUMMYFUNCTION("""COMPUTED_VALUE"""),45880.6666666666)</f>
        <v>45880.666666666599</v>
      </c>
      <c r="C36" s="141">
        <f ca="1">IFERROR(__xludf.DUMMYFUNCTION("""COMPUTED_VALUE"""),91.55)</f>
        <v>91.55</v>
      </c>
      <c r="D36" s="141">
        <f ca="1">IFERROR(__xludf.DUMMYFUNCTION("""COMPUTED_VALUE"""),91.56)</f>
        <v>91.56</v>
      </c>
      <c r="E36" s="141">
        <f ca="1">IFERROR(__xludf.DUMMYFUNCTION("""COMPUTED_VALUE"""),91.55)</f>
        <v>91.55</v>
      </c>
      <c r="F36" s="141">
        <f ca="1">IFERROR(__xludf.DUMMYFUNCTION("""COMPUTED_VALUE"""),91.55)</f>
        <v>91.55</v>
      </c>
      <c r="G36" s="143">
        <f ca="1">IFERROR(__xludf.DUMMYFUNCTION("""COMPUTED_VALUE"""),8361380)</f>
        <v>8361380</v>
      </c>
      <c r="H36" s="26"/>
    </row>
    <row r="37" spans="1:8" ht="17.25" customHeight="1" x14ac:dyDescent="0.2">
      <c r="A37" s="26"/>
      <c r="B37" s="139">
        <f ca="1">IFERROR(__xludf.DUMMYFUNCTION("""COMPUTED_VALUE"""),45881.6666666666)</f>
        <v>45881.666666666599</v>
      </c>
      <c r="C37" s="141">
        <f ca="1">IFERROR(__xludf.DUMMYFUNCTION("""COMPUTED_VALUE"""),91.56)</f>
        <v>91.56</v>
      </c>
      <c r="D37" s="141">
        <f ca="1">IFERROR(__xludf.DUMMYFUNCTION("""COMPUTED_VALUE"""),91.57)</f>
        <v>91.57</v>
      </c>
      <c r="E37" s="141">
        <f ca="1">IFERROR(__xludf.DUMMYFUNCTION("""COMPUTED_VALUE"""),91.56)</f>
        <v>91.56</v>
      </c>
      <c r="F37" s="141">
        <f ca="1">IFERROR(__xludf.DUMMYFUNCTION("""COMPUTED_VALUE"""),91.56)</f>
        <v>91.56</v>
      </c>
      <c r="G37" s="143">
        <f ca="1">IFERROR(__xludf.DUMMYFUNCTION("""COMPUTED_VALUE"""),6601652)</f>
        <v>6601652</v>
      </c>
      <c r="H37" s="26"/>
    </row>
    <row r="38" spans="1:8" ht="17.25" customHeight="1" x14ac:dyDescent="0.2">
      <c r="A38" s="26"/>
      <c r="B38" s="139">
        <f ca="1">IFERROR(__xludf.DUMMYFUNCTION("""COMPUTED_VALUE"""),45882.6666666666)</f>
        <v>45882.666666666599</v>
      </c>
      <c r="C38" s="141">
        <f ca="1">IFERROR(__xludf.DUMMYFUNCTION("""COMPUTED_VALUE"""),91.57)</f>
        <v>91.57</v>
      </c>
      <c r="D38" s="141">
        <f ca="1">IFERROR(__xludf.DUMMYFUNCTION("""COMPUTED_VALUE"""),91.58)</f>
        <v>91.58</v>
      </c>
      <c r="E38" s="141">
        <f ca="1">IFERROR(__xludf.DUMMYFUNCTION("""COMPUTED_VALUE"""),91.57)</f>
        <v>91.57</v>
      </c>
      <c r="F38" s="141">
        <f ca="1">IFERROR(__xludf.DUMMYFUNCTION("""COMPUTED_VALUE"""),91.57)</f>
        <v>91.57</v>
      </c>
      <c r="G38" s="143">
        <f ca="1">IFERROR(__xludf.DUMMYFUNCTION("""COMPUTED_VALUE"""),6791520)</f>
        <v>6791520</v>
      </c>
      <c r="H38" s="26"/>
    </row>
    <row r="39" spans="1:8" ht="17.25" customHeight="1" x14ac:dyDescent="0.2">
      <c r="A39" s="26"/>
      <c r="B39" s="139">
        <f ca="1">IFERROR(__xludf.DUMMYFUNCTION("""COMPUTED_VALUE"""),45883.6666666666)</f>
        <v>45883.666666666599</v>
      </c>
      <c r="C39" s="141">
        <f ca="1">IFERROR(__xludf.DUMMYFUNCTION("""COMPUTED_VALUE"""),91.59)</f>
        <v>91.59</v>
      </c>
      <c r="D39" s="141">
        <f ca="1">IFERROR(__xludf.DUMMYFUNCTION("""COMPUTED_VALUE"""),91.59)</f>
        <v>91.59</v>
      </c>
      <c r="E39" s="141">
        <f ca="1">IFERROR(__xludf.DUMMYFUNCTION("""COMPUTED_VALUE"""),91.58)</f>
        <v>91.58</v>
      </c>
      <c r="F39" s="141">
        <f ca="1">IFERROR(__xludf.DUMMYFUNCTION("""COMPUTED_VALUE"""),91.58)</f>
        <v>91.58</v>
      </c>
      <c r="G39" s="143">
        <f ca="1">IFERROR(__xludf.DUMMYFUNCTION("""COMPUTED_VALUE"""),6475803)</f>
        <v>6475803</v>
      </c>
      <c r="H39" s="26"/>
    </row>
    <row r="40" spans="1:8" ht="17.25" customHeight="1" x14ac:dyDescent="0.2">
      <c r="A40" s="26"/>
      <c r="B40" s="139">
        <f ca="1">IFERROR(__xludf.DUMMYFUNCTION("""COMPUTED_VALUE"""),45884.6666666666)</f>
        <v>45884.666666666599</v>
      </c>
      <c r="C40" s="141">
        <f ca="1">IFERROR(__xludf.DUMMYFUNCTION("""COMPUTED_VALUE"""),91.62)</f>
        <v>91.62</v>
      </c>
      <c r="D40" s="141">
        <f ca="1">IFERROR(__xludf.DUMMYFUNCTION("""COMPUTED_VALUE"""),91.62)</f>
        <v>91.62</v>
      </c>
      <c r="E40" s="141">
        <f ca="1">IFERROR(__xludf.DUMMYFUNCTION("""COMPUTED_VALUE"""),91.61)</f>
        <v>91.61</v>
      </c>
      <c r="F40" s="141">
        <f ca="1">IFERROR(__xludf.DUMMYFUNCTION("""COMPUTED_VALUE"""),91.62)</f>
        <v>91.62</v>
      </c>
      <c r="G40" s="143">
        <f ca="1">IFERROR(__xludf.DUMMYFUNCTION("""COMPUTED_VALUE"""),5354597)</f>
        <v>5354597</v>
      </c>
      <c r="H40" s="26"/>
    </row>
    <row r="41" spans="1:8" ht="17.25" customHeight="1" x14ac:dyDescent="0.2">
      <c r="A41" s="26"/>
      <c r="B41" s="139">
        <f ca="1">IFERROR(__xludf.DUMMYFUNCTION("""COMPUTED_VALUE"""),45887.6666666666)</f>
        <v>45887.666666666599</v>
      </c>
      <c r="C41" s="141">
        <f ca="1">IFERROR(__xludf.DUMMYFUNCTION("""COMPUTED_VALUE"""),91.63)</f>
        <v>91.63</v>
      </c>
      <c r="D41" s="141">
        <f ca="1">IFERROR(__xludf.DUMMYFUNCTION("""COMPUTED_VALUE"""),91.63)</f>
        <v>91.63</v>
      </c>
      <c r="E41" s="141">
        <f ca="1">IFERROR(__xludf.DUMMYFUNCTION("""COMPUTED_VALUE"""),91.62)</f>
        <v>91.62</v>
      </c>
      <c r="F41" s="141">
        <f ca="1">IFERROR(__xludf.DUMMYFUNCTION("""COMPUTED_VALUE"""),91.62)</f>
        <v>91.62</v>
      </c>
      <c r="G41" s="143">
        <f ca="1">IFERROR(__xludf.DUMMYFUNCTION("""COMPUTED_VALUE"""),15606181)</f>
        <v>15606181</v>
      </c>
      <c r="H41" s="26"/>
    </row>
    <row r="42" spans="1:8" ht="17.25" customHeight="1" x14ac:dyDescent="0.2">
      <c r="A42" s="26"/>
      <c r="B42" s="139">
        <f ca="1">IFERROR(__xludf.DUMMYFUNCTION("""COMPUTED_VALUE"""),45888.6666666666)</f>
        <v>45888.666666666599</v>
      </c>
      <c r="C42" s="141">
        <f ca="1">IFERROR(__xludf.DUMMYFUNCTION("""COMPUTED_VALUE"""),91.64)</f>
        <v>91.64</v>
      </c>
      <c r="D42" s="141">
        <f ca="1">IFERROR(__xludf.DUMMYFUNCTION("""COMPUTED_VALUE"""),91.64)</f>
        <v>91.64</v>
      </c>
      <c r="E42" s="141">
        <f ca="1">IFERROR(__xludf.DUMMYFUNCTION("""COMPUTED_VALUE"""),91.63)</f>
        <v>91.63</v>
      </c>
      <c r="F42" s="141">
        <f ca="1">IFERROR(__xludf.DUMMYFUNCTION("""COMPUTED_VALUE"""),91.64)</f>
        <v>91.64</v>
      </c>
      <c r="G42" s="143">
        <f ca="1">IFERROR(__xludf.DUMMYFUNCTION("""COMPUTED_VALUE"""),11862669)</f>
        <v>11862669</v>
      </c>
      <c r="H42" s="26"/>
    </row>
    <row r="43" spans="1:8" ht="17.25" customHeight="1" x14ac:dyDescent="0.2">
      <c r="A43" s="26"/>
      <c r="B43" s="139">
        <f ca="1">IFERROR(__xludf.DUMMYFUNCTION("""COMPUTED_VALUE"""),45889.6666666666)</f>
        <v>45889.666666666599</v>
      </c>
      <c r="C43" s="141">
        <f ca="1">IFERROR(__xludf.DUMMYFUNCTION("""COMPUTED_VALUE"""),91.65)</f>
        <v>91.65</v>
      </c>
      <c r="D43" s="141">
        <f ca="1">IFERROR(__xludf.DUMMYFUNCTION("""COMPUTED_VALUE"""),91.66)</f>
        <v>91.66</v>
      </c>
      <c r="E43" s="141">
        <f ca="1">IFERROR(__xludf.DUMMYFUNCTION("""COMPUTED_VALUE"""),91.65)</f>
        <v>91.65</v>
      </c>
      <c r="F43" s="141">
        <f ca="1">IFERROR(__xludf.DUMMYFUNCTION("""COMPUTED_VALUE"""),91.66)</f>
        <v>91.66</v>
      </c>
      <c r="G43" s="143">
        <f ca="1">IFERROR(__xludf.DUMMYFUNCTION("""COMPUTED_VALUE"""),6916013)</f>
        <v>6916013</v>
      </c>
      <c r="H43" s="26"/>
    </row>
    <row r="44" spans="1:8" ht="17.25" customHeight="1" x14ac:dyDescent="0.2">
      <c r="A44" s="26"/>
      <c r="B44" s="139">
        <f ca="1">IFERROR(__xludf.DUMMYFUNCTION("""COMPUTED_VALUE"""),45890.6666666666)</f>
        <v>45890.666666666599</v>
      </c>
      <c r="C44" s="141">
        <f ca="1">IFERROR(__xludf.DUMMYFUNCTION("""COMPUTED_VALUE"""),91.66)</f>
        <v>91.66</v>
      </c>
      <c r="D44" s="141">
        <f ca="1">IFERROR(__xludf.DUMMYFUNCTION("""COMPUTED_VALUE"""),91.67)</f>
        <v>91.67</v>
      </c>
      <c r="E44" s="141">
        <f ca="1">IFERROR(__xludf.DUMMYFUNCTION("""COMPUTED_VALUE"""),91.66)</f>
        <v>91.66</v>
      </c>
      <c r="F44" s="141">
        <f ca="1">IFERROR(__xludf.DUMMYFUNCTION("""COMPUTED_VALUE"""),91.66)</f>
        <v>91.66</v>
      </c>
      <c r="G44" s="143">
        <f ca="1">IFERROR(__xludf.DUMMYFUNCTION("""COMPUTED_VALUE"""),4655992)</f>
        <v>4655992</v>
      </c>
      <c r="H44" s="26"/>
    </row>
    <row r="45" spans="1:8" ht="17.25" customHeight="1" x14ac:dyDescent="0.2">
      <c r="A45" s="26"/>
      <c r="B45" s="139">
        <f ca="1">IFERROR(__xludf.DUMMYFUNCTION("""COMPUTED_VALUE"""),45891.6666666666)</f>
        <v>45891.666666666599</v>
      </c>
      <c r="C45" s="141">
        <f ca="1">IFERROR(__xludf.DUMMYFUNCTION("""COMPUTED_VALUE"""),91.7)</f>
        <v>91.7</v>
      </c>
      <c r="D45" s="141">
        <f ca="1">IFERROR(__xludf.DUMMYFUNCTION("""COMPUTED_VALUE"""),91.7)</f>
        <v>91.7</v>
      </c>
      <c r="E45" s="141">
        <f ca="1">IFERROR(__xludf.DUMMYFUNCTION("""COMPUTED_VALUE"""),91.69)</f>
        <v>91.69</v>
      </c>
      <c r="F45" s="141">
        <f ca="1">IFERROR(__xludf.DUMMYFUNCTION("""COMPUTED_VALUE"""),91.69)</f>
        <v>91.69</v>
      </c>
      <c r="G45" s="143">
        <f ca="1">IFERROR(__xludf.DUMMYFUNCTION("""COMPUTED_VALUE"""),7468111)</f>
        <v>7468111</v>
      </c>
      <c r="H45" s="26"/>
    </row>
    <row r="46" spans="1:8" ht="17.25" customHeight="1" x14ac:dyDescent="0.2">
      <c r="A46" s="26"/>
      <c r="B46" s="139">
        <f ca="1">IFERROR(__xludf.DUMMYFUNCTION("""COMPUTED_VALUE"""),45894.6666666666)</f>
        <v>45894.666666666599</v>
      </c>
      <c r="C46" s="141">
        <f ca="1">IFERROR(__xludf.DUMMYFUNCTION("""COMPUTED_VALUE"""),91.7)</f>
        <v>91.7</v>
      </c>
      <c r="D46" s="141">
        <f ca="1">IFERROR(__xludf.DUMMYFUNCTION("""COMPUTED_VALUE"""),91.71)</f>
        <v>91.71</v>
      </c>
      <c r="E46" s="141">
        <f ca="1">IFERROR(__xludf.DUMMYFUNCTION("""COMPUTED_VALUE"""),91.7)</f>
        <v>91.7</v>
      </c>
      <c r="F46" s="141">
        <f ca="1">IFERROR(__xludf.DUMMYFUNCTION("""COMPUTED_VALUE"""),91.7)</f>
        <v>91.7</v>
      </c>
      <c r="G46" s="143">
        <f ca="1">IFERROR(__xludf.DUMMYFUNCTION("""COMPUTED_VALUE"""),7319848)</f>
        <v>7319848</v>
      </c>
      <c r="H46" s="26"/>
    </row>
    <row r="47" spans="1:8" ht="17.25" customHeight="1" x14ac:dyDescent="0.2">
      <c r="A47" s="26"/>
      <c r="B47" s="139">
        <f ca="1">IFERROR(__xludf.DUMMYFUNCTION("""COMPUTED_VALUE"""),45895.6666666666)</f>
        <v>45895.666666666599</v>
      </c>
      <c r="C47" s="141">
        <f ca="1">IFERROR(__xludf.DUMMYFUNCTION("""COMPUTED_VALUE"""),91.72)</f>
        <v>91.72</v>
      </c>
      <c r="D47" s="141">
        <f ca="1">IFERROR(__xludf.DUMMYFUNCTION("""COMPUTED_VALUE"""),91.72)</f>
        <v>91.72</v>
      </c>
      <c r="E47" s="141">
        <f ca="1">IFERROR(__xludf.DUMMYFUNCTION("""COMPUTED_VALUE"""),91.71)</f>
        <v>91.71</v>
      </c>
      <c r="F47" s="141">
        <f ca="1">IFERROR(__xludf.DUMMYFUNCTION("""COMPUTED_VALUE"""),91.71)</f>
        <v>91.71</v>
      </c>
      <c r="G47" s="143">
        <f ca="1">IFERROR(__xludf.DUMMYFUNCTION("""COMPUTED_VALUE"""),8729619)</f>
        <v>8729619</v>
      </c>
      <c r="H47" s="26"/>
    </row>
    <row r="48" spans="1:8" ht="17.25" customHeight="1" x14ac:dyDescent="0.2">
      <c r="A48" s="26"/>
      <c r="B48" s="139">
        <f ca="1">IFERROR(__xludf.DUMMYFUNCTION("""COMPUTED_VALUE"""),45896.6666666666)</f>
        <v>45896.666666666599</v>
      </c>
      <c r="C48" s="141">
        <f ca="1">IFERROR(__xludf.DUMMYFUNCTION("""COMPUTED_VALUE"""),91.72)</f>
        <v>91.72</v>
      </c>
      <c r="D48" s="141">
        <f ca="1">IFERROR(__xludf.DUMMYFUNCTION("""COMPUTED_VALUE"""),91.73)</f>
        <v>91.73</v>
      </c>
      <c r="E48" s="141">
        <f ca="1">IFERROR(__xludf.DUMMYFUNCTION("""COMPUTED_VALUE"""),91.72)</f>
        <v>91.72</v>
      </c>
      <c r="F48" s="141">
        <f ca="1">IFERROR(__xludf.DUMMYFUNCTION("""COMPUTED_VALUE"""),91.72)</f>
        <v>91.72</v>
      </c>
      <c r="G48" s="143">
        <f ca="1">IFERROR(__xludf.DUMMYFUNCTION("""COMPUTED_VALUE"""),4919409)</f>
        <v>4919409</v>
      </c>
      <c r="H48" s="26"/>
    </row>
    <row r="49" spans="1:8" ht="17.25" customHeight="1" x14ac:dyDescent="0.2">
      <c r="A49" s="26"/>
      <c r="B49" s="139">
        <f ca="1">IFERROR(__xludf.DUMMYFUNCTION("""COMPUTED_VALUE"""),45897.6666666666)</f>
        <v>45897.666666666599</v>
      </c>
      <c r="C49" s="141">
        <f ca="1">IFERROR(__xludf.DUMMYFUNCTION("""COMPUTED_VALUE"""),91.73)</f>
        <v>91.73</v>
      </c>
      <c r="D49" s="141">
        <f ca="1">IFERROR(__xludf.DUMMYFUNCTION("""COMPUTED_VALUE"""),91.74)</f>
        <v>91.74</v>
      </c>
      <c r="E49" s="141">
        <f ca="1">IFERROR(__xludf.DUMMYFUNCTION("""COMPUTED_VALUE"""),91.73)</f>
        <v>91.73</v>
      </c>
      <c r="F49" s="141">
        <f ca="1">IFERROR(__xludf.DUMMYFUNCTION("""COMPUTED_VALUE"""),91.73)</f>
        <v>91.73</v>
      </c>
      <c r="G49" s="143">
        <f ca="1">IFERROR(__xludf.DUMMYFUNCTION("""COMPUTED_VALUE"""),5490307)</f>
        <v>5490307</v>
      </c>
      <c r="H49" s="26"/>
    </row>
    <row r="50" spans="1:8" ht="17.25" customHeight="1" x14ac:dyDescent="0.2">
      <c r="A50" s="26"/>
      <c r="B50" s="139">
        <f ca="1">IFERROR(__xludf.DUMMYFUNCTION("""COMPUTED_VALUE"""),45898.6666666666)</f>
        <v>45898.666666666599</v>
      </c>
      <c r="C50" s="141">
        <f ca="1">IFERROR(__xludf.DUMMYFUNCTION("""COMPUTED_VALUE"""),91.77)</f>
        <v>91.77</v>
      </c>
      <c r="D50" s="141">
        <f ca="1">IFERROR(__xludf.DUMMYFUNCTION("""COMPUTED_VALUE"""),91.78)</f>
        <v>91.78</v>
      </c>
      <c r="E50" s="141">
        <f ca="1">IFERROR(__xludf.DUMMYFUNCTION("""COMPUTED_VALUE"""),91.77)</f>
        <v>91.77</v>
      </c>
      <c r="F50" s="141">
        <f ca="1">IFERROR(__xludf.DUMMYFUNCTION("""COMPUTED_VALUE"""),91.77)</f>
        <v>91.77</v>
      </c>
      <c r="G50" s="143">
        <f ca="1">IFERROR(__xludf.DUMMYFUNCTION("""COMPUTED_VALUE"""),11546491)</f>
        <v>11546491</v>
      </c>
      <c r="H50" s="26"/>
    </row>
    <row r="51" spans="1:8" ht="17.25" customHeight="1" x14ac:dyDescent="0.2">
      <c r="A51" s="26"/>
      <c r="B51" s="139">
        <f ca="1">IFERROR(__xludf.DUMMYFUNCTION("""COMPUTED_VALUE"""),45902.6666666666)</f>
        <v>45902.666666666599</v>
      </c>
      <c r="C51" s="141">
        <f ca="1">IFERROR(__xludf.DUMMYFUNCTION("""COMPUTED_VALUE"""),91.47)</f>
        <v>91.47</v>
      </c>
      <c r="D51" s="141">
        <f ca="1">IFERROR(__xludf.DUMMYFUNCTION("""COMPUTED_VALUE"""),91.47)</f>
        <v>91.47</v>
      </c>
      <c r="E51" s="141">
        <f ca="1">IFERROR(__xludf.DUMMYFUNCTION("""COMPUTED_VALUE"""),91.46)</f>
        <v>91.46</v>
      </c>
      <c r="F51" s="141">
        <f ca="1">IFERROR(__xludf.DUMMYFUNCTION("""COMPUTED_VALUE"""),91.47)</f>
        <v>91.47</v>
      </c>
      <c r="G51" s="143">
        <f ca="1">IFERROR(__xludf.DUMMYFUNCTION("""COMPUTED_VALUE"""),13477101)</f>
        <v>13477101</v>
      </c>
      <c r="H51" s="26"/>
    </row>
    <row r="52" spans="1:8" ht="17.25" customHeight="1" x14ac:dyDescent="0.2">
      <c r="A52" s="26"/>
      <c r="B52" s="139">
        <f ca="1">IFERROR(__xludf.DUMMYFUNCTION("""COMPUTED_VALUE"""),45903.6666666666)</f>
        <v>45903.666666666599</v>
      </c>
      <c r="C52" s="141">
        <f ca="1">IFERROR(__xludf.DUMMYFUNCTION("""COMPUTED_VALUE"""),91.48)</f>
        <v>91.48</v>
      </c>
      <c r="D52" s="141">
        <f ca="1">IFERROR(__xludf.DUMMYFUNCTION("""COMPUTED_VALUE"""),91.48)</f>
        <v>91.48</v>
      </c>
      <c r="E52" s="141">
        <f ca="1">IFERROR(__xludf.DUMMYFUNCTION("""COMPUTED_VALUE"""),91.47)</f>
        <v>91.47</v>
      </c>
      <c r="F52" s="141">
        <f ca="1">IFERROR(__xludf.DUMMYFUNCTION("""COMPUTED_VALUE"""),91.48)</f>
        <v>91.48</v>
      </c>
      <c r="G52" s="143">
        <f ca="1">IFERROR(__xludf.DUMMYFUNCTION("""COMPUTED_VALUE"""),7040690)</f>
        <v>7040690</v>
      </c>
      <c r="H52" s="26"/>
    </row>
    <row r="53" spans="1:8" ht="17.25" customHeight="1" x14ac:dyDescent="0.2">
      <c r="A53" s="26"/>
      <c r="B53" s="139">
        <f ca="1">IFERROR(__xludf.DUMMYFUNCTION("""COMPUTED_VALUE"""),45904.6666666666)</f>
        <v>45904.666666666599</v>
      </c>
      <c r="C53" s="141">
        <f ca="1">IFERROR(__xludf.DUMMYFUNCTION("""COMPUTED_VALUE"""),91.49)</f>
        <v>91.49</v>
      </c>
      <c r="D53" s="141">
        <f ca="1">IFERROR(__xludf.DUMMYFUNCTION("""COMPUTED_VALUE"""),91.5)</f>
        <v>91.5</v>
      </c>
      <c r="E53" s="141">
        <f ca="1">IFERROR(__xludf.DUMMYFUNCTION("""COMPUTED_VALUE"""),91.48)</f>
        <v>91.48</v>
      </c>
      <c r="F53" s="141">
        <f ca="1">IFERROR(__xludf.DUMMYFUNCTION("""COMPUTED_VALUE"""),91.5)</f>
        <v>91.5</v>
      </c>
      <c r="G53" s="143">
        <f ca="1">IFERROR(__xludf.DUMMYFUNCTION("""COMPUTED_VALUE"""),9180575)</f>
        <v>9180575</v>
      </c>
      <c r="H53" s="26"/>
    </row>
    <row r="54" spans="1:8" ht="17.25" customHeight="1" x14ac:dyDescent="0.2">
      <c r="A54" s="26"/>
      <c r="B54" s="139">
        <f ca="1">IFERROR(__xludf.DUMMYFUNCTION("""COMPUTED_VALUE"""),45905.6666666666)</f>
        <v>45905.666666666599</v>
      </c>
      <c r="C54" s="141">
        <f ca="1">IFERROR(__xludf.DUMMYFUNCTION("""COMPUTED_VALUE"""),91.52)</f>
        <v>91.52</v>
      </c>
      <c r="D54" s="141">
        <f ca="1">IFERROR(__xludf.DUMMYFUNCTION("""COMPUTED_VALUE"""),91.53)</f>
        <v>91.53</v>
      </c>
      <c r="E54" s="141">
        <f ca="1">IFERROR(__xludf.DUMMYFUNCTION("""COMPUTED_VALUE"""),91.52)</f>
        <v>91.52</v>
      </c>
      <c r="F54" s="141">
        <f ca="1">IFERROR(__xludf.DUMMYFUNCTION("""COMPUTED_VALUE"""),91.53)</f>
        <v>91.53</v>
      </c>
      <c r="G54" s="143">
        <f ca="1">IFERROR(__xludf.DUMMYFUNCTION("""COMPUTED_VALUE"""),10223048)</f>
        <v>10223048</v>
      </c>
      <c r="H54" s="26"/>
    </row>
    <row r="55" spans="1:8" ht="17.25" customHeight="1" x14ac:dyDescent="0.2">
      <c r="A55" s="26"/>
      <c r="B55" s="139">
        <f ca="1">IFERROR(__xludf.DUMMYFUNCTION("""COMPUTED_VALUE"""),45908.6666666666)</f>
        <v>45908.666666666599</v>
      </c>
      <c r="C55" s="141">
        <f ca="1">IFERROR(__xludf.DUMMYFUNCTION("""COMPUTED_VALUE"""),91.54)</f>
        <v>91.54</v>
      </c>
      <c r="D55" s="141">
        <f ca="1">IFERROR(__xludf.DUMMYFUNCTION("""COMPUTED_VALUE"""),91.55)</f>
        <v>91.55</v>
      </c>
      <c r="E55" s="141">
        <f ca="1">IFERROR(__xludf.DUMMYFUNCTION("""COMPUTED_VALUE"""),91.54)</f>
        <v>91.54</v>
      </c>
      <c r="F55" s="141">
        <f ca="1">IFERROR(__xludf.DUMMYFUNCTION("""COMPUTED_VALUE"""),91.54)</f>
        <v>91.54</v>
      </c>
      <c r="G55" s="143">
        <f ca="1">IFERROR(__xludf.DUMMYFUNCTION("""COMPUTED_VALUE"""),9201216)</f>
        <v>9201216</v>
      </c>
      <c r="H55" s="26"/>
    </row>
    <row r="56" spans="1:8" ht="17.25" customHeight="1" x14ac:dyDescent="0.2">
      <c r="A56" s="26"/>
      <c r="B56" s="139">
        <f ca="1">IFERROR(__xludf.DUMMYFUNCTION("""COMPUTED_VALUE"""),45909.6666666666)</f>
        <v>45909.666666666599</v>
      </c>
      <c r="C56" s="141">
        <f ca="1">IFERROR(__xludf.DUMMYFUNCTION("""COMPUTED_VALUE"""),91.55)</f>
        <v>91.55</v>
      </c>
      <c r="D56" s="141">
        <f ca="1">IFERROR(__xludf.DUMMYFUNCTION("""COMPUTED_VALUE"""),91.55)</f>
        <v>91.55</v>
      </c>
      <c r="E56" s="141">
        <f ca="1">IFERROR(__xludf.DUMMYFUNCTION("""COMPUTED_VALUE"""),91.54)</f>
        <v>91.54</v>
      </c>
      <c r="F56" s="141">
        <f ca="1">IFERROR(__xludf.DUMMYFUNCTION("""COMPUTED_VALUE"""),91.55)</f>
        <v>91.55</v>
      </c>
      <c r="G56" s="143">
        <f ca="1">IFERROR(__xludf.DUMMYFUNCTION("""COMPUTED_VALUE"""),8740752)</f>
        <v>8740752</v>
      </c>
      <c r="H56" s="26"/>
    </row>
    <row r="57" spans="1:8" ht="17.25" customHeight="1" x14ac:dyDescent="0.2">
      <c r="A57" s="26"/>
      <c r="B57" s="139">
        <f ca="1">IFERROR(__xludf.DUMMYFUNCTION("""COMPUTED_VALUE"""),45910.6666666666)</f>
        <v>45910.666666666599</v>
      </c>
      <c r="C57" s="141">
        <f ca="1">IFERROR(__xludf.DUMMYFUNCTION("""COMPUTED_VALUE"""),91.55)</f>
        <v>91.55</v>
      </c>
      <c r="D57" s="141">
        <f ca="1">IFERROR(__xludf.DUMMYFUNCTION("""COMPUTED_VALUE"""),91.56)</f>
        <v>91.56</v>
      </c>
      <c r="E57" s="141">
        <f ca="1">IFERROR(__xludf.DUMMYFUNCTION("""COMPUTED_VALUE"""),91.55)</f>
        <v>91.55</v>
      </c>
      <c r="F57" s="141">
        <f ca="1">IFERROR(__xludf.DUMMYFUNCTION("""COMPUTED_VALUE"""),91.56)</f>
        <v>91.56</v>
      </c>
      <c r="G57" s="143">
        <f ca="1">IFERROR(__xludf.DUMMYFUNCTION("""COMPUTED_VALUE"""),9027224)</f>
        <v>9027224</v>
      </c>
      <c r="H57" s="26"/>
    </row>
    <row r="58" spans="1:8" ht="17.25" customHeight="1" x14ac:dyDescent="0.2">
      <c r="A58" s="26"/>
      <c r="B58" s="139">
        <f ca="1">IFERROR(__xludf.DUMMYFUNCTION("""COMPUTED_VALUE"""),45911.6666666666)</f>
        <v>45911.666666666599</v>
      </c>
      <c r="C58" s="141">
        <f ca="1">IFERROR(__xludf.DUMMYFUNCTION("""COMPUTED_VALUE"""),91.57)</f>
        <v>91.57</v>
      </c>
      <c r="D58" s="141">
        <f ca="1">IFERROR(__xludf.DUMMYFUNCTION("""COMPUTED_VALUE"""),91.57)</f>
        <v>91.57</v>
      </c>
      <c r="E58" s="141">
        <f ca="1">IFERROR(__xludf.DUMMYFUNCTION("""COMPUTED_VALUE"""),91.56)</f>
        <v>91.56</v>
      </c>
      <c r="F58" s="141">
        <f ca="1">IFERROR(__xludf.DUMMYFUNCTION("""COMPUTED_VALUE"""),91.57)</f>
        <v>91.57</v>
      </c>
      <c r="G58" s="143">
        <f ca="1">IFERROR(__xludf.DUMMYFUNCTION("""COMPUTED_VALUE"""),9714279)</f>
        <v>9714279</v>
      </c>
      <c r="H58" s="26"/>
    </row>
    <row r="59" spans="1:8" ht="17.25" customHeight="1" x14ac:dyDescent="0.2">
      <c r="A59" s="26"/>
      <c r="B59" s="139">
        <f ca="1">IFERROR(__xludf.DUMMYFUNCTION("""COMPUTED_VALUE"""),45912.6666666666)</f>
        <v>45912.666666666599</v>
      </c>
      <c r="C59" s="141">
        <f ca="1">IFERROR(__xludf.DUMMYFUNCTION("""COMPUTED_VALUE"""),91.59)</f>
        <v>91.59</v>
      </c>
      <c r="D59" s="141">
        <f ca="1">IFERROR(__xludf.DUMMYFUNCTION("""COMPUTED_VALUE"""),91.6)</f>
        <v>91.6</v>
      </c>
      <c r="E59" s="141">
        <f ca="1">IFERROR(__xludf.DUMMYFUNCTION("""COMPUTED_VALUE"""),91.59)</f>
        <v>91.59</v>
      </c>
      <c r="F59" s="141">
        <f ca="1">IFERROR(__xludf.DUMMYFUNCTION("""COMPUTED_VALUE"""),91.6)</f>
        <v>91.6</v>
      </c>
      <c r="G59" s="143">
        <f ca="1">IFERROR(__xludf.DUMMYFUNCTION("""COMPUTED_VALUE"""),7154204)</f>
        <v>7154204</v>
      </c>
      <c r="H59" s="26"/>
    </row>
    <row r="60" spans="1:8" ht="17.25" customHeight="1" x14ac:dyDescent="0.2">
      <c r="A60" s="26"/>
      <c r="B60" s="139">
        <f ca="1">IFERROR(__xludf.DUMMYFUNCTION("""COMPUTED_VALUE"""),45915.6666666666)</f>
        <v>45915.666666666599</v>
      </c>
      <c r="C60" s="141">
        <f ca="1">IFERROR(__xludf.DUMMYFUNCTION("""COMPUTED_VALUE"""),91.6)</f>
        <v>91.6</v>
      </c>
      <c r="D60" s="141">
        <f ca="1">IFERROR(__xludf.DUMMYFUNCTION("""COMPUTED_VALUE"""),91.61)</f>
        <v>91.61</v>
      </c>
      <c r="E60" s="141">
        <f ca="1">IFERROR(__xludf.DUMMYFUNCTION("""COMPUTED_VALUE"""),91.6)</f>
        <v>91.6</v>
      </c>
      <c r="F60" s="141">
        <f ca="1">IFERROR(__xludf.DUMMYFUNCTION("""COMPUTED_VALUE"""),91.61)</f>
        <v>91.61</v>
      </c>
      <c r="G60" s="143">
        <f ca="1">IFERROR(__xludf.DUMMYFUNCTION("""COMPUTED_VALUE"""),8876159)</f>
        <v>8876159</v>
      </c>
      <c r="H60" s="26"/>
    </row>
    <row r="61" spans="1:8" ht="17.25" customHeight="1" x14ac:dyDescent="0.2">
      <c r="A61" s="26"/>
      <c r="B61" s="139">
        <f ca="1">IFERROR(__xludf.DUMMYFUNCTION("""COMPUTED_VALUE"""),45916.6666666666)</f>
        <v>45916.666666666599</v>
      </c>
      <c r="C61" s="141">
        <f ca="1">IFERROR(__xludf.DUMMYFUNCTION("""COMPUTED_VALUE"""),91.62)</f>
        <v>91.62</v>
      </c>
      <c r="D61" s="141">
        <f ca="1">IFERROR(__xludf.DUMMYFUNCTION("""COMPUTED_VALUE"""),91.63)</f>
        <v>91.63</v>
      </c>
      <c r="E61" s="141">
        <f ca="1">IFERROR(__xludf.DUMMYFUNCTION("""COMPUTED_VALUE"""),91.62)</f>
        <v>91.62</v>
      </c>
      <c r="F61" s="141">
        <f ca="1">IFERROR(__xludf.DUMMYFUNCTION("""COMPUTED_VALUE"""),91.62)</f>
        <v>91.62</v>
      </c>
      <c r="G61" s="143">
        <f ca="1">IFERROR(__xludf.DUMMYFUNCTION("""COMPUTED_VALUE"""),7036433)</f>
        <v>7036433</v>
      </c>
      <c r="H61" s="26"/>
    </row>
    <row r="62" spans="1:8" ht="17.25" customHeight="1" x14ac:dyDescent="0.2">
      <c r="A62" s="26"/>
      <c r="B62" s="139">
        <f ca="1">IFERROR(__xludf.DUMMYFUNCTION("""COMPUTED_VALUE"""),45917.6666666666)</f>
        <v>45917.666666666599</v>
      </c>
      <c r="C62" s="141">
        <f ca="1">IFERROR(__xludf.DUMMYFUNCTION("""COMPUTED_VALUE"""),91.63)</f>
        <v>91.63</v>
      </c>
      <c r="D62" s="141">
        <f ca="1">IFERROR(__xludf.DUMMYFUNCTION("""COMPUTED_VALUE"""),91.64)</f>
        <v>91.64</v>
      </c>
      <c r="E62" s="141">
        <f ca="1">IFERROR(__xludf.DUMMYFUNCTION("""COMPUTED_VALUE"""),91.63)</f>
        <v>91.63</v>
      </c>
      <c r="F62" s="141">
        <f ca="1">IFERROR(__xludf.DUMMYFUNCTION("""COMPUTED_VALUE"""),91.63)</f>
        <v>91.63</v>
      </c>
      <c r="G62" s="143">
        <f ca="1">IFERROR(__xludf.DUMMYFUNCTION("""COMPUTED_VALUE"""),5395879)</f>
        <v>5395879</v>
      </c>
      <c r="H62" s="26"/>
    </row>
    <row r="63" spans="1:8" ht="17.25" customHeight="1" x14ac:dyDescent="0.2">
      <c r="A63" s="26"/>
      <c r="B63" s="139">
        <f ca="1">IFERROR(__xludf.DUMMYFUNCTION("""COMPUTED_VALUE"""),45918.6666666666)</f>
        <v>45918.666666666599</v>
      </c>
      <c r="C63" s="141">
        <f ca="1">IFERROR(__xludf.DUMMYFUNCTION("""COMPUTED_VALUE"""),91.65)</f>
        <v>91.65</v>
      </c>
      <c r="D63" s="141">
        <f ca="1">IFERROR(__xludf.DUMMYFUNCTION("""COMPUTED_VALUE"""),91.65)</f>
        <v>91.65</v>
      </c>
      <c r="E63" s="141">
        <f ca="1">IFERROR(__xludf.DUMMYFUNCTION("""COMPUTED_VALUE"""),91.64)</f>
        <v>91.64</v>
      </c>
      <c r="F63" s="141">
        <f ca="1">IFERROR(__xludf.DUMMYFUNCTION("""COMPUTED_VALUE"""),91.64)</f>
        <v>91.64</v>
      </c>
      <c r="G63" s="143">
        <f ca="1">IFERROR(__xludf.DUMMYFUNCTION("""COMPUTED_VALUE"""),6032912)</f>
        <v>6032912</v>
      </c>
      <c r="H63" s="26"/>
    </row>
    <row r="64" spans="1:8" ht="17.25" customHeight="1" x14ac:dyDescent="0.2">
      <c r="A64" s="26"/>
      <c r="B64" s="139">
        <f ca="1">IFERROR(__xludf.DUMMYFUNCTION("""COMPUTED_VALUE"""),45919.6666666666)</f>
        <v>45919.666666666599</v>
      </c>
      <c r="C64" s="141">
        <f ca="1">IFERROR(__xludf.DUMMYFUNCTION("""COMPUTED_VALUE"""),91.68)</f>
        <v>91.68</v>
      </c>
      <c r="D64" s="141">
        <f ca="1">IFERROR(__xludf.DUMMYFUNCTION("""COMPUTED_VALUE"""),91.68)</f>
        <v>91.68</v>
      </c>
      <c r="E64" s="141">
        <f ca="1">IFERROR(__xludf.DUMMYFUNCTION("""COMPUTED_VALUE"""),91.67)</f>
        <v>91.67</v>
      </c>
      <c r="F64" s="141">
        <f ca="1">IFERROR(__xludf.DUMMYFUNCTION("""COMPUTED_VALUE"""),91.68)</f>
        <v>91.68</v>
      </c>
      <c r="G64" s="143">
        <f ca="1">IFERROR(__xludf.DUMMYFUNCTION("""COMPUTED_VALUE"""),6689775)</f>
        <v>6689775</v>
      </c>
      <c r="H64" s="26"/>
    </row>
    <row r="65" spans="1:8" ht="17.25" customHeight="1" x14ac:dyDescent="0.2">
      <c r="A65" s="26"/>
      <c r="B65" s="139">
        <f ca="1">IFERROR(__xludf.DUMMYFUNCTION("""COMPUTED_VALUE"""),45922.6666666666)</f>
        <v>45922.666666666599</v>
      </c>
      <c r="C65" s="141">
        <f ca="1">IFERROR(__xludf.DUMMYFUNCTION("""COMPUTED_VALUE"""),91.68)</f>
        <v>91.68</v>
      </c>
      <c r="D65" s="141">
        <f ca="1">IFERROR(__xludf.DUMMYFUNCTION("""COMPUTED_VALUE"""),91.69)</f>
        <v>91.69</v>
      </c>
      <c r="E65" s="141">
        <f ca="1">IFERROR(__xludf.DUMMYFUNCTION("""COMPUTED_VALUE"""),91.68)</f>
        <v>91.68</v>
      </c>
      <c r="F65" s="141">
        <f ca="1">IFERROR(__xludf.DUMMYFUNCTION("""COMPUTED_VALUE"""),91.69)</f>
        <v>91.69</v>
      </c>
      <c r="G65" s="143">
        <f ca="1">IFERROR(__xludf.DUMMYFUNCTION("""COMPUTED_VALUE"""),6255236)</f>
        <v>6255236</v>
      </c>
      <c r="H65" s="26"/>
    </row>
    <row r="66" spans="1:8" ht="17.25" customHeight="1" x14ac:dyDescent="0.2">
      <c r="A66" s="26"/>
      <c r="B66" s="139">
        <f ca="1">IFERROR(__xludf.DUMMYFUNCTION("""COMPUTED_VALUE"""),45923.6666666666)</f>
        <v>45923.666666666599</v>
      </c>
      <c r="C66" s="141">
        <f ca="1">IFERROR(__xludf.DUMMYFUNCTION("""COMPUTED_VALUE"""),91.69)</f>
        <v>91.69</v>
      </c>
      <c r="D66" s="141">
        <f ca="1">IFERROR(__xludf.DUMMYFUNCTION("""COMPUTED_VALUE"""),91.7)</f>
        <v>91.7</v>
      </c>
      <c r="E66" s="141">
        <f ca="1">IFERROR(__xludf.DUMMYFUNCTION("""COMPUTED_VALUE"""),91.69)</f>
        <v>91.69</v>
      </c>
      <c r="F66" s="141">
        <f ca="1">IFERROR(__xludf.DUMMYFUNCTION("""COMPUTED_VALUE"""),91.69)</f>
        <v>91.69</v>
      </c>
      <c r="G66" s="143">
        <f ca="1">IFERROR(__xludf.DUMMYFUNCTION("""COMPUTED_VALUE"""),7854733)</f>
        <v>7854733</v>
      </c>
      <c r="H66" s="26"/>
    </row>
    <row r="67" spans="1:8" ht="17.25" customHeight="1" x14ac:dyDescent="0.2">
      <c r="A67" s="26"/>
      <c r="B67" s="139">
        <f ca="1">IFERROR(__xludf.DUMMYFUNCTION("""COMPUTED_VALUE"""),45924.6666666666)</f>
        <v>45924.666666666599</v>
      </c>
      <c r="C67" s="141">
        <f ca="1">IFERROR(__xludf.DUMMYFUNCTION("""COMPUTED_VALUE"""),91.7)</f>
        <v>91.7</v>
      </c>
      <c r="D67" s="141">
        <f ca="1">IFERROR(__xludf.DUMMYFUNCTION("""COMPUTED_VALUE"""),91.71)</f>
        <v>91.71</v>
      </c>
      <c r="E67" s="141">
        <f ca="1">IFERROR(__xludf.DUMMYFUNCTION("""COMPUTED_VALUE"""),91.7)</f>
        <v>91.7</v>
      </c>
      <c r="F67" s="141">
        <f ca="1">IFERROR(__xludf.DUMMYFUNCTION("""COMPUTED_VALUE"""),91.71)</f>
        <v>91.71</v>
      </c>
      <c r="G67" s="143">
        <f ca="1">IFERROR(__xludf.DUMMYFUNCTION("""COMPUTED_VALUE"""),6711459)</f>
        <v>6711459</v>
      </c>
      <c r="H67" s="26"/>
    </row>
    <row r="68" spans="1:8" ht="17.25" customHeight="1" x14ac:dyDescent="0.2">
      <c r="A68" s="26"/>
      <c r="B68" s="139">
        <f ca="1">IFERROR(__xludf.DUMMYFUNCTION("""COMPUTED_VALUE"""),45925.6666666666)</f>
        <v>45925.666666666599</v>
      </c>
      <c r="C68" s="141">
        <f ca="1">IFERROR(__xludf.DUMMYFUNCTION("""COMPUTED_VALUE"""),91.71)</f>
        <v>91.71</v>
      </c>
      <c r="D68" s="141">
        <f ca="1">IFERROR(__xludf.DUMMYFUNCTION("""COMPUTED_VALUE"""),91.72)</f>
        <v>91.72</v>
      </c>
      <c r="E68" s="141">
        <f ca="1">IFERROR(__xludf.DUMMYFUNCTION("""COMPUTED_VALUE"""),91.71)</f>
        <v>91.71</v>
      </c>
      <c r="F68" s="141">
        <f ca="1">IFERROR(__xludf.DUMMYFUNCTION("""COMPUTED_VALUE"""),91.71)</f>
        <v>91.71</v>
      </c>
      <c r="G68" s="143">
        <f ca="1">IFERROR(__xludf.DUMMYFUNCTION("""COMPUTED_VALUE"""),11455135)</f>
        <v>11455135</v>
      </c>
      <c r="H68" s="26"/>
    </row>
    <row r="69" spans="1:8" ht="17.25" customHeight="1" x14ac:dyDescent="0.2">
      <c r="A69" s="26"/>
      <c r="B69" s="139">
        <f ca="1">IFERROR(__xludf.DUMMYFUNCTION("""COMPUTED_VALUE"""),45926.6666666666)</f>
        <v>45926.666666666599</v>
      </c>
      <c r="C69" s="141">
        <f ca="1">IFERROR(__xludf.DUMMYFUNCTION("""COMPUTED_VALUE"""),91.74)</f>
        <v>91.74</v>
      </c>
      <c r="D69" s="141">
        <f ca="1">IFERROR(__xludf.DUMMYFUNCTION("""COMPUTED_VALUE"""),91.74)</f>
        <v>91.74</v>
      </c>
      <c r="E69" s="141">
        <f ca="1">IFERROR(__xludf.DUMMYFUNCTION("""COMPUTED_VALUE"""),91.73)</f>
        <v>91.73</v>
      </c>
      <c r="F69" s="141">
        <f ca="1">IFERROR(__xludf.DUMMYFUNCTION("""COMPUTED_VALUE"""),91.74)</f>
        <v>91.74</v>
      </c>
      <c r="G69" s="143">
        <f ca="1">IFERROR(__xludf.DUMMYFUNCTION("""COMPUTED_VALUE"""),7888818)</f>
        <v>7888818</v>
      </c>
      <c r="H69" s="26"/>
    </row>
    <row r="70" spans="1:8" ht="17.25" customHeight="1" x14ac:dyDescent="0.2">
      <c r="A70" s="26"/>
      <c r="B70" s="139">
        <f ca="1">IFERROR(__xludf.DUMMYFUNCTION("""COMPUTED_VALUE"""),45929.6666666666)</f>
        <v>45929.666666666599</v>
      </c>
      <c r="C70" s="141">
        <f ca="1">IFERROR(__xludf.DUMMYFUNCTION("""COMPUTED_VALUE"""),91.74)</f>
        <v>91.74</v>
      </c>
      <c r="D70" s="141">
        <f ca="1">IFERROR(__xludf.DUMMYFUNCTION("""COMPUTED_VALUE"""),91.75)</f>
        <v>91.75</v>
      </c>
      <c r="E70" s="141">
        <f ca="1">IFERROR(__xludf.DUMMYFUNCTION("""COMPUTED_VALUE"""),91.74)</f>
        <v>91.74</v>
      </c>
      <c r="F70" s="141">
        <f ca="1">IFERROR(__xludf.DUMMYFUNCTION("""COMPUTED_VALUE"""),91.75)</f>
        <v>91.75</v>
      </c>
      <c r="G70" s="143">
        <f ca="1">IFERROR(__xludf.DUMMYFUNCTION("""COMPUTED_VALUE"""),6928540)</f>
        <v>6928540</v>
      </c>
      <c r="H70" s="26"/>
    </row>
    <row r="71" spans="1:8" ht="17.25" customHeight="1" x14ac:dyDescent="0.2">
      <c r="A71" s="26"/>
      <c r="B71" s="139">
        <f ca="1">IFERROR(__xludf.DUMMYFUNCTION("""COMPUTED_VALUE"""),45930.6666666666)</f>
        <v>45930.666666666599</v>
      </c>
      <c r="C71" s="141">
        <f ca="1">IFERROR(__xludf.DUMMYFUNCTION("""COMPUTED_VALUE"""),91.75)</f>
        <v>91.75</v>
      </c>
      <c r="D71" s="141">
        <f ca="1">IFERROR(__xludf.DUMMYFUNCTION("""COMPUTED_VALUE"""),91.76)</f>
        <v>91.76</v>
      </c>
      <c r="E71" s="141">
        <f ca="1">IFERROR(__xludf.DUMMYFUNCTION("""COMPUTED_VALUE"""),91.75)</f>
        <v>91.75</v>
      </c>
      <c r="F71" s="141">
        <f ca="1">IFERROR(__xludf.DUMMYFUNCTION("""COMPUTED_VALUE"""),91.75)</f>
        <v>91.75</v>
      </c>
      <c r="G71" s="143">
        <f ca="1">IFERROR(__xludf.DUMMYFUNCTION("""COMPUTED_VALUE"""),14165796)</f>
        <v>14165796</v>
      </c>
      <c r="H71" s="26"/>
    </row>
    <row r="72" spans="1:8" ht="17.25" customHeight="1" x14ac:dyDescent="0.2">
      <c r="A72" s="26"/>
      <c r="B72" s="139">
        <f ca="1">IFERROR(__xludf.DUMMYFUNCTION("""COMPUTED_VALUE"""),45931.6666666666)</f>
        <v>45931.666666666599</v>
      </c>
      <c r="C72" s="141">
        <f ca="1">IFERROR(__xludf.DUMMYFUNCTION("""COMPUTED_VALUE"""),91.46)</f>
        <v>91.46</v>
      </c>
      <c r="D72" s="141">
        <f ca="1">IFERROR(__xludf.DUMMYFUNCTION("""COMPUTED_VALUE"""),91.46)</f>
        <v>91.46</v>
      </c>
      <c r="E72" s="141">
        <f ca="1">IFERROR(__xludf.DUMMYFUNCTION("""COMPUTED_VALUE"""),91.45)</f>
        <v>91.45</v>
      </c>
      <c r="F72" s="141">
        <f ca="1">IFERROR(__xludf.DUMMYFUNCTION("""COMPUTED_VALUE"""),91.46)</f>
        <v>91.46</v>
      </c>
      <c r="G72" s="143">
        <f ca="1">IFERROR(__xludf.DUMMYFUNCTION("""COMPUTED_VALUE"""),15501352)</f>
        <v>15501352</v>
      </c>
      <c r="H72" s="26"/>
    </row>
    <row r="73" spans="1:8" ht="17.25" customHeight="1" x14ac:dyDescent="0.2">
      <c r="A73" s="26"/>
      <c r="B73" s="139">
        <f ca="1">IFERROR(__xludf.DUMMYFUNCTION("""COMPUTED_VALUE"""),45932.6666666666)</f>
        <v>45932.666666666599</v>
      </c>
      <c r="C73" s="141">
        <f ca="1">IFERROR(__xludf.DUMMYFUNCTION("""COMPUTED_VALUE"""),91.47)</f>
        <v>91.47</v>
      </c>
      <c r="D73" s="141">
        <f ca="1">IFERROR(__xludf.DUMMYFUNCTION("""COMPUTED_VALUE"""),91.47)</f>
        <v>91.47</v>
      </c>
      <c r="E73" s="141">
        <f ca="1">IFERROR(__xludf.DUMMYFUNCTION("""COMPUTED_VALUE"""),91.46)</f>
        <v>91.46</v>
      </c>
      <c r="F73" s="141">
        <f ca="1">IFERROR(__xludf.DUMMYFUNCTION("""COMPUTED_VALUE"""),91.47)</f>
        <v>91.47</v>
      </c>
      <c r="G73" s="143">
        <f ca="1">IFERROR(__xludf.DUMMYFUNCTION("""COMPUTED_VALUE"""),7225201)</f>
        <v>7225201</v>
      </c>
      <c r="H73" s="26"/>
    </row>
    <row r="74" spans="1:8" ht="17.25" customHeight="1" x14ac:dyDescent="0.2">
      <c r="A74" s="26"/>
      <c r="B74" s="139">
        <f ca="1">IFERROR(__xludf.DUMMYFUNCTION("""COMPUTED_VALUE"""),45933.6666666666)</f>
        <v>45933.666666666599</v>
      </c>
      <c r="C74" s="141">
        <f ca="1">IFERROR(__xludf.DUMMYFUNCTION("""COMPUTED_VALUE"""),91.5)</f>
        <v>91.5</v>
      </c>
      <c r="D74" s="141">
        <f ca="1">IFERROR(__xludf.DUMMYFUNCTION("""COMPUTED_VALUE"""),91.5)</f>
        <v>91.5</v>
      </c>
      <c r="E74" s="141">
        <f ca="1">IFERROR(__xludf.DUMMYFUNCTION("""COMPUTED_VALUE"""),91.49)</f>
        <v>91.49</v>
      </c>
      <c r="F74" s="141">
        <f ca="1">IFERROR(__xludf.DUMMYFUNCTION("""COMPUTED_VALUE"""),91.49)</f>
        <v>91.49</v>
      </c>
      <c r="G74" s="143">
        <f ca="1">IFERROR(__xludf.DUMMYFUNCTION("""COMPUTED_VALUE"""),6177597)</f>
        <v>6177597</v>
      </c>
      <c r="H74" s="26"/>
    </row>
    <row r="75" spans="1:8" ht="17.25" customHeight="1" x14ac:dyDescent="0.2">
      <c r="A75" s="26"/>
      <c r="B75" s="139">
        <f ca="1">IFERROR(__xludf.DUMMYFUNCTION("""COMPUTED_VALUE"""),45936.6666666666)</f>
        <v>45936.666666666599</v>
      </c>
      <c r="C75" s="141">
        <f ca="1">IFERROR(__xludf.DUMMYFUNCTION("""COMPUTED_VALUE"""),91.51)</f>
        <v>91.51</v>
      </c>
      <c r="D75" s="141">
        <f ca="1">IFERROR(__xludf.DUMMYFUNCTION("""COMPUTED_VALUE"""),91.51)</f>
        <v>91.51</v>
      </c>
      <c r="E75" s="141">
        <f ca="1">IFERROR(__xludf.DUMMYFUNCTION("""COMPUTED_VALUE"""),91.5)</f>
        <v>91.5</v>
      </c>
      <c r="F75" s="141">
        <f ca="1">IFERROR(__xludf.DUMMYFUNCTION("""COMPUTED_VALUE"""),91.51)</f>
        <v>91.51</v>
      </c>
      <c r="G75" s="143">
        <f ca="1">IFERROR(__xludf.DUMMYFUNCTION("""COMPUTED_VALUE"""),7041180)</f>
        <v>7041180</v>
      </c>
      <c r="H75" s="26"/>
    </row>
    <row r="76" spans="1:8" ht="17.25" customHeight="1" x14ac:dyDescent="0.2">
      <c r="A76" s="26"/>
      <c r="B76" s="139">
        <f ca="1">IFERROR(__xludf.DUMMYFUNCTION("""COMPUTED_VALUE"""),45937.6666666666)</f>
        <v>45937.666666666599</v>
      </c>
      <c r="C76" s="141">
        <f ca="1">IFERROR(__xludf.DUMMYFUNCTION("""COMPUTED_VALUE"""),91.51)</f>
        <v>91.51</v>
      </c>
      <c r="D76" s="141">
        <f ca="1">IFERROR(__xludf.DUMMYFUNCTION("""COMPUTED_VALUE"""),91.52)</f>
        <v>91.52</v>
      </c>
      <c r="E76" s="141">
        <f ca="1">IFERROR(__xludf.DUMMYFUNCTION("""COMPUTED_VALUE"""),91.51)</f>
        <v>91.51</v>
      </c>
      <c r="F76" s="141">
        <f ca="1">IFERROR(__xludf.DUMMYFUNCTION("""COMPUTED_VALUE"""),91.51)</f>
        <v>91.51</v>
      </c>
      <c r="G76" s="143">
        <f ca="1">IFERROR(__xludf.DUMMYFUNCTION("""COMPUTED_VALUE"""),7071890)</f>
        <v>7071890</v>
      </c>
      <c r="H76" s="26"/>
    </row>
    <row r="77" spans="1:8" ht="17.25" customHeight="1" x14ac:dyDescent="0.2">
      <c r="A77" s="26"/>
      <c r="B77" s="139">
        <f ca="1">IFERROR(__xludf.DUMMYFUNCTION("""COMPUTED_VALUE"""),45938.6666666666)</f>
        <v>45938.666666666599</v>
      </c>
      <c r="C77" s="141">
        <f ca="1">IFERROR(__xludf.DUMMYFUNCTION("""COMPUTED_VALUE"""),91.53)</f>
        <v>91.53</v>
      </c>
      <c r="D77" s="141">
        <f ca="1">IFERROR(__xludf.DUMMYFUNCTION("""COMPUTED_VALUE"""),91.53)</f>
        <v>91.53</v>
      </c>
      <c r="E77" s="141">
        <f ca="1">IFERROR(__xludf.DUMMYFUNCTION("""COMPUTED_VALUE"""),91.52)</f>
        <v>91.52</v>
      </c>
      <c r="F77" s="141">
        <f ca="1">IFERROR(__xludf.DUMMYFUNCTION("""COMPUTED_VALUE"""),91.53)</f>
        <v>91.53</v>
      </c>
      <c r="G77" s="143">
        <f ca="1">IFERROR(__xludf.DUMMYFUNCTION("""COMPUTED_VALUE"""),7236340)</f>
        <v>7236340</v>
      </c>
      <c r="H77" s="26"/>
    </row>
    <row r="78" spans="1:8" ht="17.25" customHeight="1" x14ac:dyDescent="0.2">
      <c r="A78" s="26"/>
      <c r="B78" s="139">
        <f ca="1">IFERROR(__xludf.DUMMYFUNCTION("""COMPUTED_VALUE"""),45939.6666666666)</f>
        <v>45939.666666666599</v>
      </c>
      <c r="C78" s="141">
        <f ca="1">IFERROR(__xludf.DUMMYFUNCTION("""COMPUTED_VALUE"""),91.53)</f>
        <v>91.53</v>
      </c>
      <c r="D78" s="141">
        <f ca="1">IFERROR(__xludf.DUMMYFUNCTION("""COMPUTED_VALUE"""),91.54)</f>
        <v>91.54</v>
      </c>
      <c r="E78" s="141">
        <f ca="1">IFERROR(__xludf.DUMMYFUNCTION("""COMPUTED_VALUE"""),91.53)</f>
        <v>91.53</v>
      </c>
      <c r="F78" s="141">
        <f ca="1">IFERROR(__xludf.DUMMYFUNCTION("""COMPUTED_VALUE"""),91.53)</f>
        <v>91.53</v>
      </c>
      <c r="G78" s="143">
        <f ca="1">IFERROR(__xludf.DUMMYFUNCTION("""COMPUTED_VALUE"""),9389837)</f>
        <v>9389837</v>
      </c>
      <c r="H78" s="26"/>
    </row>
    <row r="79" spans="1:8" ht="17.25" customHeight="1" x14ac:dyDescent="0.2">
      <c r="A79" s="26"/>
      <c r="B79" s="139">
        <f ca="1">IFERROR(__xludf.DUMMYFUNCTION("""COMPUTED_VALUE"""),45940.6666666666)</f>
        <v>45940.666666666599</v>
      </c>
      <c r="C79" s="141">
        <f ca="1">IFERROR(__xludf.DUMMYFUNCTION("""COMPUTED_VALUE"""),91.56)</f>
        <v>91.56</v>
      </c>
      <c r="D79" s="141">
        <f ca="1">IFERROR(__xludf.DUMMYFUNCTION("""COMPUTED_VALUE"""),91.57)</f>
        <v>91.57</v>
      </c>
      <c r="E79" s="141">
        <f ca="1">IFERROR(__xludf.DUMMYFUNCTION("""COMPUTED_VALUE"""),91.56)</f>
        <v>91.56</v>
      </c>
      <c r="F79" s="141">
        <f ca="1">IFERROR(__xludf.DUMMYFUNCTION("""COMPUTED_VALUE"""),91.57)</f>
        <v>91.57</v>
      </c>
      <c r="G79" s="143">
        <f ca="1">IFERROR(__xludf.DUMMYFUNCTION("""COMPUTED_VALUE"""),14647983)</f>
        <v>14647983</v>
      </c>
      <c r="H79" s="26"/>
    </row>
    <row r="80" spans="1:8" ht="17.25" customHeight="1" x14ac:dyDescent="0.2">
      <c r="A80" s="26"/>
      <c r="B80" s="139">
        <f ca="1">IFERROR(__xludf.DUMMYFUNCTION("""COMPUTED_VALUE"""),45943.6666666666)</f>
        <v>45943.666666666599</v>
      </c>
      <c r="C80" s="141">
        <f ca="1">IFERROR(__xludf.DUMMYFUNCTION("""COMPUTED_VALUE"""),91.57)</f>
        <v>91.57</v>
      </c>
      <c r="D80" s="141">
        <f ca="1">IFERROR(__xludf.DUMMYFUNCTION("""COMPUTED_VALUE"""),91.58)</f>
        <v>91.58</v>
      </c>
      <c r="E80" s="141">
        <f ca="1">IFERROR(__xludf.DUMMYFUNCTION("""COMPUTED_VALUE"""),91.56)</f>
        <v>91.56</v>
      </c>
      <c r="F80" s="141">
        <f ca="1">IFERROR(__xludf.DUMMYFUNCTION("""COMPUTED_VALUE"""),91.58)</f>
        <v>91.58</v>
      </c>
      <c r="G80" s="143">
        <f ca="1">IFERROR(__xludf.DUMMYFUNCTION("""COMPUTED_VALUE"""),13286035)</f>
        <v>13286035</v>
      </c>
      <c r="H80" s="26"/>
    </row>
    <row r="81" spans="1:8" ht="17.25" customHeight="1" x14ac:dyDescent="0.2">
      <c r="A81" s="26"/>
      <c r="B81" s="139">
        <f ca="1">IFERROR(__xludf.DUMMYFUNCTION("""COMPUTED_VALUE"""),45944.6666666666)</f>
        <v>45944.666666666599</v>
      </c>
      <c r="C81" s="141">
        <f ca="1">IFERROR(__xludf.DUMMYFUNCTION("""COMPUTED_VALUE"""),91.59)</f>
        <v>91.59</v>
      </c>
      <c r="D81" s="141">
        <f ca="1">IFERROR(__xludf.DUMMYFUNCTION("""COMPUTED_VALUE"""),91.59)</f>
        <v>91.59</v>
      </c>
      <c r="E81" s="141">
        <f ca="1">IFERROR(__xludf.DUMMYFUNCTION("""COMPUTED_VALUE"""),91.58)</f>
        <v>91.58</v>
      </c>
      <c r="F81" s="141">
        <f ca="1">IFERROR(__xludf.DUMMYFUNCTION("""COMPUTED_VALUE"""),91.58)</f>
        <v>91.58</v>
      </c>
      <c r="G81" s="143">
        <f ca="1">IFERROR(__xludf.DUMMYFUNCTION("""COMPUTED_VALUE"""),8281841)</f>
        <v>8281841</v>
      </c>
      <c r="H81" s="26"/>
    </row>
    <row r="82" spans="1:8" ht="17.25" customHeight="1" x14ac:dyDescent="0.2">
      <c r="A82" s="26"/>
      <c r="B82" s="139">
        <f ca="1">IFERROR(__xludf.DUMMYFUNCTION("""COMPUTED_VALUE"""),45945.6666666666)</f>
        <v>45945.666666666599</v>
      </c>
      <c r="C82" s="141">
        <f ca="1">IFERROR(__xludf.DUMMYFUNCTION("""COMPUTED_VALUE"""),91.6)</f>
        <v>91.6</v>
      </c>
      <c r="D82" s="141">
        <f ca="1">IFERROR(__xludf.DUMMYFUNCTION("""COMPUTED_VALUE"""),91.6)</f>
        <v>91.6</v>
      </c>
      <c r="E82" s="141">
        <f ca="1">IFERROR(__xludf.DUMMYFUNCTION("""COMPUTED_VALUE"""),91.59)</f>
        <v>91.59</v>
      </c>
      <c r="F82" s="141">
        <f ca="1">IFERROR(__xludf.DUMMYFUNCTION("""COMPUTED_VALUE"""),91.59)</f>
        <v>91.59</v>
      </c>
      <c r="G82" s="143">
        <f ca="1">IFERROR(__xludf.DUMMYFUNCTION("""COMPUTED_VALUE"""),11747891)</f>
        <v>11747891</v>
      </c>
      <c r="H82" s="26"/>
    </row>
    <row r="83" spans="1:8" ht="17.25" customHeight="1" x14ac:dyDescent="0.2">
      <c r="A83" s="26"/>
      <c r="B83" s="139">
        <f ca="1">IFERROR(__xludf.DUMMYFUNCTION("""COMPUTED_VALUE"""),45946.6666666666)</f>
        <v>45946.666666666599</v>
      </c>
      <c r="C83" s="141">
        <f ca="1">IFERROR(__xludf.DUMMYFUNCTION("""COMPUTED_VALUE"""),91.6)</f>
        <v>91.6</v>
      </c>
      <c r="D83" s="141">
        <f ca="1">IFERROR(__xludf.DUMMYFUNCTION("""COMPUTED_VALUE"""),91.6)</f>
        <v>91.6</v>
      </c>
      <c r="E83" s="141">
        <f ca="1">IFERROR(__xludf.DUMMYFUNCTION("""COMPUTED_VALUE"""),91.59)</f>
        <v>91.59</v>
      </c>
      <c r="F83" s="141">
        <f ca="1">IFERROR(__xludf.DUMMYFUNCTION("""COMPUTED_VALUE"""),91.6)</f>
        <v>91.6</v>
      </c>
      <c r="G83" s="143">
        <f ca="1">IFERROR(__xludf.DUMMYFUNCTION("""COMPUTED_VALUE"""),7811843)</f>
        <v>7811843</v>
      </c>
      <c r="H83" s="26"/>
    </row>
    <row r="84" spans="1:8" ht="17.25" customHeight="1" x14ac:dyDescent="0.2">
      <c r="A84" s="26"/>
      <c r="B84" s="139">
        <f ca="1">IFERROR(__xludf.DUMMYFUNCTION("""COMPUTED_VALUE"""),45947.6666666666)</f>
        <v>45947.666666666599</v>
      </c>
      <c r="C84" s="141">
        <f ca="1">IFERROR(__xludf.DUMMYFUNCTION("""COMPUTED_VALUE"""),91.63)</f>
        <v>91.63</v>
      </c>
      <c r="D84" s="141">
        <f ca="1">IFERROR(__xludf.DUMMYFUNCTION("""COMPUTED_VALUE"""),91.63)</f>
        <v>91.63</v>
      </c>
      <c r="E84" s="141">
        <f ca="1">IFERROR(__xludf.DUMMYFUNCTION("""COMPUTED_VALUE"""),91.62)</f>
        <v>91.62</v>
      </c>
      <c r="F84" s="141">
        <f ca="1">IFERROR(__xludf.DUMMYFUNCTION("""COMPUTED_VALUE"""),91.62)</f>
        <v>91.62</v>
      </c>
      <c r="G84" s="143">
        <f ca="1">IFERROR(__xludf.DUMMYFUNCTION("""COMPUTED_VALUE"""),10183451)</f>
        <v>10183451</v>
      </c>
      <c r="H84" s="26"/>
    </row>
    <row r="85" spans="1:8" ht="17.25" customHeight="1" x14ac:dyDescent="0.2">
      <c r="A85" s="26"/>
      <c r="B85" s="139">
        <f ca="1">IFERROR(__xludf.DUMMYFUNCTION("""COMPUTED_VALUE"""),45950.6666666666)</f>
        <v>45950.666666666599</v>
      </c>
      <c r="C85" s="141">
        <f ca="1">IFERROR(__xludf.DUMMYFUNCTION("""COMPUTED_VALUE"""),91.64)</f>
        <v>91.64</v>
      </c>
      <c r="D85" s="141">
        <f ca="1">IFERROR(__xludf.DUMMYFUNCTION("""COMPUTED_VALUE"""),91.64)</f>
        <v>91.64</v>
      </c>
      <c r="E85" s="141">
        <f ca="1">IFERROR(__xludf.DUMMYFUNCTION("""COMPUTED_VALUE"""),91.63)</f>
        <v>91.63</v>
      </c>
      <c r="F85" s="141">
        <f ca="1">IFERROR(__xludf.DUMMYFUNCTION("""COMPUTED_VALUE"""),91.64)</f>
        <v>91.64</v>
      </c>
      <c r="G85" s="143">
        <f ca="1">IFERROR(__xludf.DUMMYFUNCTION("""COMPUTED_VALUE"""),8215427)</f>
        <v>8215427</v>
      </c>
      <c r="H85" s="26"/>
    </row>
    <row r="86" spans="1:8" ht="17.25" customHeight="1" x14ac:dyDescent="0.2">
      <c r="A86" s="26"/>
      <c r="B86" s="139">
        <f ca="1">IFERROR(__xludf.DUMMYFUNCTION("""COMPUTED_VALUE"""),45951.6666666666)</f>
        <v>45951.666666666599</v>
      </c>
      <c r="C86" s="141">
        <f ca="1">IFERROR(__xludf.DUMMYFUNCTION("""COMPUTED_VALUE"""),91.65)</f>
        <v>91.65</v>
      </c>
      <c r="D86" s="141">
        <f ca="1">IFERROR(__xludf.DUMMYFUNCTION("""COMPUTED_VALUE"""),91.65)</f>
        <v>91.65</v>
      </c>
      <c r="E86" s="141">
        <f ca="1">IFERROR(__xludf.DUMMYFUNCTION("""COMPUTED_VALUE"""),91.64)</f>
        <v>91.64</v>
      </c>
      <c r="F86" s="141">
        <f ca="1">IFERROR(__xludf.DUMMYFUNCTION("""COMPUTED_VALUE"""),91.64)</f>
        <v>91.64</v>
      </c>
      <c r="G86" s="143">
        <f ca="1">IFERROR(__xludf.DUMMYFUNCTION("""COMPUTED_VALUE"""),6989615)</f>
        <v>6989615</v>
      </c>
      <c r="H86" s="26"/>
    </row>
    <row r="87" spans="1:8" ht="17.25" customHeight="1" x14ac:dyDescent="0.2">
      <c r="A87" s="26"/>
      <c r="B87" s="139">
        <f ca="1">IFERROR(__xludf.DUMMYFUNCTION("""COMPUTED_VALUE"""),45952.6666666666)</f>
        <v>45952.666666666599</v>
      </c>
      <c r="C87" s="141">
        <f ca="1">IFERROR(__xludf.DUMMYFUNCTION("""COMPUTED_VALUE"""),91.66)</f>
        <v>91.66</v>
      </c>
      <c r="D87" s="141">
        <f ca="1">IFERROR(__xludf.DUMMYFUNCTION("""COMPUTED_VALUE"""),91.66)</f>
        <v>91.66</v>
      </c>
      <c r="E87" s="141">
        <f ca="1">IFERROR(__xludf.DUMMYFUNCTION("""COMPUTED_VALUE"""),91.65)</f>
        <v>91.65</v>
      </c>
      <c r="F87" s="141">
        <f ca="1">IFERROR(__xludf.DUMMYFUNCTION("""COMPUTED_VALUE"""),91.66)</f>
        <v>91.66</v>
      </c>
      <c r="G87" s="143">
        <f ca="1">IFERROR(__xludf.DUMMYFUNCTION("""COMPUTED_VALUE"""),13191440)</f>
        <v>13191440</v>
      </c>
      <c r="H87" s="26"/>
    </row>
    <row r="88" spans="1:8" ht="17.25" customHeight="1" x14ac:dyDescent="0.2">
      <c r="A88" s="26"/>
      <c r="B88" s="139">
        <f ca="1">IFERROR(__xludf.DUMMYFUNCTION("""COMPUTED_VALUE"""),45953.6666666666)</f>
        <v>45953.666666666599</v>
      </c>
      <c r="C88" s="141">
        <f ca="1">IFERROR(__xludf.DUMMYFUNCTION("""COMPUTED_VALUE"""),91.66)</f>
        <v>91.66</v>
      </c>
      <c r="D88" s="141">
        <f ca="1">IFERROR(__xludf.DUMMYFUNCTION("""COMPUTED_VALUE"""),91.67)</f>
        <v>91.67</v>
      </c>
      <c r="E88" s="141">
        <f ca="1">IFERROR(__xludf.DUMMYFUNCTION("""COMPUTED_VALUE"""),91.66)</f>
        <v>91.66</v>
      </c>
      <c r="F88" s="141">
        <f ca="1">IFERROR(__xludf.DUMMYFUNCTION("""COMPUTED_VALUE"""),91.67)</f>
        <v>91.67</v>
      </c>
      <c r="G88" s="143">
        <f ca="1">IFERROR(__xludf.DUMMYFUNCTION("""COMPUTED_VALUE"""),7399494)</f>
        <v>7399494</v>
      </c>
      <c r="H88" s="26"/>
    </row>
    <row r="89" spans="1:8" ht="17.25" customHeight="1" x14ac:dyDescent="0.2">
      <c r="A89" s="26"/>
      <c r="B89" s="139">
        <f ca="1">IFERROR(__xludf.DUMMYFUNCTION("""COMPUTED_VALUE"""),45954.6666666666)</f>
        <v>45954.666666666599</v>
      </c>
      <c r="C89" s="141">
        <f ca="1">IFERROR(__xludf.DUMMYFUNCTION("""COMPUTED_VALUE"""),91.7)</f>
        <v>91.7</v>
      </c>
      <c r="D89" s="141">
        <f ca="1">IFERROR(__xludf.DUMMYFUNCTION("""COMPUTED_VALUE"""),91.7)</f>
        <v>91.7</v>
      </c>
      <c r="E89" s="141">
        <f ca="1">IFERROR(__xludf.DUMMYFUNCTION("""COMPUTED_VALUE"""),91.69)</f>
        <v>91.69</v>
      </c>
      <c r="F89" s="141">
        <f ca="1">IFERROR(__xludf.DUMMYFUNCTION("""COMPUTED_VALUE"""),91.7)</f>
        <v>91.7</v>
      </c>
      <c r="G89" s="143">
        <f ca="1">IFERROR(__xludf.DUMMYFUNCTION("""COMPUTED_VALUE"""),8743117)</f>
        <v>8743117</v>
      </c>
      <c r="H89" s="26"/>
    </row>
    <row r="90" spans="1:8" ht="17.25" customHeight="1" x14ac:dyDescent="0.2">
      <c r="A90" s="26"/>
      <c r="B90" s="139">
        <f ca="1">IFERROR(__xludf.DUMMYFUNCTION("""COMPUTED_VALUE"""),45957.6666666666)</f>
        <v>45957.666666666599</v>
      </c>
      <c r="C90" s="141">
        <f ca="1">IFERROR(__xludf.DUMMYFUNCTION("""COMPUTED_VALUE"""),91.71)</f>
        <v>91.71</v>
      </c>
      <c r="D90" s="141">
        <f ca="1">IFERROR(__xludf.DUMMYFUNCTION("""COMPUTED_VALUE"""),91.71)</f>
        <v>91.71</v>
      </c>
      <c r="E90" s="141">
        <f ca="1">IFERROR(__xludf.DUMMYFUNCTION("""COMPUTED_VALUE"""),91.7)</f>
        <v>91.7</v>
      </c>
      <c r="F90" s="141">
        <f ca="1">IFERROR(__xludf.DUMMYFUNCTION("""COMPUTED_VALUE"""),91.7)</f>
        <v>91.7</v>
      </c>
      <c r="G90" s="143">
        <f ca="1">IFERROR(__xludf.DUMMYFUNCTION("""COMPUTED_VALUE"""),11472440)</f>
        <v>11472440</v>
      </c>
      <c r="H90" s="26"/>
    </row>
    <row r="91" spans="1:8" ht="17.25" customHeight="1" x14ac:dyDescent="0.2">
      <c r="A91" s="26"/>
      <c r="B91" s="139">
        <f ca="1">IFERROR(__xludf.DUMMYFUNCTION("""COMPUTED_VALUE"""),45958.6666666666)</f>
        <v>45958.666666666599</v>
      </c>
      <c r="C91" s="141">
        <f ca="1">IFERROR(__xludf.DUMMYFUNCTION("""COMPUTED_VALUE"""),91.72)</f>
        <v>91.72</v>
      </c>
      <c r="D91" s="141">
        <f ca="1">IFERROR(__xludf.DUMMYFUNCTION("""COMPUTED_VALUE"""),91.72)</f>
        <v>91.72</v>
      </c>
      <c r="E91" s="141">
        <f ca="1">IFERROR(__xludf.DUMMYFUNCTION("""COMPUTED_VALUE"""),91.71)</f>
        <v>91.71</v>
      </c>
      <c r="F91" s="141">
        <f ca="1">IFERROR(__xludf.DUMMYFUNCTION("""COMPUTED_VALUE"""),91.71)</f>
        <v>91.71</v>
      </c>
      <c r="G91" s="143">
        <f ca="1">IFERROR(__xludf.DUMMYFUNCTION("""COMPUTED_VALUE"""),13039430)</f>
        <v>13039430</v>
      </c>
      <c r="H91" s="26"/>
    </row>
    <row r="92" spans="1:8" ht="17.25" customHeight="1" x14ac:dyDescent="0.2">
      <c r="A92" s="26"/>
      <c r="B92" s="139">
        <f ca="1">IFERROR(__xludf.DUMMYFUNCTION("""COMPUTED_VALUE"""),45959.6666666666)</f>
        <v>45959.666666666599</v>
      </c>
      <c r="C92" s="141">
        <f ca="1">IFERROR(__xludf.DUMMYFUNCTION("""COMPUTED_VALUE"""),91.72)</f>
        <v>91.72</v>
      </c>
      <c r="D92" s="141">
        <f ca="1">IFERROR(__xludf.DUMMYFUNCTION("""COMPUTED_VALUE"""),91.74)</f>
        <v>91.74</v>
      </c>
      <c r="E92" s="141">
        <f ca="1">IFERROR(__xludf.DUMMYFUNCTION("""COMPUTED_VALUE"""),91.72)</f>
        <v>91.72</v>
      </c>
      <c r="F92" s="141">
        <f ca="1">IFERROR(__xludf.DUMMYFUNCTION("""COMPUTED_VALUE"""),91.74)</f>
        <v>91.74</v>
      </c>
      <c r="G92" s="143">
        <f ca="1">IFERROR(__xludf.DUMMYFUNCTION("""COMPUTED_VALUE"""),13416272)</f>
        <v>13416272</v>
      </c>
      <c r="H92" s="26"/>
    </row>
    <row r="93" spans="1:8" ht="17.25" customHeight="1" x14ac:dyDescent="0.2">
      <c r="A93" s="26"/>
      <c r="B93" s="139">
        <f ca="1">IFERROR(__xludf.DUMMYFUNCTION("""COMPUTED_VALUE"""),45960.6666666666)</f>
        <v>45960.666666666599</v>
      </c>
      <c r="C93" s="141">
        <f ca="1">IFERROR(__xludf.DUMMYFUNCTION("""COMPUTED_VALUE"""),91.74)</f>
        <v>91.74</v>
      </c>
      <c r="D93" s="141">
        <f ca="1">IFERROR(__xludf.DUMMYFUNCTION("""COMPUTED_VALUE"""),91.75)</f>
        <v>91.75</v>
      </c>
      <c r="E93" s="141">
        <f ca="1">IFERROR(__xludf.DUMMYFUNCTION("""COMPUTED_VALUE"""),91.74)</f>
        <v>91.74</v>
      </c>
      <c r="F93" s="141">
        <f ca="1">IFERROR(__xludf.DUMMYFUNCTION("""COMPUTED_VALUE"""),91.74)</f>
        <v>91.74</v>
      </c>
      <c r="G93" s="143">
        <f ca="1">IFERROR(__xludf.DUMMYFUNCTION("""COMPUTED_VALUE"""),7897153)</f>
        <v>7897153</v>
      </c>
      <c r="H93" s="26"/>
    </row>
    <row r="94" spans="1:8" ht="17.25" customHeight="1" x14ac:dyDescent="0.2">
      <c r="A94" s="26"/>
      <c r="B94" s="139">
        <f ca="1">IFERROR(__xludf.DUMMYFUNCTION("""COMPUTED_VALUE"""),45961.6666666666)</f>
        <v>45961.666666666599</v>
      </c>
      <c r="C94" s="141">
        <f ca="1">IFERROR(__xludf.DUMMYFUNCTION("""COMPUTED_VALUE"""),91.76)</f>
        <v>91.76</v>
      </c>
      <c r="D94" s="141">
        <f ca="1">IFERROR(__xludf.DUMMYFUNCTION("""COMPUTED_VALUE"""),91.77)</f>
        <v>91.77</v>
      </c>
      <c r="E94" s="141">
        <f ca="1">IFERROR(__xludf.DUMMYFUNCTION("""COMPUTED_VALUE"""),91.76)</f>
        <v>91.76</v>
      </c>
      <c r="F94" s="141">
        <f ca="1">IFERROR(__xludf.DUMMYFUNCTION("""COMPUTED_VALUE"""),91.76)</f>
        <v>91.76</v>
      </c>
      <c r="G94" s="143">
        <f ca="1">IFERROR(__xludf.DUMMYFUNCTION("""COMPUTED_VALUE"""),14371020)</f>
        <v>14371020</v>
      </c>
      <c r="H94" s="26"/>
    </row>
    <row r="95" spans="1:8" ht="17.25" customHeight="1" x14ac:dyDescent="0.2">
      <c r="A95" s="26"/>
      <c r="B95" s="139">
        <f ca="1">IFERROR(__xludf.DUMMYFUNCTION("""COMPUTED_VALUE"""),45964.6666666666)</f>
        <v>45964.666666666599</v>
      </c>
      <c r="C95" s="141">
        <f ca="1">IFERROR(__xludf.DUMMYFUNCTION("""COMPUTED_VALUE"""),91.47)</f>
        <v>91.47</v>
      </c>
      <c r="D95" s="141">
        <f ca="1">IFERROR(__xludf.DUMMYFUNCTION("""COMPUTED_VALUE"""),91.47)</f>
        <v>91.47</v>
      </c>
      <c r="E95" s="141">
        <f ca="1">IFERROR(__xludf.DUMMYFUNCTION("""COMPUTED_VALUE"""),91.47)</f>
        <v>91.47</v>
      </c>
      <c r="F95" s="141">
        <f ca="1">IFERROR(__xludf.DUMMYFUNCTION("""COMPUTED_VALUE"""),91.47)</f>
        <v>91.47</v>
      </c>
      <c r="G95" s="143">
        <f ca="1">IFERROR(__xludf.DUMMYFUNCTION("""COMPUTED_VALUE"""),17922825)</f>
        <v>17922825</v>
      </c>
      <c r="H95" s="26"/>
    </row>
    <row r="96" spans="1:8" ht="17.25" customHeight="1" x14ac:dyDescent="0.2">
      <c r="A96" s="26"/>
      <c r="B96" s="139">
        <f ca="1">IFERROR(__xludf.DUMMYFUNCTION("""COMPUTED_VALUE"""),45965.6666666666)</f>
        <v>45965.666666666599</v>
      </c>
      <c r="C96" s="141">
        <f ca="1">IFERROR(__xludf.DUMMYFUNCTION("""COMPUTED_VALUE"""),91.48)</f>
        <v>91.48</v>
      </c>
      <c r="D96" s="141">
        <f ca="1">IFERROR(__xludf.DUMMYFUNCTION("""COMPUTED_VALUE"""),91.48)</f>
        <v>91.48</v>
      </c>
      <c r="E96" s="141">
        <f ca="1">IFERROR(__xludf.DUMMYFUNCTION("""COMPUTED_VALUE"""),91.47)</f>
        <v>91.47</v>
      </c>
      <c r="F96" s="141">
        <f ca="1">IFERROR(__xludf.DUMMYFUNCTION("""COMPUTED_VALUE"""),91.48)</f>
        <v>91.48</v>
      </c>
      <c r="G96" s="143">
        <f ca="1">IFERROR(__xludf.DUMMYFUNCTION("""COMPUTED_VALUE"""),12162133)</f>
        <v>12162133</v>
      </c>
      <c r="H96" s="26"/>
    </row>
    <row r="97" spans="1:8" ht="17.25" customHeight="1" x14ac:dyDescent="0.2">
      <c r="A97" s="26"/>
      <c r="B97" s="139">
        <f ca="1">IFERROR(__xludf.DUMMYFUNCTION("""COMPUTED_VALUE"""),45966.6666666666)</f>
        <v>45966.666666666599</v>
      </c>
      <c r="C97" s="141">
        <f ca="1">IFERROR(__xludf.DUMMYFUNCTION("""COMPUTED_VALUE"""),91.5)</f>
        <v>91.5</v>
      </c>
      <c r="D97" s="141">
        <f ca="1">IFERROR(__xludf.DUMMYFUNCTION("""COMPUTED_VALUE"""),91.5)</f>
        <v>91.5</v>
      </c>
      <c r="E97" s="141">
        <f ca="1">IFERROR(__xludf.DUMMYFUNCTION("""COMPUTED_VALUE"""),91.49)</f>
        <v>91.49</v>
      </c>
      <c r="F97" s="141">
        <f ca="1">IFERROR(__xludf.DUMMYFUNCTION("""COMPUTED_VALUE"""),91.49)</f>
        <v>91.49</v>
      </c>
      <c r="G97" s="143">
        <f ca="1">IFERROR(__xludf.DUMMYFUNCTION("""COMPUTED_VALUE"""),7973159)</f>
        <v>7973159</v>
      </c>
      <c r="H97" s="26"/>
    </row>
    <row r="98" spans="1:8" ht="17.25" customHeight="1" x14ac:dyDescent="0.2">
      <c r="A98" s="26"/>
      <c r="B98" s="139">
        <f ca="1">IFERROR(__xludf.DUMMYFUNCTION("""COMPUTED_VALUE"""),45967.6666666666)</f>
        <v>45967.666666666599</v>
      </c>
      <c r="C98" s="141">
        <f ca="1">IFERROR(__xludf.DUMMYFUNCTION("""COMPUTED_VALUE"""),91.5)</f>
        <v>91.5</v>
      </c>
      <c r="D98" s="141">
        <f ca="1">IFERROR(__xludf.DUMMYFUNCTION("""COMPUTED_VALUE"""),91.51)</f>
        <v>91.51</v>
      </c>
      <c r="E98" s="141">
        <f ca="1">IFERROR(__xludf.DUMMYFUNCTION("""COMPUTED_VALUE"""),91.5)</f>
        <v>91.5</v>
      </c>
      <c r="F98" s="141">
        <f ca="1">IFERROR(__xludf.DUMMYFUNCTION("""COMPUTED_VALUE"""),91.5)</f>
        <v>91.5</v>
      </c>
      <c r="G98" s="143">
        <f ca="1">IFERROR(__xludf.DUMMYFUNCTION("""COMPUTED_VALUE"""),15915822)</f>
        <v>15915822</v>
      </c>
      <c r="H98" s="26"/>
    </row>
    <row r="99" spans="1:8" ht="17.25" customHeight="1" x14ac:dyDescent="0.2">
      <c r="A99" s="26"/>
      <c r="B99" s="139">
        <f ca="1">IFERROR(__xludf.DUMMYFUNCTION("""COMPUTED_VALUE"""),45968.6666666666)</f>
        <v>45968.666666666599</v>
      </c>
      <c r="C99" s="141">
        <f ca="1">IFERROR(__xludf.DUMMYFUNCTION("""COMPUTED_VALUE"""),91.53)</f>
        <v>91.53</v>
      </c>
      <c r="D99" s="141">
        <f ca="1">IFERROR(__xludf.DUMMYFUNCTION("""COMPUTED_VALUE"""),91.54)</f>
        <v>91.54</v>
      </c>
      <c r="E99" s="141">
        <f ca="1">IFERROR(__xludf.DUMMYFUNCTION("""COMPUTED_VALUE"""),91.53)</f>
        <v>91.53</v>
      </c>
      <c r="F99" s="141">
        <f ca="1">IFERROR(__xludf.DUMMYFUNCTION("""COMPUTED_VALUE"""),91.53)</f>
        <v>91.53</v>
      </c>
      <c r="G99" s="143">
        <f ca="1">IFERROR(__xludf.DUMMYFUNCTION("""COMPUTED_VALUE"""),11524997)</f>
        <v>11524997</v>
      </c>
      <c r="H99" s="26"/>
    </row>
    <row r="100" spans="1:8" ht="17.25" customHeight="1" x14ac:dyDescent="0.2">
      <c r="A100" s="26"/>
      <c r="B100" s="139">
        <f ca="1">IFERROR(__xludf.DUMMYFUNCTION("""COMPUTED_VALUE"""),45971.6666666666)</f>
        <v>45971.666666666599</v>
      </c>
      <c r="C100" s="141">
        <f ca="1">IFERROR(__xludf.DUMMYFUNCTION("""COMPUTED_VALUE"""),91.55)</f>
        <v>91.55</v>
      </c>
      <c r="D100" s="141">
        <f ca="1">IFERROR(__xludf.DUMMYFUNCTION("""COMPUTED_VALUE"""),91.55)</f>
        <v>91.55</v>
      </c>
      <c r="E100" s="141">
        <f ca="1">IFERROR(__xludf.DUMMYFUNCTION("""COMPUTED_VALUE"""),91.54)</f>
        <v>91.54</v>
      </c>
      <c r="F100" s="141">
        <f ca="1">IFERROR(__xludf.DUMMYFUNCTION("""COMPUTED_VALUE"""),91.55)</f>
        <v>91.55</v>
      </c>
      <c r="G100" s="143">
        <f ca="1">IFERROR(__xludf.DUMMYFUNCTION("""COMPUTED_VALUE"""),13043674)</f>
        <v>13043674</v>
      </c>
      <c r="H100" s="26"/>
    </row>
    <row r="101" spans="1:8" ht="17.25" customHeight="1" x14ac:dyDescent="0.2">
      <c r="A101" s="26"/>
      <c r="B101" s="139">
        <f ca="1">IFERROR(__xludf.DUMMYFUNCTION("""COMPUTED_VALUE"""),45972.6666666666)</f>
        <v>45972.666666666599</v>
      </c>
      <c r="C101" s="141">
        <f ca="1">IFERROR(__xludf.DUMMYFUNCTION("""COMPUTED_VALUE"""),91.55)</f>
        <v>91.55</v>
      </c>
      <c r="D101" s="141">
        <f ca="1">IFERROR(__xludf.DUMMYFUNCTION("""COMPUTED_VALUE"""),91.55)</f>
        <v>91.55</v>
      </c>
      <c r="E101" s="141">
        <f ca="1">IFERROR(__xludf.DUMMYFUNCTION("""COMPUTED_VALUE"""),91.54)</f>
        <v>91.54</v>
      </c>
      <c r="F101" s="141">
        <f ca="1">IFERROR(__xludf.DUMMYFUNCTION("""COMPUTED_VALUE"""),91.54)</f>
        <v>91.54</v>
      </c>
      <c r="G101" s="143">
        <f ca="1">IFERROR(__xludf.DUMMYFUNCTION("""COMPUTED_VALUE"""),6181174)</f>
        <v>6181174</v>
      </c>
      <c r="H101" s="26"/>
    </row>
    <row r="102" spans="1:8" ht="17.25" customHeight="1" x14ac:dyDescent="0.2">
      <c r="A102" s="26"/>
      <c r="B102" s="139">
        <f ca="1">IFERROR(__xludf.DUMMYFUNCTION("""COMPUTED_VALUE"""),45973.6666666666)</f>
        <v>45973.666666666599</v>
      </c>
      <c r="C102" s="141">
        <f ca="1">IFERROR(__xludf.DUMMYFUNCTION("""COMPUTED_VALUE"""),91.55)</f>
        <v>91.55</v>
      </c>
      <c r="D102" s="141">
        <f ca="1">IFERROR(__xludf.DUMMYFUNCTION("""COMPUTED_VALUE"""),91.56)</f>
        <v>91.56</v>
      </c>
      <c r="E102" s="141">
        <f ca="1">IFERROR(__xludf.DUMMYFUNCTION("""COMPUTED_VALUE"""),91.55)</f>
        <v>91.55</v>
      </c>
      <c r="F102" s="141">
        <f ca="1">IFERROR(__xludf.DUMMYFUNCTION("""COMPUTED_VALUE"""),91.55)</f>
        <v>91.55</v>
      </c>
      <c r="G102" s="143">
        <f ca="1">IFERROR(__xludf.DUMMYFUNCTION("""COMPUTED_VALUE"""),6371181)</f>
        <v>6371181</v>
      </c>
      <c r="H102" s="26"/>
    </row>
    <row r="103" spans="1:8" ht="17.25" customHeight="1" x14ac:dyDescent="0.2">
      <c r="A103" s="26"/>
      <c r="B103" s="139">
        <f ca="1">IFERROR(__xludf.DUMMYFUNCTION("""COMPUTED_VALUE"""),45974.6666666666)</f>
        <v>45974.666666666599</v>
      </c>
      <c r="C103" s="141">
        <f ca="1">IFERROR(__xludf.DUMMYFUNCTION("""COMPUTED_VALUE"""),91.56)</f>
        <v>91.56</v>
      </c>
      <c r="D103" s="141">
        <f ca="1">IFERROR(__xludf.DUMMYFUNCTION("""COMPUTED_VALUE"""),91.57)</f>
        <v>91.57</v>
      </c>
      <c r="E103" s="141">
        <f ca="1">IFERROR(__xludf.DUMMYFUNCTION("""COMPUTED_VALUE"""),91.56)</f>
        <v>91.56</v>
      </c>
      <c r="F103" s="141">
        <f ca="1">IFERROR(__xludf.DUMMYFUNCTION("""COMPUTED_VALUE"""),91.56)</f>
        <v>91.56</v>
      </c>
      <c r="G103" s="143">
        <f ca="1">IFERROR(__xludf.DUMMYFUNCTION("""COMPUTED_VALUE"""),6625925)</f>
        <v>6625925</v>
      </c>
      <c r="H103" s="26"/>
    </row>
    <row r="104" spans="1:8" ht="17.25" customHeight="1" x14ac:dyDescent="0.2">
      <c r="A104" s="26"/>
      <c r="B104" s="139">
        <f ca="1">IFERROR(__xludf.DUMMYFUNCTION("""COMPUTED_VALUE"""),45975.6666666666)</f>
        <v>45975.666666666599</v>
      </c>
      <c r="C104" s="141">
        <f ca="1">IFERROR(__xludf.DUMMYFUNCTION("""COMPUTED_VALUE"""),91.6)</f>
        <v>91.6</v>
      </c>
      <c r="D104" s="141">
        <f ca="1">IFERROR(__xludf.DUMMYFUNCTION("""COMPUTED_VALUE"""),91.6)</f>
        <v>91.6</v>
      </c>
      <c r="E104" s="141">
        <f ca="1">IFERROR(__xludf.DUMMYFUNCTION("""COMPUTED_VALUE"""),91.59)</f>
        <v>91.59</v>
      </c>
      <c r="F104" s="141">
        <f ca="1">IFERROR(__xludf.DUMMYFUNCTION("""COMPUTED_VALUE"""),91.6)</f>
        <v>91.6</v>
      </c>
      <c r="G104" s="143">
        <f ca="1">IFERROR(__xludf.DUMMYFUNCTION("""COMPUTED_VALUE"""),10192246)</f>
        <v>10192246</v>
      </c>
      <c r="H104" s="26"/>
    </row>
    <row r="105" spans="1:8" ht="17.25" customHeight="1" x14ac:dyDescent="0.2">
      <c r="A105" s="26"/>
      <c r="B105" s="139">
        <f ca="1">IFERROR(__xludf.DUMMYFUNCTION("""COMPUTED_VALUE"""),45978.6666666666)</f>
        <v>45978.666666666599</v>
      </c>
      <c r="C105" s="141">
        <f ca="1">IFERROR(__xludf.DUMMYFUNCTION("""COMPUTED_VALUE"""),91.6)</f>
        <v>91.6</v>
      </c>
      <c r="D105" s="141">
        <f ca="1">IFERROR(__xludf.DUMMYFUNCTION("""COMPUTED_VALUE"""),91.61)</f>
        <v>91.61</v>
      </c>
      <c r="E105" s="141">
        <f ca="1">IFERROR(__xludf.DUMMYFUNCTION("""COMPUTED_VALUE"""),91.6)</f>
        <v>91.6</v>
      </c>
      <c r="F105" s="141">
        <f ca="1">IFERROR(__xludf.DUMMYFUNCTION("""COMPUTED_VALUE"""),91.6)</f>
        <v>91.6</v>
      </c>
      <c r="G105" s="143">
        <f ca="1">IFERROR(__xludf.DUMMYFUNCTION("""COMPUTED_VALUE"""),9766975)</f>
        <v>9766975</v>
      </c>
      <c r="H105" s="26"/>
    </row>
    <row r="106" spans="1:8" ht="17.25" customHeight="1" x14ac:dyDescent="0.2">
      <c r="A106" s="26"/>
      <c r="B106" s="139">
        <f ca="1">IFERROR(__xludf.DUMMYFUNCTION("""COMPUTED_VALUE"""),45979.6666666666)</f>
        <v>45979.666666666599</v>
      </c>
      <c r="C106" s="141">
        <f ca="1">IFERROR(__xludf.DUMMYFUNCTION("""COMPUTED_VALUE"""),91.62)</f>
        <v>91.62</v>
      </c>
      <c r="D106" s="141">
        <f ca="1">IFERROR(__xludf.DUMMYFUNCTION("""COMPUTED_VALUE"""),91.62)</f>
        <v>91.62</v>
      </c>
      <c r="E106" s="141">
        <f ca="1">IFERROR(__xludf.DUMMYFUNCTION("""COMPUTED_VALUE"""),91.61)</f>
        <v>91.61</v>
      </c>
      <c r="F106" s="141">
        <f ca="1">IFERROR(__xludf.DUMMYFUNCTION("""COMPUTED_VALUE"""),91.62)</f>
        <v>91.62</v>
      </c>
      <c r="G106" s="143">
        <f ca="1">IFERROR(__xludf.DUMMYFUNCTION("""COMPUTED_VALUE"""),9642597)</f>
        <v>9642597</v>
      </c>
      <c r="H106" s="26"/>
    </row>
    <row r="107" spans="1:8" ht="17.25" customHeight="1" x14ac:dyDescent="0.2">
      <c r="A107" s="26"/>
      <c r="B107" s="139">
        <f ca="1">IFERROR(__xludf.DUMMYFUNCTION("""COMPUTED_VALUE"""),45980.6666666666)</f>
        <v>45980.666666666599</v>
      </c>
      <c r="C107" s="141">
        <f ca="1">IFERROR(__xludf.DUMMYFUNCTION("""COMPUTED_VALUE"""),91.63)</f>
        <v>91.63</v>
      </c>
      <c r="D107" s="141">
        <f ca="1">IFERROR(__xludf.DUMMYFUNCTION("""COMPUTED_VALUE"""),91.63)</f>
        <v>91.63</v>
      </c>
      <c r="E107" s="141">
        <f ca="1">IFERROR(__xludf.DUMMYFUNCTION("""COMPUTED_VALUE"""),91.62)</f>
        <v>91.62</v>
      </c>
      <c r="F107" s="141">
        <f ca="1">IFERROR(__xludf.DUMMYFUNCTION("""COMPUTED_VALUE"""),91.62)</f>
        <v>91.62</v>
      </c>
      <c r="G107" s="143">
        <f ca="1">IFERROR(__xludf.DUMMYFUNCTION("""COMPUTED_VALUE"""),6206233)</f>
        <v>6206233</v>
      </c>
      <c r="H107" s="26"/>
    </row>
    <row r="108" spans="1:8" ht="17.25" customHeight="1" x14ac:dyDescent="0.2">
      <c r="A108" s="26"/>
      <c r="B108" s="139">
        <f ca="1">IFERROR(__xludf.DUMMYFUNCTION("""COMPUTED_VALUE"""),45981.6666666666)</f>
        <v>45981.666666666599</v>
      </c>
      <c r="C108" s="141">
        <f ca="1">IFERROR(__xludf.DUMMYFUNCTION("""COMPUTED_VALUE"""),91.63)</f>
        <v>91.63</v>
      </c>
      <c r="D108" s="141">
        <f ca="1">IFERROR(__xludf.DUMMYFUNCTION("""COMPUTED_VALUE"""),91.64)</f>
        <v>91.64</v>
      </c>
      <c r="E108" s="141">
        <f ca="1">IFERROR(__xludf.DUMMYFUNCTION("""COMPUTED_VALUE"""),91.62)</f>
        <v>91.62</v>
      </c>
      <c r="F108" s="141">
        <f ca="1">IFERROR(__xludf.DUMMYFUNCTION("""COMPUTED_VALUE"""),91.64)</f>
        <v>91.64</v>
      </c>
      <c r="G108" s="143">
        <f ca="1">IFERROR(__xludf.DUMMYFUNCTION("""COMPUTED_VALUE"""),10933880)</f>
        <v>10933880</v>
      </c>
      <c r="H108" s="26"/>
    </row>
    <row r="109" spans="1:8" ht="17.25" customHeight="1" x14ac:dyDescent="0.2">
      <c r="A109" s="26"/>
      <c r="B109" s="139">
        <f ca="1">IFERROR(__xludf.DUMMYFUNCTION("""COMPUTED_VALUE"""),45982.6666666666)</f>
        <v>45982.666666666599</v>
      </c>
      <c r="C109" s="141">
        <f ca="1">IFERROR(__xludf.DUMMYFUNCTION("""COMPUTED_VALUE"""),91.66)</f>
        <v>91.66</v>
      </c>
      <c r="D109" s="141">
        <f ca="1">IFERROR(__xludf.DUMMYFUNCTION("""COMPUTED_VALUE"""),91.66)</f>
        <v>91.66</v>
      </c>
      <c r="E109" s="141">
        <f ca="1">IFERROR(__xludf.DUMMYFUNCTION("""COMPUTED_VALUE"""),91.66)</f>
        <v>91.66</v>
      </c>
      <c r="F109" s="141">
        <f ca="1">IFERROR(__xludf.DUMMYFUNCTION("""COMPUTED_VALUE"""),91.66)</f>
        <v>91.66</v>
      </c>
      <c r="G109" s="143">
        <f ca="1">IFERROR(__xludf.DUMMYFUNCTION("""COMPUTED_VALUE"""),9431841)</f>
        <v>9431841</v>
      </c>
      <c r="H109" s="26"/>
    </row>
    <row r="110" spans="1:8" ht="17.25" customHeight="1" x14ac:dyDescent="0.2">
      <c r="A110" s="26"/>
      <c r="B110" s="139">
        <f ca="1">IFERROR(__xludf.DUMMYFUNCTION("""COMPUTED_VALUE"""),45985.6666666666)</f>
        <v>45985.666666666599</v>
      </c>
      <c r="C110" s="141">
        <f ca="1">IFERROR(__xludf.DUMMYFUNCTION("""COMPUTED_VALUE"""),91.66)</f>
        <v>91.66</v>
      </c>
      <c r="D110" s="141">
        <f ca="1">IFERROR(__xludf.DUMMYFUNCTION("""COMPUTED_VALUE"""),91.67)</f>
        <v>91.67</v>
      </c>
      <c r="E110" s="141">
        <f ca="1">IFERROR(__xludf.DUMMYFUNCTION("""COMPUTED_VALUE"""),91.66)</f>
        <v>91.66</v>
      </c>
      <c r="F110" s="141">
        <f ca="1">IFERROR(__xludf.DUMMYFUNCTION("""COMPUTED_VALUE"""),91.66)</f>
        <v>91.66</v>
      </c>
      <c r="G110" s="143">
        <f ca="1">IFERROR(__xludf.DUMMYFUNCTION("""COMPUTED_VALUE"""),7347137)</f>
        <v>7347137</v>
      </c>
      <c r="H110" s="26"/>
    </row>
    <row r="111" spans="1:8" ht="17.25" customHeight="1" x14ac:dyDescent="0.2">
      <c r="A111" s="26"/>
      <c r="B111" s="139">
        <f ca="1">IFERROR(__xludf.DUMMYFUNCTION("""COMPUTED_VALUE"""),45986.6666666666)</f>
        <v>45986.666666666599</v>
      </c>
      <c r="C111" s="141">
        <f ca="1">IFERROR(__xludf.DUMMYFUNCTION("""COMPUTED_VALUE"""),91.68)</f>
        <v>91.68</v>
      </c>
      <c r="D111" s="141">
        <f ca="1">IFERROR(__xludf.DUMMYFUNCTION("""COMPUTED_VALUE"""),91.68)</f>
        <v>91.68</v>
      </c>
      <c r="E111" s="141">
        <f ca="1">IFERROR(__xludf.DUMMYFUNCTION("""COMPUTED_VALUE"""),91.67)</f>
        <v>91.67</v>
      </c>
      <c r="F111" s="141">
        <f ca="1">IFERROR(__xludf.DUMMYFUNCTION("""COMPUTED_VALUE"""),91.68)</f>
        <v>91.68</v>
      </c>
      <c r="G111" s="143">
        <f ca="1">IFERROR(__xludf.DUMMYFUNCTION("""COMPUTED_VALUE"""),8992406)</f>
        <v>8992406</v>
      </c>
      <c r="H111" s="26"/>
    </row>
    <row r="112" spans="1:8" ht="17.25" customHeight="1" x14ac:dyDescent="0.2">
      <c r="A112" s="26"/>
      <c r="B112" s="139">
        <f ca="1">IFERROR(__xludf.DUMMYFUNCTION("""COMPUTED_VALUE"""),45987.6666666666)</f>
        <v>45987.666666666599</v>
      </c>
      <c r="C112" s="141">
        <f ca="1">IFERROR(__xludf.DUMMYFUNCTION("""COMPUTED_VALUE"""),91.7)</f>
        <v>91.7</v>
      </c>
      <c r="D112" s="141">
        <f ca="1">IFERROR(__xludf.DUMMYFUNCTION("""COMPUTED_VALUE"""),91.7)</f>
        <v>91.7</v>
      </c>
      <c r="E112" s="141">
        <f ca="1">IFERROR(__xludf.DUMMYFUNCTION("""COMPUTED_VALUE"""),91.69)</f>
        <v>91.69</v>
      </c>
      <c r="F112" s="141">
        <f ca="1">IFERROR(__xludf.DUMMYFUNCTION("""COMPUTED_VALUE"""),91.69)</f>
        <v>91.69</v>
      </c>
      <c r="G112" s="143">
        <f ca="1">IFERROR(__xludf.DUMMYFUNCTION("""COMPUTED_VALUE"""),6749472)</f>
        <v>6749472</v>
      </c>
      <c r="H112" s="26"/>
    </row>
    <row r="113" spans="1:8" ht="17.25" customHeight="1" x14ac:dyDescent="0.2">
      <c r="A113" s="26"/>
      <c r="B113" s="139">
        <f ca="1">IFERROR(__xludf.DUMMYFUNCTION("""COMPUTED_VALUE"""),45989.5520833333)</f>
        <v>45989.552083333299</v>
      </c>
      <c r="C113" s="141">
        <f ca="1">IFERROR(__xludf.DUMMYFUNCTION("""COMPUTED_VALUE"""),91.73)</f>
        <v>91.73</v>
      </c>
      <c r="D113" s="141">
        <f ca="1">IFERROR(__xludf.DUMMYFUNCTION("""COMPUTED_VALUE"""),91.73)</f>
        <v>91.73</v>
      </c>
      <c r="E113" s="141">
        <f ca="1">IFERROR(__xludf.DUMMYFUNCTION("""COMPUTED_VALUE"""),91.72)</f>
        <v>91.72</v>
      </c>
      <c r="F113" s="141">
        <f ca="1">IFERROR(__xludf.DUMMYFUNCTION("""COMPUTED_VALUE"""),91.72)</f>
        <v>91.72</v>
      </c>
      <c r="G113" s="143">
        <f ca="1">IFERROR(__xludf.DUMMYFUNCTION("""COMPUTED_VALUE"""),10775168)</f>
        <v>10775168</v>
      </c>
      <c r="H113" s="26"/>
    </row>
    <row r="114" spans="1:8" ht="17.25" customHeight="1" x14ac:dyDescent="0.2">
      <c r="A114" s="26"/>
      <c r="B114" s="139">
        <f ca="1">IFERROR(__xludf.DUMMYFUNCTION("""COMPUTED_VALUE"""),45992.6666666666)</f>
        <v>45992.666666666599</v>
      </c>
      <c r="C114" s="141">
        <f ca="1">IFERROR(__xludf.DUMMYFUNCTION("""COMPUTED_VALUE"""),91.46)</f>
        <v>91.46</v>
      </c>
      <c r="D114" s="141">
        <f ca="1">IFERROR(__xludf.DUMMYFUNCTION("""COMPUTED_VALUE"""),91.46)</f>
        <v>91.46</v>
      </c>
      <c r="E114" s="141">
        <f ca="1">IFERROR(__xludf.DUMMYFUNCTION("""COMPUTED_VALUE"""),91.45)</f>
        <v>91.45</v>
      </c>
      <c r="F114" s="141">
        <f ca="1">IFERROR(__xludf.DUMMYFUNCTION("""COMPUTED_VALUE"""),91.45)</f>
        <v>91.45</v>
      </c>
      <c r="G114" s="143">
        <f ca="1">IFERROR(__xludf.DUMMYFUNCTION("""COMPUTED_VALUE"""),16856813)</f>
        <v>16856813</v>
      </c>
      <c r="H114" s="26"/>
    </row>
    <row r="115" spans="1:8" ht="17.25" customHeight="1" x14ac:dyDescent="0.2">
      <c r="A115" s="26"/>
      <c r="B115" s="139">
        <f ca="1">IFERROR(__xludf.DUMMYFUNCTION("""COMPUTED_VALUE"""),45993.6666666666)</f>
        <v>45993.666666666599</v>
      </c>
      <c r="C115" s="141">
        <f ca="1">IFERROR(__xludf.DUMMYFUNCTION("""COMPUTED_VALUE"""),91.47)</f>
        <v>91.47</v>
      </c>
      <c r="D115" s="141">
        <f ca="1">IFERROR(__xludf.DUMMYFUNCTION("""COMPUTED_VALUE"""),91.48)</f>
        <v>91.48</v>
      </c>
      <c r="E115" s="141">
        <f ca="1">IFERROR(__xludf.DUMMYFUNCTION("""COMPUTED_VALUE"""),91.46)</f>
        <v>91.46</v>
      </c>
      <c r="F115" s="141">
        <f ca="1">IFERROR(__xludf.DUMMYFUNCTION("""COMPUTED_VALUE"""),91.48)</f>
        <v>91.48</v>
      </c>
      <c r="G115" s="143">
        <f ca="1">IFERROR(__xludf.DUMMYFUNCTION("""COMPUTED_VALUE"""),7403391)</f>
        <v>7403391</v>
      </c>
      <c r="H115" s="26"/>
    </row>
    <row r="116" spans="1:8" ht="17.25" customHeight="1" x14ac:dyDescent="0.2">
      <c r="A116" s="26"/>
      <c r="B116" s="139">
        <f ca="1">IFERROR(__xludf.DUMMYFUNCTION("""COMPUTED_VALUE"""),45994.6666666666)</f>
        <v>45994.666666666599</v>
      </c>
      <c r="C116" s="141">
        <f ca="1">IFERROR(__xludf.DUMMYFUNCTION("""COMPUTED_VALUE"""),91.48)</f>
        <v>91.48</v>
      </c>
      <c r="D116" s="141">
        <f ca="1">IFERROR(__xludf.DUMMYFUNCTION("""COMPUTED_VALUE"""),91.49)</f>
        <v>91.49</v>
      </c>
      <c r="E116" s="141">
        <f ca="1">IFERROR(__xludf.DUMMYFUNCTION("""COMPUTED_VALUE"""),91.48)</f>
        <v>91.48</v>
      </c>
      <c r="F116" s="141">
        <f ca="1">IFERROR(__xludf.DUMMYFUNCTION("""COMPUTED_VALUE"""),91.49)</f>
        <v>91.49</v>
      </c>
      <c r="G116" s="143">
        <f ca="1">IFERROR(__xludf.DUMMYFUNCTION("""COMPUTED_VALUE"""),6530873)</f>
        <v>6530873</v>
      </c>
      <c r="H116" s="26"/>
    </row>
    <row r="117" spans="1:8" ht="17.25" customHeight="1" x14ac:dyDescent="0.2">
      <c r="A117" s="26"/>
      <c r="B117" s="139">
        <f ca="1">IFERROR(__xludf.DUMMYFUNCTION("""COMPUTED_VALUE"""),45995.6666666666)</f>
        <v>45995.666666666599</v>
      </c>
      <c r="C117" s="141">
        <f ca="1">IFERROR(__xludf.DUMMYFUNCTION("""COMPUTED_VALUE"""),91.5)</f>
        <v>91.5</v>
      </c>
      <c r="D117" s="141">
        <f ca="1">IFERROR(__xludf.DUMMYFUNCTION("""COMPUTED_VALUE"""),91.51)</f>
        <v>91.51</v>
      </c>
      <c r="E117" s="141">
        <f ca="1">IFERROR(__xludf.DUMMYFUNCTION("""COMPUTED_VALUE"""),91.5)</f>
        <v>91.5</v>
      </c>
      <c r="F117" s="141">
        <f ca="1">IFERROR(__xludf.DUMMYFUNCTION("""COMPUTED_VALUE"""),91.5)</f>
        <v>91.5</v>
      </c>
      <c r="G117" s="143">
        <f ca="1">IFERROR(__xludf.DUMMYFUNCTION("""COMPUTED_VALUE"""),7236673)</f>
        <v>7236673</v>
      </c>
      <c r="H117" s="26"/>
    </row>
    <row r="118" spans="1:8" ht="17.25" customHeight="1" x14ac:dyDescent="0.2">
      <c r="A118" s="26"/>
      <c r="B118" s="139">
        <f ca="1">IFERROR(__xludf.DUMMYFUNCTION("""COMPUTED_VALUE"""),45996.6666666666)</f>
        <v>45996.666666666599</v>
      </c>
      <c r="C118" s="141">
        <f ca="1">IFERROR(__xludf.DUMMYFUNCTION("""COMPUTED_VALUE"""),91.53)</f>
        <v>91.53</v>
      </c>
      <c r="D118" s="141">
        <f ca="1">IFERROR(__xludf.DUMMYFUNCTION("""COMPUTED_VALUE"""),91.53)</f>
        <v>91.53</v>
      </c>
      <c r="E118" s="141">
        <f ca="1">IFERROR(__xludf.DUMMYFUNCTION("""COMPUTED_VALUE"""),91.52)</f>
        <v>91.52</v>
      </c>
      <c r="F118" s="141">
        <f ca="1">IFERROR(__xludf.DUMMYFUNCTION("""COMPUTED_VALUE"""),91.52)</f>
        <v>91.52</v>
      </c>
      <c r="G118" s="143">
        <f ca="1">IFERROR(__xludf.DUMMYFUNCTION("""COMPUTED_VALUE"""),7308351)</f>
        <v>7308351</v>
      </c>
      <c r="H118" s="26"/>
    </row>
    <row r="119" spans="1:8" ht="17.25" customHeight="1" x14ac:dyDescent="0.2">
      <c r="A119" s="26"/>
      <c r="B119" s="139">
        <f ca="1">IFERROR(__xludf.DUMMYFUNCTION("""COMPUTED_VALUE"""),45999.6666666666)</f>
        <v>45999.666666666599</v>
      </c>
      <c r="C119" s="141">
        <f ca="1">IFERROR(__xludf.DUMMYFUNCTION("""COMPUTED_VALUE"""),91.53)</f>
        <v>91.53</v>
      </c>
      <c r="D119" s="141">
        <f ca="1">IFERROR(__xludf.DUMMYFUNCTION("""COMPUTED_VALUE"""),91.54)</f>
        <v>91.54</v>
      </c>
      <c r="E119" s="141">
        <f ca="1">IFERROR(__xludf.DUMMYFUNCTION("""COMPUTED_VALUE"""),91.53)</f>
        <v>91.53</v>
      </c>
      <c r="F119" s="141">
        <f ca="1">IFERROR(__xludf.DUMMYFUNCTION("""COMPUTED_VALUE"""),91.53)</f>
        <v>91.53</v>
      </c>
      <c r="G119" s="143">
        <f ca="1">IFERROR(__xludf.DUMMYFUNCTION("""COMPUTED_VALUE"""),7578991)</f>
        <v>7578991</v>
      </c>
      <c r="H119" s="26"/>
    </row>
    <row r="120" spans="1:8" ht="17.25" customHeight="1" x14ac:dyDescent="0.2">
      <c r="A120" s="26"/>
      <c r="B120" s="139">
        <f ca="1">IFERROR(__xludf.DUMMYFUNCTION("""COMPUTED_VALUE"""),46000.6666666666)</f>
        <v>46000.666666666599</v>
      </c>
      <c r="C120" s="141">
        <f ca="1">IFERROR(__xludf.DUMMYFUNCTION("""COMPUTED_VALUE"""),91.55)</f>
        <v>91.55</v>
      </c>
      <c r="D120" s="141">
        <f ca="1">IFERROR(__xludf.DUMMYFUNCTION("""COMPUTED_VALUE"""),91.55)</f>
        <v>91.55</v>
      </c>
      <c r="E120" s="141">
        <f ca="1">IFERROR(__xludf.DUMMYFUNCTION("""COMPUTED_VALUE"""),91.54)</f>
        <v>91.54</v>
      </c>
      <c r="F120" s="141">
        <f ca="1">IFERROR(__xludf.DUMMYFUNCTION("""COMPUTED_VALUE"""),91.55)</f>
        <v>91.55</v>
      </c>
      <c r="G120" s="143">
        <f ca="1">IFERROR(__xludf.DUMMYFUNCTION("""COMPUTED_VALUE"""),9285593)</f>
        <v>9285593</v>
      </c>
      <c r="H120" s="26"/>
    </row>
    <row r="121" spans="1:8" ht="17.25" customHeight="1" x14ac:dyDescent="0.2">
      <c r="A121" s="26"/>
      <c r="B121" s="139">
        <f ca="1">IFERROR(__xludf.DUMMYFUNCTION("""COMPUTED_VALUE"""),46001.6666666666)</f>
        <v>46001.666666666599</v>
      </c>
      <c r="C121" s="141">
        <f ca="1">IFERROR(__xludf.DUMMYFUNCTION("""COMPUTED_VALUE"""),91.55)</f>
        <v>91.55</v>
      </c>
      <c r="D121" s="141">
        <f ca="1">IFERROR(__xludf.DUMMYFUNCTION("""COMPUTED_VALUE"""),91.56)</f>
        <v>91.56</v>
      </c>
      <c r="E121" s="141">
        <f ca="1">IFERROR(__xludf.DUMMYFUNCTION("""COMPUTED_VALUE"""),91.55)</f>
        <v>91.55</v>
      </c>
      <c r="F121" s="141">
        <f ca="1">IFERROR(__xludf.DUMMYFUNCTION("""COMPUTED_VALUE"""),91.55)</f>
        <v>91.55</v>
      </c>
      <c r="G121" s="143">
        <f ca="1">IFERROR(__xludf.DUMMYFUNCTION("""COMPUTED_VALUE"""),6974239)</f>
        <v>6974239</v>
      </c>
      <c r="H121" s="26"/>
    </row>
    <row r="122" spans="1:8" ht="17.25" customHeight="1" x14ac:dyDescent="0.2">
      <c r="A122" s="26"/>
      <c r="B122" s="139">
        <f ca="1">IFERROR(__xludf.DUMMYFUNCTION("""COMPUTED_VALUE"""),46002.6666666666)</f>
        <v>46002.666666666599</v>
      </c>
      <c r="C122" s="141">
        <f ca="1">IFERROR(__xludf.DUMMYFUNCTION("""COMPUTED_VALUE"""),91.56)</f>
        <v>91.56</v>
      </c>
      <c r="D122" s="141">
        <f ca="1">IFERROR(__xludf.DUMMYFUNCTION("""COMPUTED_VALUE"""),91.57)</f>
        <v>91.57</v>
      </c>
      <c r="E122" s="141">
        <f ca="1">IFERROR(__xludf.DUMMYFUNCTION("""COMPUTED_VALUE"""),91.56)</f>
        <v>91.56</v>
      </c>
      <c r="F122" s="141">
        <f ca="1">IFERROR(__xludf.DUMMYFUNCTION("""COMPUTED_VALUE"""),91.56)</f>
        <v>91.56</v>
      </c>
      <c r="G122" s="143">
        <f ca="1">IFERROR(__xludf.DUMMYFUNCTION("""COMPUTED_VALUE"""),7144470)</f>
        <v>7144470</v>
      </c>
      <c r="H122" s="26"/>
    </row>
    <row r="123" spans="1:8" ht="17.25" customHeight="1" x14ac:dyDescent="0.2">
      <c r="A123" s="26"/>
      <c r="B123" s="139">
        <f ca="1">IFERROR(__xludf.DUMMYFUNCTION("""COMPUTED_VALUE"""),46003.6666666666)</f>
        <v>46003.666666666599</v>
      </c>
      <c r="C123" s="141">
        <f ca="1">IFERROR(__xludf.DUMMYFUNCTION("""COMPUTED_VALUE"""),91.6)</f>
        <v>91.6</v>
      </c>
      <c r="D123" s="141">
        <f ca="1">IFERROR(__xludf.DUMMYFUNCTION("""COMPUTED_VALUE"""),91.6)</f>
        <v>91.6</v>
      </c>
      <c r="E123" s="141">
        <f ca="1">IFERROR(__xludf.DUMMYFUNCTION("""COMPUTED_VALUE"""),91.59)</f>
        <v>91.59</v>
      </c>
      <c r="F123" s="141">
        <f ca="1">IFERROR(__xludf.DUMMYFUNCTION("""COMPUTED_VALUE"""),91.6)</f>
        <v>91.6</v>
      </c>
      <c r="G123" s="143">
        <f ca="1">IFERROR(__xludf.DUMMYFUNCTION("""COMPUTED_VALUE"""),6040672)</f>
        <v>6040672</v>
      </c>
      <c r="H123" s="26"/>
    </row>
    <row r="124" spans="1:8" ht="17.25" customHeight="1" x14ac:dyDescent="0.2">
      <c r="A124" s="26"/>
      <c r="B124" s="139">
        <f ca="1">IFERROR(__xludf.DUMMYFUNCTION("""COMPUTED_VALUE"""),46006.6666666666)</f>
        <v>46006.666666666599</v>
      </c>
      <c r="C124" s="141">
        <f ca="1">IFERROR(__xludf.DUMMYFUNCTION("""COMPUTED_VALUE"""),91.6)</f>
        <v>91.6</v>
      </c>
      <c r="D124" s="141">
        <f ca="1">IFERROR(__xludf.DUMMYFUNCTION("""COMPUTED_VALUE"""),91.61)</f>
        <v>91.61</v>
      </c>
      <c r="E124" s="141">
        <f ca="1">IFERROR(__xludf.DUMMYFUNCTION("""COMPUTED_VALUE"""),91.6)</f>
        <v>91.6</v>
      </c>
      <c r="F124" s="141">
        <f ca="1">IFERROR(__xludf.DUMMYFUNCTION("""COMPUTED_VALUE"""),91.6)</f>
        <v>91.6</v>
      </c>
      <c r="G124" s="143">
        <f ca="1">IFERROR(__xludf.DUMMYFUNCTION("""COMPUTED_VALUE"""),6058074)</f>
        <v>6058074</v>
      </c>
      <c r="H124" s="26"/>
    </row>
    <row r="125" spans="1:8" ht="17.25" customHeight="1" x14ac:dyDescent="0.2">
      <c r="A125" s="26"/>
      <c r="B125" s="139">
        <f ca="1">IFERROR(__xludf.DUMMYFUNCTION("""COMPUTED_VALUE"""),46007.6666666666)</f>
        <v>46007.666666666599</v>
      </c>
      <c r="C125" s="141">
        <f ca="1">IFERROR(__xludf.DUMMYFUNCTION("""COMPUTED_VALUE"""),91.61)</f>
        <v>91.61</v>
      </c>
      <c r="D125" s="141">
        <f ca="1">IFERROR(__xludf.DUMMYFUNCTION("""COMPUTED_VALUE"""),91.62)</f>
        <v>91.62</v>
      </c>
      <c r="E125" s="141">
        <f ca="1">IFERROR(__xludf.DUMMYFUNCTION("""COMPUTED_VALUE"""),91.61)</f>
        <v>91.61</v>
      </c>
      <c r="F125" s="141">
        <f ca="1">IFERROR(__xludf.DUMMYFUNCTION("""COMPUTED_VALUE"""),91.61)</f>
        <v>91.61</v>
      </c>
      <c r="G125" s="143">
        <f ca="1">IFERROR(__xludf.DUMMYFUNCTION("""COMPUTED_VALUE"""),7212176)</f>
        <v>7212176</v>
      </c>
      <c r="H125" s="26"/>
    </row>
    <row r="126" spans="1:8" ht="17.25" customHeight="1" x14ac:dyDescent="0.2">
      <c r="A126" s="26"/>
      <c r="B126" s="139">
        <f ca="1">IFERROR(__xludf.DUMMYFUNCTION("""COMPUTED_VALUE"""),46008.6666666666)</f>
        <v>46008.666666666599</v>
      </c>
      <c r="C126" s="141">
        <f ca="1">IFERROR(__xludf.DUMMYFUNCTION("""COMPUTED_VALUE"""),91.62)</f>
        <v>91.62</v>
      </c>
      <c r="D126" s="141">
        <f ca="1">IFERROR(__xludf.DUMMYFUNCTION("""COMPUTED_VALUE"""),91.63)</f>
        <v>91.63</v>
      </c>
      <c r="E126" s="141">
        <f ca="1">IFERROR(__xludf.DUMMYFUNCTION("""COMPUTED_VALUE"""),91.62)</f>
        <v>91.62</v>
      </c>
      <c r="F126" s="141">
        <f ca="1">IFERROR(__xludf.DUMMYFUNCTION("""COMPUTED_VALUE"""),91.62)</f>
        <v>91.62</v>
      </c>
      <c r="G126" s="143">
        <f ca="1">IFERROR(__xludf.DUMMYFUNCTION("""COMPUTED_VALUE"""),9641151)</f>
        <v>9641151</v>
      </c>
      <c r="H126" s="26"/>
    </row>
    <row r="127" spans="1:8" ht="17.25" customHeight="1" x14ac:dyDescent="0.2">
      <c r="A127" s="26"/>
      <c r="B127" s="139">
        <f ca="1">IFERROR(__xludf.DUMMYFUNCTION("""COMPUTED_VALUE"""),46009.6666666666)</f>
        <v>46009.666666666599</v>
      </c>
      <c r="C127" s="141">
        <f ca="1">IFERROR(__xludf.DUMMYFUNCTION("""COMPUTED_VALUE"""),91.27)</f>
        <v>91.27</v>
      </c>
      <c r="D127" s="141">
        <f ca="1">IFERROR(__xludf.DUMMYFUNCTION("""COMPUTED_VALUE"""),91.27)</f>
        <v>91.27</v>
      </c>
      <c r="E127" s="141">
        <f ca="1">IFERROR(__xludf.DUMMYFUNCTION("""COMPUTED_VALUE"""),91.26)</f>
        <v>91.26</v>
      </c>
      <c r="F127" s="141">
        <f ca="1">IFERROR(__xludf.DUMMYFUNCTION("""COMPUTED_VALUE"""),91.27)</f>
        <v>91.27</v>
      </c>
      <c r="G127" s="143">
        <f ca="1">IFERROR(__xludf.DUMMYFUNCTION("""COMPUTED_VALUE"""),10277304)</f>
        <v>10277304</v>
      </c>
      <c r="H127" s="26"/>
    </row>
    <row r="128" spans="1:8" ht="17.25" customHeight="1" x14ac:dyDescent="0.2">
      <c r="A128" s="26"/>
      <c r="B128" s="139">
        <f ca="1">IFERROR(__xludf.DUMMYFUNCTION("""COMPUTED_VALUE"""),46010.6666666666)</f>
        <v>46010.666666666599</v>
      </c>
      <c r="C128" s="141">
        <f ca="1">IFERROR(__xludf.DUMMYFUNCTION("""COMPUTED_VALUE"""),91.29)</f>
        <v>91.29</v>
      </c>
      <c r="D128" s="141">
        <f ca="1">IFERROR(__xludf.DUMMYFUNCTION("""COMPUTED_VALUE"""),91.3)</f>
        <v>91.3</v>
      </c>
      <c r="E128" s="141">
        <f ca="1">IFERROR(__xludf.DUMMYFUNCTION("""COMPUTED_VALUE"""),91.29)</f>
        <v>91.29</v>
      </c>
      <c r="F128" s="141">
        <f ca="1">IFERROR(__xludf.DUMMYFUNCTION("""COMPUTED_VALUE"""),91.3)</f>
        <v>91.3</v>
      </c>
      <c r="G128" s="143">
        <f ca="1">IFERROR(__xludf.DUMMYFUNCTION("""COMPUTED_VALUE"""),7581829)</f>
        <v>7581829</v>
      </c>
      <c r="H128" s="26"/>
    </row>
    <row r="129" spans="1:8" ht="17.25" customHeight="1" x14ac:dyDescent="0.2">
      <c r="A129" s="26"/>
      <c r="B129" s="139">
        <f ca="1">IFERROR(__xludf.DUMMYFUNCTION("""COMPUTED_VALUE"""),46013.6666666666)</f>
        <v>46013.666666666599</v>
      </c>
      <c r="C129" s="141">
        <f ca="1">IFERROR(__xludf.DUMMYFUNCTION("""COMPUTED_VALUE"""),91.3)</f>
        <v>91.3</v>
      </c>
      <c r="D129" s="141">
        <f ca="1">IFERROR(__xludf.DUMMYFUNCTION("""COMPUTED_VALUE"""),91.31)</f>
        <v>91.31</v>
      </c>
      <c r="E129" s="141">
        <f ca="1">IFERROR(__xludf.DUMMYFUNCTION("""COMPUTED_VALUE"""),91.3)</f>
        <v>91.3</v>
      </c>
      <c r="F129" s="141">
        <f ca="1">IFERROR(__xludf.DUMMYFUNCTION("""COMPUTED_VALUE"""),91.3)</f>
        <v>91.3</v>
      </c>
      <c r="G129" s="143">
        <f ca="1">IFERROR(__xludf.DUMMYFUNCTION("""COMPUTED_VALUE"""),11026869)</f>
        <v>11026869</v>
      </c>
      <c r="H129" s="26"/>
    </row>
    <row r="130" spans="1:8" ht="17.25" customHeight="1" x14ac:dyDescent="0.2">
      <c r="A130" s="26"/>
      <c r="B130" s="139">
        <f ca="1">IFERROR(__xludf.DUMMYFUNCTION("""COMPUTED_VALUE"""),46014.6666666666)</f>
        <v>46014.666666666599</v>
      </c>
      <c r="C130" s="141">
        <f ca="1">IFERROR(__xludf.DUMMYFUNCTION("""COMPUTED_VALUE"""),91.31)</f>
        <v>91.31</v>
      </c>
      <c r="D130" s="141">
        <f ca="1">IFERROR(__xludf.DUMMYFUNCTION("""COMPUTED_VALUE"""),91.31)</f>
        <v>91.31</v>
      </c>
      <c r="E130" s="141">
        <f ca="1">IFERROR(__xludf.DUMMYFUNCTION("""COMPUTED_VALUE"""),91.3)</f>
        <v>91.3</v>
      </c>
      <c r="F130" s="141">
        <f ca="1">IFERROR(__xludf.DUMMYFUNCTION("""COMPUTED_VALUE"""),91.3)</f>
        <v>91.3</v>
      </c>
      <c r="G130" s="143">
        <f ca="1">IFERROR(__xludf.DUMMYFUNCTION("""COMPUTED_VALUE"""),7111246)</f>
        <v>7111246</v>
      </c>
      <c r="H130" s="26"/>
    </row>
    <row r="131" spans="1:8" ht="17.25" customHeight="1" x14ac:dyDescent="0.2">
      <c r="A131" s="26"/>
      <c r="B131" s="139">
        <f ca="1">IFERROR(__xludf.DUMMYFUNCTION("""COMPUTED_VALUE"""),46015.5416666666)</f>
        <v>46015.541666666599</v>
      </c>
      <c r="C131" s="141">
        <f ca="1">IFERROR(__xludf.DUMMYFUNCTION("""COMPUTED_VALUE"""),91.33)</f>
        <v>91.33</v>
      </c>
      <c r="D131" s="141">
        <f ca="1">IFERROR(__xludf.DUMMYFUNCTION("""COMPUTED_VALUE"""),91.33)</f>
        <v>91.33</v>
      </c>
      <c r="E131" s="141">
        <f ca="1">IFERROR(__xludf.DUMMYFUNCTION("""COMPUTED_VALUE"""),91.32)</f>
        <v>91.32</v>
      </c>
      <c r="F131" s="141">
        <f ca="1">IFERROR(__xludf.DUMMYFUNCTION("""COMPUTED_VALUE"""),91.33)</f>
        <v>91.33</v>
      </c>
      <c r="G131" s="143">
        <f ca="1">IFERROR(__xludf.DUMMYFUNCTION("""COMPUTED_VALUE"""),5073527)</f>
        <v>5073527</v>
      </c>
      <c r="H131" s="26"/>
    </row>
    <row r="132" spans="1:8" ht="17.25" customHeight="1" x14ac:dyDescent="0.2">
      <c r="A132" s="26"/>
      <c r="B132" s="139">
        <f ca="1">IFERROR(__xludf.DUMMYFUNCTION("""COMPUTED_VALUE"""),46017.6666666666)</f>
        <v>46017.666666666599</v>
      </c>
      <c r="C132" s="141">
        <f ca="1">IFERROR(__xludf.DUMMYFUNCTION("""COMPUTED_VALUE"""),91.35)</f>
        <v>91.35</v>
      </c>
      <c r="D132" s="141">
        <f ca="1">IFERROR(__xludf.DUMMYFUNCTION("""COMPUTED_VALUE"""),91.36)</f>
        <v>91.36</v>
      </c>
      <c r="E132" s="141">
        <f ca="1">IFERROR(__xludf.DUMMYFUNCTION("""COMPUTED_VALUE"""),91.35)</f>
        <v>91.35</v>
      </c>
      <c r="F132" s="141">
        <f ca="1">IFERROR(__xludf.DUMMYFUNCTION("""COMPUTED_VALUE"""),91.36)</f>
        <v>91.36</v>
      </c>
      <c r="G132" s="143">
        <f ca="1">IFERROR(__xludf.DUMMYFUNCTION("""COMPUTED_VALUE"""),5588851)</f>
        <v>5588851</v>
      </c>
      <c r="H132" s="26"/>
    </row>
    <row r="133" spans="1:8" ht="17.25" customHeight="1" x14ac:dyDescent="0.2">
      <c r="A133" s="26"/>
      <c r="B133" s="139">
        <f ca="1">IFERROR(__xludf.DUMMYFUNCTION("""COMPUTED_VALUE"""),46020.6666666666)</f>
        <v>46020.666666666599</v>
      </c>
      <c r="C133" s="141">
        <f ca="1">IFERROR(__xludf.DUMMYFUNCTION("""COMPUTED_VALUE"""),91.36)</f>
        <v>91.36</v>
      </c>
      <c r="D133" s="141">
        <f ca="1">IFERROR(__xludf.DUMMYFUNCTION("""COMPUTED_VALUE"""),91.37)</f>
        <v>91.37</v>
      </c>
      <c r="E133" s="141">
        <f ca="1">IFERROR(__xludf.DUMMYFUNCTION("""COMPUTED_VALUE"""),91.36)</f>
        <v>91.36</v>
      </c>
      <c r="F133" s="141">
        <f ca="1">IFERROR(__xludf.DUMMYFUNCTION("""COMPUTED_VALUE"""),91.36)</f>
        <v>91.36</v>
      </c>
      <c r="G133" s="143">
        <f ca="1">IFERROR(__xludf.DUMMYFUNCTION("""COMPUTED_VALUE"""),7988908)</f>
        <v>7988908</v>
      </c>
      <c r="H133" s="26"/>
    </row>
    <row r="134" spans="1:8" ht="17.25" customHeight="1" x14ac:dyDescent="0.2">
      <c r="A134" s="26"/>
      <c r="B134" s="139">
        <f ca="1">IFERROR(__xludf.DUMMYFUNCTION("""COMPUTED_VALUE"""),46021.6666666666)</f>
        <v>46021.666666666599</v>
      </c>
      <c r="C134" s="141">
        <f ca="1">IFERROR(__xludf.DUMMYFUNCTION("""COMPUTED_VALUE"""),91.37)</f>
        <v>91.37</v>
      </c>
      <c r="D134" s="141">
        <f ca="1">IFERROR(__xludf.DUMMYFUNCTION("""COMPUTED_VALUE"""),91.38)</f>
        <v>91.38</v>
      </c>
      <c r="E134" s="141">
        <f ca="1">IFERROR(__xludf.DUMMYFUNCTION("""COMPUTED_VALUE"""),91.37)</f>
        <v>91.37</v>
      </c>
      <c r="F134" s="141">
        <f ca="1">IFERROR(__xludf.DUMMYFUNCTION("""COMPUTED_VALUE"""),91.37)</f>
        <v>91.37</v>
      </c>
      <c r="G134" s="143">
        <f ca="1">IFERROR(__xludf.DUMMYFUNCTION("""COMPUTED_VALUE"""),7852902)</f>
        <v>7852902</v>
      </c>
      <c r="H134" s="26"/>
    </row>
    <row r="135" spans="1:8" ht="17.25" customHeight="1" x14ac:dyDescent="0.2">
      <c r="A135" s="26"/>
      <c r="B135" s="139">
        <f ca="1">IFERROR(__xludf.DUMMYFUNCTION("""COMPUTED_VALUE"""),46022.6666666666)</f>
        <v>46022.666666666599</v>
      </c>
      <c r="C135" s="141">
        <f ca="1">IFERROR(__xludf.DUMMYFUNCTION("""COMPUTED_VALUE"""),91.39)</f>
        <v>91.39</v>
      </c>
      <c r="D135" s="141">
        <f ca="1">IFERROR(__xludf.DUMMYFUNCTION("""COMPUTED_VALUE"""),91.39)</f>
        <v>91.39</v>
      </c>
      <c r="E135" s="141">
        <f ca="1">IFERROR(__xludf.DUMMYFUNCTION("""COMPUTED_VALUE"""),91.38)</f>
        <v>91.38</v>
      </c>
      <c r="F135" s="141">
        <f ca="1">IFERROR(__xludf.DUMMYFUNCTION("""COMPUTED_VALUE"""),91.38)</f>
        <v>91.38</v>
      </c>
      <c r="G135" s="143">
        <f ca="1">IFERROR(__xludf.DUMMYFUNCTION("""COMPUTED_VALUE"""),11225947)</f>
        <v>11225947</v>
      </c>
      <c r="H135" s="26"/>
    </row>
    <row r="136" spans="1:8" ht="17.25" customHeight="1" x14ac:dyDescent="0.2">
      <c r="A136" s="26"/>
      <c r="B136" s="139">
        <f ca="1">IFERROR(__xludf.DUMMYFUNCTION("""COMPUTED_VALUE"""),46024.6666666666)</f>
        <v>46024.666666666599</v>
      </c>
      <c r="C136" s="141">
        <f ca="1">IFERROR(__xludf.DUMMYFUNCTION("""COMPUTED_VALUE"""),91.42)</f>
        <v>91.42</v>
      </c>
      <c r="D136" s="141">
        <f ca="1">IFERROR(__xludf.DUMMYFUNCTION("""COMPUTED_VALUE"""),91.42)</f>
        <v>91.42</v>
      </c>
      <c r="E136" s="141">
        <f ca="1">IFERROR(__xludf.DUMMYFUNCTION("""COMPUTED_VALUE"""),91.41)</f>
        <v>91.41</v>
      </c>
      <c r="F136" s="141">
        <f ca="1">IFERROR(__xludf.DUMMYFUNCTION("""COMPUTED_VALUE"""),91.42)</f>
        <v>91.42</v>
      </c>
      <c r="G136" s="143">
        <f ca="1">IFERROR(__xludf.DUMMYFUNCTION("""COMPUTED_VALUE"""),8517884)</f>
        <v>8517884</v>
      </c>
      <c r="H136" s="26"/>
    </row>
    <row r="137" spans="1:8" ht="17.25" customHeight="1" x14ac:dyDescent="0.2">
      <c r="A137" s="26"/>
      <c r="B137" s="139">
        <f ca="1">IFERROR(__xludf.DUMMYFUNCTION("""COMPUTED_VALUE"""),46027.6666666666)</f>
        <v>46027.666666666599</v>
      </c>
      <c r="C137" s="141">
        <f ca="1">IFERROR(__xludf.DUMMYFUNCTION("""COMPUTED_VALUE"""),91.42)</f>
        <v>91.42</v>
      </c>
      <c r="D137" s="141">
        <f ca="1">IFERROR(__xludf.DUMMYFUNCTION("""COMPUTED_VALUE"""),91.43)</f>
        <v>91.43</v>
      </c>
      <c r="E137" s="141">
        <f ca="1">IFERROR(__xludf.DUMMYFUNCTION("""COMPUTED_VALUE"""),91.42)</f>
        <v>91.42</v>
      </c>
      <c r="F137" s="141">
        <f ca="1">IFERROR(__xludf.DUMMYFUNCTION("""COMPUTED_VALUE"""),91.42)</f>
        <v>91.42</v>
      </c>
      <c r="G137" s="143">
        <f ca="1">IFERROR(__xludf.DUMMYFUNCTION("""COMPUTED_VALUE"""),11770220)</f>
        <v>11770220</v>
      </c>
      <c r="H137" s="26"/>
    </row>
    <row r="138" spans="1:8" ht="17.25" customHeight="1" x14ac:dyDescent="0.2">
      <c r="A138" s="26"/>
      <c r="B138" s="139">
        <f ca="1">IFERROR(__xludf.DUMMYFUNCTION("""COMPUTED_VALUE"""),46028.6666666666)</f>
        <v>46028.666666666599</v>
      </c>
      <c r="C138" s="141">
        <f ca="1">IFERROR(__xludf.DUMMYFUNCTION("""COMPUTED_VALUE"""),91.43)</f>
        <v>91.43</v>
      </c>
      <c r="D138" s="141">
        <f ca="1">IFERROR(__xludf.DUMMYFUNCTION("""COMPUTED_VALUE"""),91.44)</f>
        <v>91.44</v>
      </c>
      <c r="E138" s="141">
        <f ca="1">IFERROR(__xludf.DUMMYFUNCTION("""COMPUTED_VALUE"""),91.43)</f>
        <v>91.43</v>
      </c>
      <c r="F138" s="141">
        <f ca="1">IFERROR(__xludf.DUMMYFUNCTION("""COMPUTED_VALUE"""),91.43)</f>
        <v>91.43</v>
      </c>
      <c r="G138" s="143">
        <f ca="1">IFERROR(__xludf.DUMMYFUNCTION("""COMPUTED_VALUE"""),9135810)</f>
        <v>9135810</v>
      </c>
      <c r="H138" s="26"/>
    </row>
    <row r="139" spans="1:8" ht="17.25" customHeight="1" x14ac:dyDescent="0.2">
      <c r="A139" s="26"/>
      <c r="B139" s="139">
        <f ca="1">IFERROR(__xludf.DUMMYFUNCTION("""COMPUTED_VALUE"""),46029.6666666666)</f>
        <v>46029.666666666599</v>
      </c>
      <c r="C139" s="141">
        <f ca="1">IFERROR(__xludf.DUMMYFUNCTION("""COMPUTED_VALUE"""),91.44)</f>
        <v>91.44</v>
      </c>
      <c r="D139" s="141">
        <f ca="1">IFERROR(__xludf.DUMMYFUNCTION("""COMPUTED_VALUE"""),91.45)</f>
        <v>91.45</v>
      </c>
      <c r="E139" s="141">
        <f ca="1">IFERROR(__xludf.DUMMYFUNCTION("""COMPUTED_VALUE"""),91.44)</f>
        <v>91.44</v>
      </c>
      <c r="F139" s="141">
        <f ca="1">IFERROR(__xludf.DUMMYFUNCTION("""COMPUTED_VALUE"""),91.45)</f>
        <v>91.45</v>
      </c>
      <c r="G139" s="143">
        <f ca="1">IFERROR(__xludf.DUMMYFUNCTION("""COMPUTED_VALUE"""),8767154)</f>
        <v>8767154</v>
      </c>
      <c r="H139" s="26"/>
    </row>
    <row r="140" spans="1:8" ht="17.25" customHeight="1" x14ac:dyDescent="0.2">
      <c r="A140" s="26"/>
      <c r="B140" s="139">
        <f ca="1">IFERROR(__xludf.DUMMYFUNCTION("""COMPUTED_VALUE"""),46030.6666666666)</f>
        <v>46030.666666666599</v>
      </c>
      <c r="C140" s="141">
        <f ca="1">IFERROR(__xludf.DUMMYFUNCTION("""COMPUTED_VALUE"""),91.45)</f>
        <v>91.45</v>
      </c>
      <c r="D140" s="141">
        <f ca="1">IFERROR(__xludf.DUMMYFUNCTION("""COMPUTED_VALUE"""),91.45)</f>
        <v>91.45</v>
      </c>
      <c r="E140" s="141">
        <f ca="1">IFERROR(__xludf.DUMMYFUNCTION("""COMPUTED_VALUE"""),91.45)</f>
        <v>91.45</v>
      </c>
      <c r="F140" s="141">
        <f ca="1">IFERROR(__xludf.DUMMYFUNCTION("""COMPUTED_VALUE"""),91.45)</f>
        <v>91.45</v>
      </c>
      <c r="G140" s="143">
        <f ca="1">IFERROR(__xludf.DUMMYFUNCTION("""COMPUTED_VALUE"""),7116528)</f>
        <v>7116528</v>
      </c>
      <c r="H140" s="26"/>
    </row>
    <row r="141" spans="1:8" ht="17.25" customHeight="1" x14ac:dyDescent="0.2">
      <c r="A141" s="26"/>
      <c r="B141" s="139">
        <f ca="1">IFERROR(__xludf.DUMMYFUNCTION("""COMPUTED_VALUE"""),46031.6666666666)</f>
        <v>46031.666666666599</v>
      </c>
      <c r="C141" s="141">
        <f ca="1">IFERROR(__xludf.DUMMYFUNCTION("""COMPUTED_VALUE"""),91.47)</f>
        <v>91.47</v>
      </c>
      <c r="D141" s="141">
        <f ca="1">IFERROR(__xludf.DUMMYFUNCTION("""COMPUTED_VALUE"""),91.48)</f>
        <v>91.48</v>
      </c>
      <c r="E141" s="141">
        <f ca="1">IFERROR(__xludf.DUMMYFUNCTION("""COMPUTED_VALUE"""),91.47)</f>
        <v>91.47</v>
      </c>
      <c r="F141" s="141">
        <f ca="1">IFERROR(__xludf.DUMMYFUNCTION("""COMPUTED_VALUE"""),91.47)</f>
        <v>91.47</v>
      </c>
      <c r="G141" s="143">
        <f ca="1">IFERROR(__xludf.DUMMYFUNCTION("""COMPUTED_VALUE"""),7776620)</f>
        <v>7776620</v>
      </c>
      <c r="H141" s="26"/>
    </row>
    <row r="142" spans="1:8" ht="17.25" customHeight="1" x14ac:dyDescent="0.2">
      <c r="A142" s="26"/>
      <c r="B142" s="139">
        <f ca="1">IFERROR(__xludf.DUMMYFUNCTION("""COMPUTED_VALUE"""),46034.6666666666)</f>
        <v>46034.666666666599</v>
      </c>
      <c r="C142" s="141">
        <f ca="1">IFERROR(__xludf.DUMMYFUNCTION("""COMPUTED_VALUE"""),91.48)</f>
        <v>91.48</v>
      </c>
      <c r="D142" s="141">
        <f ca="1">IFERROR(__xludf.DUMMYFUNCTION("""COMPUTED_VALUE"""),91.49)</f>
        <v>91.49</v>
      </c>
      <c r="E142" s="141">
        <f ca="1">IFERROR(__xludf.DUMMYFUNCTION("""COMPUTED_VALUE"""),91.48)</f>
        <v>91.48</v>
      </c>
      <c r="F142" s="141">
        <f ca="1">IFERROR(__xludf.DUMMYFUNCTION("""COMPUTED_VALUE"""),91.48)</f>
        <v>91.48</v>
      </c>
      <c r="G142" s="143">
        <f ca="1">IFERROR(__xludf.DUMMYFUNCTION("""COMPUTED_VALUE"""),6189724)</f>
        <v>6189724</v>
      </c>
      <c r="H142" s="26"/>
    </row>
    <row r="143" spans="1:8" ht="17.25" customHeight="1" x14ac:dyDescent="0.2">
      <c r="A143" s="26"/>
      <c r="B143" s="139">
        <f ca="1">IFERROR(__xludf.DUMMYFUNCTION("""COMPUTED_VALUE"""),46035.6666666666)</f>
        <v>46035.666666666599</v>
      </c>
      <c r="C143" s="141">
        <f ca="1">IFERROR(__xludf.DUMMYFUNCTION("""COMPUTED_VALUE"""),91.49)</f>
        <v>91.49</v>
      </c>
      <c r="D143" s="141">
        <f ca="1">IFERROR(__xludf.DUMMYFUNCTION("""COMPUTED_VALUE"""),91.5)</f>
        <v>91.5</v>
      </c>
      <c r="E143" s="141">
        <f ca="1">IFERROR(__xludf.DUMMYFUNCTION("""COMPUTED_VALUE"""),91.49)</f>
        <v>91.49</v>
      </c>
      <c r="F143" s="141">
        <f ca="1">IFERROR(__xludf.DUMMYFUNCTION("""COMPUTED_VALUE"""),91.49)</f>
        <v>91.49</v>
      </c>
      <c r="G143" s="143">
        <f ca="1">IFERROR(__xludf.DUMMYFUNCTION("""COMPUTED_VALUE"""),7777437)</f>
        <v>7777437</v>
      </c>
      <c r="H143" s="26"/>
    </row>
    <row r="144" spans="1:8" ht="17.25" customHeight="1" x14ac:dyDescent="0.2">
      <c r="A144" s="26"/>
      <c r="B144" s="139">
        <f ca="1">IFERROR(__xludf.DUMMYFUNCTION("""COMPUTED_VALUE"""),46036.6666666666)</f>
        <v>46036.666666666599</v>
      </c>
      <c r="C144" s="141">
        <f ca="1">IFERROR(__xludf.DUMMYFUNCTION("""COMPUTED_VALUE"""),91.5)</f>
        <v>91.5</v>
      </c>
      <c r="D144" s="141">
        <f ca="1">IFERROR(__xludf.DUMMYFUNCTION("""COMPUTED_VALUE"""),91.5)</f>
        <v>91.5</v>
      </c>
      <c r="E144" s="141">
        <f ca="1">IFERROR(__xludf.DUMMYFUNCTION("""COMPUTED_VALUE"""),91.49)</f>
        <v>91.49</v>
      </c>
      <c r="F144" s="141">
        <f ca="1">IFERROR(__xludf.DUMMYFUNCTION("""COMPUTED_VALUE"""),91.5)</f>
        <v>91.5</v>
      </c>
      <c r="G144" s="143">
        <f ca="1">IFERROR(__xludf.DUMMYFUNCTION("""COMPUTED_VALUE"""),8005885)</f>
        <v>8005885</v>
      </c>
      <c r="H144" s="26"/>
    </row>
    <row r="145" spans="1:8" ht="17.25" customHeight="1" x14ac:dyDescent="0.2">
      <c r="A145" s="26"/>
      <c r="B145" s="139">
        <f ca="1">IFERROR(__xludf.DUMMYFUNCTION("""COMPUTED_VALUE"""),46037.6666666666)</f>
        <v>46037.666666666599</v>
      </c>
      <c r="C145" s="141">
        <f ca="1">IFERROR(__xludf.DUMMYFUNCTION("""COMPUTED_VALUE"""),91.51)</f>
        <v>91.51</v>
      </c>
      <c r="D145" s="141">
        <f ca="1">IFERROR(__xludf.DUMMYFUNCTION("""COMPUTED_VALUE"""),91.51)</f>
        <v>91.51</v>
      </c>
      <c r="E145" s="141">
        <f ca="1">IFERROR(__xludf.DUMMYFUNCTION("""COMPUTED_VALUE"""),91.5)</f>
        <v>91.5</v>
      </c>
      <c r="F145" s="141">
        <f ca="1">IFERROR(__xludf.DUMMYFUNCTION("""COMPUTED_VALUE"""),91.5)</f>
        <v>91.5</v>
      </c>
      <c r="G145" s="143">
        <f ca="1">IFERROR(__xludf.DUMMYFUNCTION("""COMPUTED_VALUE"""),8938430)</f>
        <v>8938430</v>
      </c>
      <c r="H145" s="26"/>
    </row>
    <row r="146" spans="1:8" ht="17.25" customHeight="1" x14ac:dyDescent="0.2">
      <c r="A146" s="26"/>
      <c r="B146" s="139">
        <f ca="1">IFERROR(__xludf.DUMMYFUNCTION("""COMPUTED_VALUE"""),46038.6666666666)</f>
        <v>46038.666666666599</v>
      </c>
      <c r="C146" s="141">
        <f ca="1">IFERROR(__xludf.DUMMYFUNCTION("""COMPUTED_VALUE"""),91.54)</f>
        <v>91.54</v>
      </c>
      <c r="D146" s="141">
        <f ca="1">IFERROR(__xludf.DUMMYFUNCTION("""COMPUTED_VALUE"""),91.54)</f>
        <v>91.54</v>
      </c>
      <c r="E146" s="141">
        <f ca="1">IFERROR(__xludf.DUMMYFUNCTION("""COMPUTED_VALUE"""),91.54)</f>
        <v>91.54</v>
      </c>
      <c r="F146" s="141">
        <f ca="1">IFERROR(__xludf.DUMMYFUNCTION("""COMPUTED_VALUE"""),91.54)</f>
        <v>91.54</v>
      </c>
      <c r="G146" s="143">
        <f ca="1">IFERROR(__xludf.DUMMYFUNCTION("""COMPUTED_VALUE"""),7648170)</f>
        <v>7648170</v>
      </c>
      <c r="H146" s="26"/>
    </row>
    <row r="147" spans="1:8" ht="17.25" customHeight="1" x14ac:dyDescent="0.2">
      <c r="A147" s="26"/>
      <c r="B147" s="139">
        <f ca="1">IFERROR(__xludf.DUMMYFUNCTION("""COMPUTED_VALUE"""),46042.6666666666)</f>
        <v>46042.666666666599</v>
      </c>
      <c r="C147" s="141">
        <f ca="1">IFERROR(__xludf.DUMMYFUNCTION("""COMPUTED_VALUE"""),91.55)</f>
        <v>91.55</v>
      </c>
      <c r="D147" s="141">
        <f ca="1">IFERROR(__xludf.DUMMYFUNCTION("""COMPUTED_VALUE"""),91.56)</f>
        <v>91.56</v>
      </c>
      <c r="E147" s="141">
        <f ca="1">IFERROR(__xludf.DUMMYFUNCTION("""COMPUTED_VALUE"""),91.54)</f>
        <v>91.54</v>
      </c>
      <c r="F147" s="141">
        <f ca="1">IFERROR(__xludf.DUMMYFUNCTION("""COMPUTED_VALUE"""),91.54)</f>
        <v>91.54</v>
      </c>
      <c r="G147" s="143">
        <f ca="1">IFERROR(__xludf.DUMMYFUNCTION("""COMPUTED_VALUE"""),9335066)</f>
        <v>9335066</v>
      </c>
      <c r="H147" s="26"/>
    </row>
    <row r="148" spans="1:8" ht="17.25" customHeight="1" x14ac:dyDescent="0.2">
      <c r="A148" s="26"/>
      <c r="B148" s="139">
        <f ca="1">IFERROR(__xludf.DUMMYFUNCTION("""COMPUTED_VALUE"""),46043.6666666666)</f>
        <v>46043.666666666599</v>
      </c>
      <c r="C148" s="141">
        <f ca="1">IFERROR(__xludf.DUMMYFUNCTION("""COMPUTED_VALUE"""),91.56)</f>
        <v>91.56</v>
      </c>
      <c r="D148" s="141">
        <f ca="1">IFERROR(__xludf.DUMMYFUNCTION("""COMPUTED_VALUE"""),91.56)</f>
        <v>91.56</v>
      </c>
      <c r="E148" s="141">
        <f ca="1">IFERROR(__xludf.DUMMYFUNCTION("""COMPUTED_VALUE"""),91.55)</f>
        <v>91.55</v>
      </c>
      <c r="F148" s="141">
        <f ca="1">IFERROR(__xludf.DUMMYFUNCTION("""COMPUTED_VALUE"""),91.55)</f>
        <v>91.55</v>
      </c>
      <c r="G148" s="143">
        <f ca="1">IFERROR(__xludf.DUMMYFUNCTION("""COMPUTED_VALUE"""),8153822)</f>
        <v>8153822</v>
      </c>
      <c r="H148" s="26"/>
    </row>
    <row r="149" spans="1:8" ht="17.25" customHeight="1" x14ac:dyDescent="0.2">
      <c r="A149" s="26"/>
      <c r="B149" s="139">
        <f ca="1">IFERROR(__xludf.DUMMYFUNCTION("""COMPUTED_VALUE"""),46044.6666666666)</f>
        <v>46044.666666666599</v>
      </c>
      <c r="C149" s="141">
        <f ca="1">IFERROR(__xludf.DUMMYFUNCTION("""COMPUTED_VALUE"""),91.57)</f>
        <v>91.57</v>
      </c>
      <c r="D149" s="141">
        <f ca="1">IFERROR(__xludf.DUMMYFUNCTION("""COMPUTED_VALUE"""),91.57)</f>
        <v>91.57</v>
      </c>
      <c r="E149" s="141">
        <f ca="1">IFERROR(__xludf.DUMMYFUNCTION("""COMPUTED_VALUE"""),91.56)</f>
        <v>91.56</v>
      </c>
      <c r="F149" s="141">
        <f ca="1">IFERROR(__xludf.DUMMYFUNCTION("""COMPUTED_VALUE"""),91.56)</f>
        <v>91.56</v>
      </c>
      <c r="G149" s="143">
        <f ca="1">IFERROR(__xludf.DUMMYFUNCTION("""COMPUTED_VALUE"""),7679160)</f>
        <v>7679160</v>
      </c>
      <c r="H149" s="26"/>
    </row>
    <row r="150" spans="1:8" ht="17.25" customHeight="1" x14ac:dyDescent="0.2">
      <c r="A150" s="26"/>
      <c r="B150" s="139">
        <f ca="1">IFERROR(__xludf.DUMMYFUNCTION("""COMPUTED_VALUE"""),46045.6666666666)</f>
        <v>46045.666666666599</v>
      </c>
      <c r="C150" s="141">
        <f ca="1">IFERROR(__xludf.DUMMYFUNCTION("""COMPUTED_VALUE"""),91.59)</f>
        <v>91.59</v>
      </c>
      <c r="D150" s="141">
        <f ca="1">IFERROR(__xludf.DUMMYFUNCTION("""COMPUTED_VALUE"""),91.6)</f>
        <v>91.6</v>
      </c>
      <c r="E150" s="141">
        <f ca="1">IFERROR(__xludf.DUMMYFUNCTION("""COMPUTED_VALUE"""),91.59)</f>
        <v>91.59</v>
      </c>
      <c r="F150" s="141">
        <f ca="1">IFERROR(__xludf.DUMMYFUNCTION("""COMPUTED_VALUE"""),91.59)</f>
        <v>91.59</v>
      </c>
      <c r="G150" s="143">
        <f ca="1">IFERROR(__xludf.DUMMYFUNCTION("""COMPUTED_VALUE"""),8147658)</f>
        <v>8147658</v>
      </c>
      <c r="H150" s="26"/>
    </row>
    <row r="151" spans="1:8" ht="17.25" customHeight="1" x14ac:dyDescent="0.2">
      <c r="A151" s="26"/>
      <c r="B151" s="139">
        <f ca="1">IFERROR(__xludf.DUMMYFUNCTION("""COMPUTED_VALUE"""),46048.6666666666)</f>
        <v>46048.666666666599</v>
      </c>
      <c r="C151" s="141">
        <f ca="1">IFERROR(__xludf.DUMMYFUNCTION("""COMPUTED_VALUE"""),91.6)</f>
        <v>91.6</v>
      </c>
      <c r="D151" s="141">
        <f ca="1">IFERROR(__xludf.DUMMYFUNCTION("""COMPUTED_VALUE"""),91.61)</f>
        <v>91.61</v>
      </c>
      <c r="E151" s="141">
        <f ca="1">IFERROR(__xludf.DUMMYFUNCTION("""COMPUTED_VALUE"""),91.59)</f>
        <v>91.59</v>
      </c>
      <c r="F151" s="141">
        <f ca="1">IFERROR(__xludf.DUMMYFUNCTION("""COMPUTED_VALUE"""),91.59)</f>
        <v>91.59</v>
      </c>
      <c r="G151" s="143">
        <f ca="1">IFERROR(__xludf.DUMMYFUNCTION("""COMPUTED_VALUE"""),10052839)</f>
        <v>10052839</v>
      </c>
      <c r="H151" s="26"/>
    </row>
    <row r="152" spans="1:8" ht="17.25" customHeight="1" x14ac:dyDescent="0.2">
      <c r="A152" s="26"/>
      <c r="B152" s="139">
        <f ca="1">IFERROR(__xludf.DUMMYFUNCTION("""COMPUTED_VALUE"""),46049.6666666666)</f>
        <v>46049.666666666599</v>
      </c>
      <c r="C152" s="141">
        <f ca="1">IFERROR(__xludf.DUMMYFUNCTION("""COMPUTED_VALUE"""),91.6)</f>
        <v>91.6</v>
      </c>
      <c r="D152" s="141">
        <f ca="1">IFERROR(__xludf.DUMMYFUNCTION("""COMPUTED_VALUE"""),91.61)</f>
        <v>91.61</v>
      </c>
      <c r="E152" s="141">
        <f ca="1">IFERROR(__xludf.DUMMYFUNCTION("""COMPUTED_VALUE"""),91.6)</f>
        <v>91.6</v>
      </c>
      <c r="F152" s="141">
        <f ca="1">IFERROR(__xludf.DUMMYFUNCTION("""COMPUTED_VALUE"""),91.6)</f>
        <v>91.6</v>
      </c>
      <c r="G152" s="143">
        <f ca="1">IFERROR(__xludf.DUMMYFUNCTION("""COMPUTED_VALUE"""),8178351)</f>
        <v>8178351</v>
      </c>
      <c r="H152" s="26"/>
    </row>
    <row r="153" spans="1:8" ht="17.25" customHeight="1" x14ac:dyDescent="0.2">
      <c r="A153" s="26"/>
      <c r="B153" s="139">
        <f ca="1">IFERROR(__xludf.DUMMYFUNCTION("""COMPUTED_VALUE"""),46050.6666666666)</f>
        <v>46050.666666666599</v>
      </c>
      <c r="C153" s="141">
        <f ca="1">IFERROR(__xludf.DUMMYFUNCTION("""COMPUTED_VALUE"""),91.61)</f>
        <v>91.61</v>
      </c>
      <c r="D153" s="141">
        <f ca="1">IFERROR(__xludf.DUMMYFUNCTION("""COMPUTED_VALUE"""),91.62)</f>
        <v>91.62</v>
      </c>
      <c r="E153" s="141">
        <f ca="1">IFERROR(__xludf.DUMMYFUNCTION("""COMPUTED_VALUE"""),91.61)</f>
        <v>91.61</v>
      </c>
      <c r="F153" s="141">
        <f ca="1">IFERROR(__xludf.DUMMYFUNCTION("""COMPUTED_VALUE"""),91.61)</f>
        <v>91.61</v>
      </c>
      <c r="G153" s="143">
        <f ca="1">IFERROR(__xludf.DUMMYFUNCTION("""COMPUTED_VALUE"""),6265487)</f>
        <v>6265487</v>
      </c>
      <c r="H153" s="26"/>
    </row>
    <row r="154" spans="1:8" ht="17.25" customHeight="1" x14ac:dyDescent="0.2">
      <c r="A154" s="26"/>
      <c r="B154" s="139">
        <f ca="1">IFERROR(__xludf.DUMMYFUNCTION("""COMPUTED_VALUE"""),46051.6666666666)</f>
        <v>46051.666666666599</v>
      </c>
      <c r="C154" s="141">
        <f ca="1">IFERROR(__xludf.DUMMYFUNCTION("""COMPUTED_VALUE"""),91.62)</f>
        <v>91.62</v>
      </c>
      <c r="D154" s="141">
        <f ca="1">IFERROR(__xludf.DUMMYFUNCTION("""COMPUTED_VALUE"""),91.63)</f>
        <v>91.63</v>
      </c>
      <c r="E154" s="141">
        <f ca="1">IFERROR(__xludf.DUMMYFUNCTION("""COMPUTED_VALUE"""),91.62)</f>
        <v>91.62</v>
      </c>
      <c r="F154" s="141">
        <f ca="1">IFERROR(__xludf.DUMMYFUNCTION("""COMPUTED_VALUE"""),91.63)</f>
        <v>91.63</v>
      </c>
      <c r="G154" s="143">
        <f ca="1">IFERROR(__xludf.DUMMYFUNCTION("""COMPUTED_VALUE"""),10237344)</f>
        <v>10237344</v>
      </c>
      <c r="H154" s="26"/>
    </row>
    <row r="155" spans="1:8" ht="17.25" customHeight="1" x14ac:dyDescent="0.2">
      <c r="A155" s="26"/>
      <c r="B155" s="139">
        <f ca="1">IFERROR(__xludf.DUMMYFUNCTION("""COMPUTED_VALUE"""),46052.6666666666)</f>
        <v>46052.666666666599</v>
      </c>
      <c r="C155" s="141">
        <f ca="1">IFERROR(__xludf.DUMMYFUNCTION("""COMPUTED_VALUE"""),91.64)</f>
        <v>91.64</v>
      </c>
      <c r="D155" s="141">
        <f ca="1">IFERROR(__xludf.DUMMYFUNCTION("""COMPUTED_VALUE"""),91.65)</f>
        <v>91.65</v>
      </c>
      <c r="E155" s="141">
        <f ca="1">IFERROR(__xludf.DUMMYFUNCTION("""COMPUTED_VALUE"""),91.64)</f>
        <v>91.64</v>
      </c>
      <c r="F155" s="141">
        <f ca="1">IFERROR(__xludf.DUMMYFUNCTION("""COMPUTED_VALUE"""),91.65)</f>
        <v>91.65</v>
      </c>
      <c r="G155" s="143">
        <f ca="1">IFERROR(__xludf.DUMMYFUNCTION("""COMPUTED_VALUE"""),14545830)</f>
        <v>14545830</v>
      </c>
      <c r="H155" s="26"/>
    </row>
    <row r="156" spans="1:8" ht="17.25" customHeight="1" x14ac:dyDescent="0.2">
      <c r="A156" s="26"/>
      <c r="B156" s="139">
        <f ca="1">IFERROR(__xludf.DUMMYFUNCTION("""COMPUTED_VALUE"""),46055.6666666666)</f>
        <v>46055.666666666599</v>
      </c>
      <c r="C156" s="141">
        <f ca="1">IFERROR(__xludf.DUMMYFUNCTION("""COMPUTED_VALUE"""),91.39)</f>
        <v>91.39</v>
      </c>
      <c r="D156" s="141">
        <f ca="1">IFERROR(__xludf.DUMMYFUNCTION("""COMPUTED_VALUE"""),91.39)</f>
        <v>91.39</v>
      </c>
      <c r="E156" s="141">
        <f ca="1">IFERROR(__xludf.DUMMYFUNCTION("""COMPUTED_VALUE"""),91.38)</f>
        <v>91.38</v>
      </c>
      <c r="F156" s="141">
        <f ca="1">IFERROR(__xludf.DUMMYFUNCTION("""COMPUTED_VALUE"""),91.39)</f>
        <v>91.39</v>
      </c>
      <c r="G156" s="143">
        <f ca="1">IFERROR(__xludf.DUMMYFUNCTION("""COMPUTED_VALUE"""),21391673)</f>
        <v>21391673</v>
      </c>
      <c r="H156" s="26"/>
    </row>
    <row r="157" spans="1:8" ht="17.25" customHeight="1" x14ac:dyDescent="0.2">
      <c r="A157" s="26"/>
      <c r="B157" s="139">
        <f ca="1">IFERROR(__xludf.DUMMYFUNCTION("""COMPUTED_VALUE"""),46056.6666666666)</f>
        <v>46056.666666666599</v>
      </c>
      <c r="C157" s="141">
        <f ca="1">IFERROR(__xludf.DUMMYFUNCTION("""COMPUTED_VALUE"""),91.39)</f>
        <v>91.39</v>
      </c>
      <c r="D157" s="141">
        <f ca="1">IFERROR(__xludf.DUMMYFUNCTION("""COMPUTED_VALUE"""),91.4)</f>
        <v>91.4</v>
      </c>
      <c r="E157" s="141">
        <f ca="1">IFERROR(__xludf.DUMMYFUNCTION("""COMPUTED_VALUE"""),91.39)</f>
        <v>91.39</v>
      </c>
      <c r="F157" s="141">
        <f ca="1">IFERROR(__xludf.DUMMYFUNCTION("""COMPUTED_VALUE"""),91.39)</f>
        <v>91.39</v>
      </c>
      <c r="G157" s="143">
        <f ca="1">IFERROR(__xludf.DUMMYFUNCTION("""COMPUTED_VALUE"""),11836069)</f>
        <v>11836069</v>
      </c>
      <c r="H157" s="26"/>
    </row>
    <row r="158" spans="1:8" ht="17.25" customHeight="1" x14ac:dyDescent="0.2">
      <c r="A158" s="26"/>
      <c r="B158" s="139">
        <f ca="1">IFERROR(__xludf.DUMMYFUNCTION("""COMPUTED_VALUE"""),46057.6666666666)</f>
        <v>46057.666666666599</v>
      </c>
      <c r="C158" s="141">
        <f ca="1">IFERROR(__xludf.DUMMYFUNCTION("""COMPUTED_VALUE"""),91.4)</f>
        <v>91.4</v>
      </c>
      <c r="D158" s="141">
        <f ca="1">IFERROR(__xludf.DUMMYFUNCTION("""COMPUTED_VALUE"""),91.41)</f>
        <v>91.41</v>
      </c>
      <c r="E158" s="141">
        <f ca="1">IFERROR(__xludf.DUMMYFUNCTION("""COMPUTED_VALUE"""),91.4)</f>
        <v>91.4</v>
      </c>
      <c r="F158" s="141">
        <f ca="1">IFERROR(__xludf.DUMMYFUNCTION("""COMPUTED_VALUE"""),91.41)</f>
        <v>91.41</v>
      </c>
      <c r="G158" s="143">
        <f ca="1">IFERROR(__xludf.DUMMYFUNCTION("""COMPUTED_VALUE"""),9216570)</f>
        <v>9216570</v>
      </c>
      <c r="H158" s="26"/>
    </row>
    <row r="159" spans="1:8" ht="17.25" customHeight="1" x14ac:dyDescent="0.2">
      <c r="A159" s="26"/>
      <c r="B159" s="139">
        <f ca="1">IFERROR(__xludf.DUMMYFUNCTION("""COMPUTED_VALUE"""),46058.6666666666)</f>
        <v>46058.666666666599</v>
      </c>
      <c r="C159" s="141">
        <f ca="1">IFERROR(__xludf.DUMMYFUNCTION("""COMPUTED_VALUE"""),91.41)</f>
        <v>91.41</v>
      </c>
      <c r="D159" s="141">
        <f ca="1">IFERROR(__xludf.DUMMYFUNCTION("""COMPUTED_VALUE"""),91.42)</f>
        <v>91.42</v>
      </c>
      <c r="E159" s="141">
        <f ca="1">IFERROR(__xludf.DUMMYFUNCTION("""COMPUTED_VALUE"""),91.41)</f>
        <v>91.41</v>
      </c>
      <c r="F159" s="141">
        <f ca="1">IFERROR(__xludf.DUMMYFUNCTION("""COMPUTED_VALUE"""),91.41)</f>
        <v>91.41</v>
      </c>
      <c r="G159" s="143">
        <f ca="1">IFERROR(__xludf.DUMMYFUNCTION("""COMPUTED_VALUE"""),9393922)</f>
        <v>9393922</v>
      </c>
      <c r="H159" s="26"/>
    </row>
    <row r="160" spans="1:8" ht="17.25" customHeight="1" x14ac:dyDescent="0.2">
      <c r="A160" s="26"/>
      <c r="B160" s="139">
        <f ca="1">IFERROR(__xludf.DUMMYFUNCTION("""COMPUTED_VALUE"""),46059.6666666666)</f>
        <v>46059.666666666599</v>
      </c>
      <c r="C160" s="141">
        <f ca="1">IFERROR(__xludf.DUMMYFUNCTION("""COMPUTED_VALUE"""),91.44)</f>
        <v>91.44</v>
      </c>
      <c r="D160" s="141">
        <f ca="1">IFERROR(__xludf.DUMMYFUNCTION("""COMPUTED_VALUE"""),91.44)</f>
        <v>91.44</v>
      </c>
      <c r="E160" s="141">
        <f ca="1">IFERROR(__xludf.DUMMYFUNCTION("""COMPUTED_VALUE"""),91.44)</f>
        <v>91.44</v>
      </c>
      <c r="F160" s="141">
        <f ca="1">IFERROR(__xludf.DUMMYFUNCTION("""COMPUTED_VALUE"""),91.44)</f>
        <v>91.44</v>
      </c>
      <c r="G160" s="143">
        <f ca="1">IFERROR(__xludf.DUMMYFUNCTION("""COMPUTED_VALUE"""),12369829)</f>
        <v>12369829</v>
      </c>
      <c r="H160" s="26"/>
    </row>
    <row r="161" spans="1:8" ht="17.25" customHeight="1" x14ac:dyDescent="0.2">
      <c r="A161" s="26"/>
      <c r="B161" s="139">
        <f ca="1">IFERROR(__xludf.DUMMYFUNCTION("""COMPUTED_VALUE"""),46062.6666666666)</f>
        <v>46062.666666666599</v>
      </c>
      <c r="C161" s="141">
        <f ca="1">IFERROR(__xludf.DUMMYFUNCTION("""COMPUTED_VALUE"""),91.44)</f>
        <v>91.44</v>
      </c>
      <c r="D161" s="141">
        <f ca="1">IFERROR(__xludf.DUMMYFUNCTION("""COMPUTED_VALUE"""),91.45)</f>
        <v>91.45</v>
      </c>
      <c r="E161" s="141">
        <f ca="1">IFERROR(__xludf.DUMMYFUNCTION("""COMPUTED_VALUE"""),91.44)</f>
        <v>91.44</v>
      </c>
      <c r="F161" s="141">
        <f ca="1">IFERROR(__xludf.DUMMYFUNCTION("""COMPUTED_VALUE"""),91.44)</f>
        <v>91.44</v>
      </c>
      <c r="G161" s="143">
        <f ca="1">IFERROR(__xludf.DUMMYFUNCTION("""COMPUTED_VALUE"""),9180305)</f>
        <v>9180305</v>
      </c>
      <c r="H161" s="26"/>
    </row>
    <row r="162" spans="1:8" ht="17.25" customHeight="1" x14ac:dyDescent="0.2">
      <c r="A162" s="26"/>
      <c r="B162" s="139">
        <f ca="1">IFERROR(__xludf.DUMMYFUNCTION("""COMPUTED_VALUE"""),46063.6666666666)</f>
        <v>46063.666666666599</v>
      </c>
      <c r="C162" s="141">
        <f ca="1">IFERROR(__xludf.DUMMYFUNCTION("""COMPUTED_VALUE"""),91.46)</f>
        <v>91.46</v>
      </c>
      <c r="D162" s="141">
        <f ca="1">IFERROR(__xludf.DUMMYFUNCTION("""COMPUTED_VALUE"""),91.46)</f>
        <v>91.46</v>
      </c>
      <c r="E162" s="141">
        <f ca="1">IFERROR(__xludf.DUMMYFUNCTION("""COMPUTED_VALUE"""),91.45)</f>
        <v>91.45</v>
      </c>
      <c r="F162" s="141">
        <f ca="1">IFERROR(__xludf.DUMMYFUNCTION("""COMPUTED_VALUE"""),91.45)</f>
        <v>91.45</v>
      </c>
      <c r="G162" s="143">
        <f ca="1">IFERROR(__xludf.DUMMYFUNCTION("""COMPUTED_VALUE"""),7085342)</f>
        <v>7085342</v>
      </c>
      <c r="H162" s="26"/>
    </row>
    <row r="163" spans="1:8" ht="17.25" customHeight="1" x14ac:dyDescent="0.2">
      <c r="A163" s="26"/>
      <c r="B163" s="139">
        <f ca="1">IFERROR(__xludf.DUMMYFUNCTION("""COMPUTED_VALUE"""),46064.6666666666)</f>
        <v>46064.666666666599</v>
      </c>
      <c r="C163" s="141">
        <f ca="1">IFERROR(__xludf.DUMMYFUNCTION("""COMPUTED_VALUE"""),91.46)</f>
        <v>91.46</v>
      </c>
      <c r="D163" s="141">
        <f ca="1">IFERROR(__xludf.DUMMYFUNCTION("""COMPUTED_VALUE"""),91.47)</f>
        <v>91.47</v>
      </c>
      <c r="E163" s="141">
        <f ca="1">IFERROR(__xludf.DUMMYFUNCTION("""COMPUTED_VALUE"""),91.46)</f>
        <v>91.46</v>
      </c>
      <c r="F163" s="141">
        <f ca="1">IFERROR(__xludf.DUMMYFUNCTION("""COMPUTED_VALUE"""),91.47)</f>
        <v>91.47</v>
      </c>
      <c r="G163" s="143">
        <f ca="1">IFERROR(__xludf.DUMMYFUNCTION("""COMPUTED_VALUE"""),5732270)</f>
        <v>5732270</v>
      </c>
      <c r="H163" s="26"/>
    </row>
    <row r="164" spans="1:8" ht="17.25" customHeight="1" x14ac:dyDescent="0.2">
      <c r="A164" s="26"/>
      <c r="B164" s="139">
        <f ca="1">IFERROR(__xludf.DUMMYFUNCTION("""COMPUTED_VALUE"""),46065.6666666666)</f>
        <v>46065.666666666599</v>
      </c>
      <c r="C164" s="141">
        <f ca="1">IFERROR(__xludf.DUMMYFUNCTION("""COMPUTED_VALUE"""),91.48)</f>
        <v>91.48</v>
      </c>
      <c r="D164" s="141">
        <f ca="1">IFERROR(__xludf.DUMMYFUNCTION("""COMPUTED_VALUE"""),91.48)</f>
        <v>91.48</v>
      </c>
      <c r="E164" s="141">
        <f ca="1">IFERROR(__xludf.DUMMYFUNCTION("""COMPUTED_VALUE"""),91.47)</f>
        <v>91.47</v>
      </c>
      <c r="F164" s="141">
        <f ca="1">IFERROR(__xludf.DUMMYFUNCTION("""COMPUTED_VALUE"""),91.47)</f>
        <v>91.47</v>
      </c>
      <c r="G164" s="143">
        <f ca="1">IFERROR(__xludf.DUMMYFUNCTION("""COMPUTED_VALUE"""),6366270)</f>
        <v>6366270</v>
      </c>
      <c r="H164" s="26"/>
    </row>
    <row r="165" spans="1:8" ht="17.25" customHeight="1" x14ac:dyDescent="0.2">
      <c r="A165" s="26"/>
      <c r="B165" s="139">
        <f ca="1">IFERROR(__xludf.DUMMYFUNCTION("""COMPUTED_VALUE"""),46066.6666666666)</f>
        <v>46066.666666666599</v>
      </c>
      <c r="C165" s="141">
        <f ca="1">IFERROR(__xludf.DUMMYFUNCTION("""COMPUTED_VALUE"""),91.5)</f>
        <v>91.5</v>
      </c>
      <c r="D165" s="141">
        <f ca="1">IFERROR(__xludf.DUMMYFUNCTION("""COMPUTED_VALUE"""),91.51)</f>
        <v>91.51</v>
      </c>
      <c r="E165" s="141">
        <f ca="1">IFERROR(__xludf.DUMMYFUNCTION("""COMPUTED_VALUE"""),91.5)</f>
        <v>91.5</v>
      </c>
      <c r="F165" s="141">
        <f ca="1">IFERROR(__xludf.DUMMYFUNCTION("""COMPUTED_VALUE"""),91.51)</f>
        <v>91.51</v>
      </c>
      <c r="G165" s="143">
        <f ca="1">IFERROR(__xludf.DUMMYFUNCTION("""COMPUTED_VALUE"""),9832514)</f>
        <v>9832514</v>
      </c>
      <c r="H165" s="26"/>
    </row>
    <row r="166" spans="1:8" ht="17.25" customHeight="1" x14ac:dyDescent="0.2">
      <c r="A166" s="26"/>
      <c r="B166" s="139">
        <f ca="1">IFERROR(__xludf.DUMMYFUNCTION("""COMPUTED_VALUE"""),46070.6666666666)</f>
        <v>46070.666666666599</v>
      </c>
      <c r="C166" s="141">
        <f ca="1">IFERROR(__xludf.DUMMYFUNCTION("""COMPUTED_VALUE"""),91.52)</f>
        <v>91.52</v>
      </c>
      <c r="D166" s="141">
        <f ca="1">IFERROR(__xludf.DUMMYFUNCTION("""COMPUTED_VALUE"""),91.52)</f>
        <v>91.52</v>
      </c>
      <c r="E166" s="141">
        <f ca="1">IFERROR(__xludf.DUMMYFUNCTION("""COMPUTED_VALUE"""),91.51)</f>
        <v>91.51</v>
      </c>
      <c r="F166" s="141">
        <f ca="1">IFERROR(__xludf.DUMMYFUNCTION("""COMPUTED_VALUE"""),91.52)</f>
        <v>91.52</v>
      </c>
      <c r="G166" s="143">
        <f ca="1">IFERROR(__xludf.DUMMYFUNCTION("""COMPUTED_VALUE"""),6709963)</f>
        <v>6709963</v>
      </c>
      <c r="H166" s="26"/>
    </row>
    <row r="167" spans="1:8" ht="17.25" customHeight="1" x14ac:dyDescent="0.2">
      <c r="A167" s="26"/>
      <c r="B167" s="139">
        <f ca="1">IFERROR(__xludf.DUMMYFUNCTION("""COMPUTED_VALUE"""),46071.6666666666)</f>
        <v>46071.666666666599</v>
      </c>
      <c r="C167" s="141">
        <f ca="1">IFERROR(__xludf.DUMMYFUNCTION("""COMPUTED_VALUE"""),91.52)</f>
        <v>91.52</v>
      </c>
      <c r="D167" s="141">
        <f ca="1">IFERROR(__xludf.DUMMYFUNCTION("""COMPUTED_VALUE"""),91.53)</f>
        <v>91.53</v>
      </c>
      <c r="E167" s="141">
        <f ca="1">IFERROR(__xludf.DUMMYFUNCTION("""COMPUTED_VALUE"""),91.52)</f>
        <v>91.52</v>
      </c>
      <c r="F167" s="141">
        <f ca="1">IFERROR(__xludf.DUMMYFUNCTION("""COMPUTED_VALUE"""),91.53)</f>
        <v>91.53</v>
      </c>
      <c r="G167" s="143">
        <f ca="1">IFERROR(__xludf.DUMMYFUNCTION("""COMPUTED_VALUE"""),8752803)</f>
        <v>8752803</v>
      </c>
      <c r="H167" s="26"/>
    </row>
    <row r="168" spans="1:8" ht="17.25" customHeight="1" x14ac:dyDescent="0.2">
      <c r="A168" s="26"/>
      <c r="B168" s="139">
        <f ca="1">IFERROR(__xludf.DUMMYFUNCTION("""COMPUTED_VALUE"""),46072.6666666666)</f>
        <v>46072.666666666599</v>
      </c>
      <c r="C168" s="141">
        <f ca="1">IFERROR(__xludf.DUMMYFUNCTION("""COMPUTED_VALUE"""),91.53)</f>
        <v>91.53</v>
      </c>
      <c r="D168" s="141">
        <f ca="1">IFERROR(__xludf.DUMMYFUNCTION("""COMPUTED_VALUE"""),91.54)</f>
        <v>91.54</v>
      </c>
      <c r="E168" s="141">
        <f ca="1">IFERROR(__xludf.DUMMYFUNCTION("""COMPUTED_VALUE"""),91.53)</f>
        <v>91.53</v>
      </c>
      <c r="F168" s="141">
        <f ca="1">IFERROR(__xludf.DUMMYFUNCTION("""COMPUTED_VALUE"""),91.53)</f>
        <v>91.53</v>
      </c>
      <c r="G168" s="143">
        <f ca="1">IFERROR(__xludf.DUMMYFUNCTION("""COMPUTED_VALUE"""),4941787)</f>
        <v>4941787</v>
      </c>
      <c r="H168" s="26"/>
    </row>
    <row r="169" spans="1:8" ht="17.25" customHeight="1" x14ac:dyDescent="0.2">
      <c r="A169" s="26"/>
      <c r="B169" s="139">
        <f ca="1">IFERROR(__xludf.DUMMYFUNCTION("""COMPUTED_VALUE"""),46073.6666666666)</f>
        <v>46073.666666666599</v>
      </c>
      <c r="C169" s="141">
        <f ca="1">IFERROR(__xludf.DUMMYFUNCTION("""COMPUTED_VALUE"""),91.57)</f>
        <v>91.57</v>
      </c>
      <c r="D169" s="141">
        <f ca="1">IFERROR(__xludf.DUMMYFUNCTION("""COMPUTED_VALUE"""),91.57)</f>
        <v>91.57</v>
      </c>
      <c r="E169" s="141">
        <f ca="1">IFERROR(__xludf.DUMMYFUNCTION("""COMPUTED_VALUE"""),91.56)</f>
        <v>91.56</v>
      </c>
      <c r="F169" s="141">
        <f ca="1">IFERROR(__xludf.DUMMYFUNCTION("""COMPUTED_VALUE"""),91.56)</f>
        <v>91.56</v>
      </c>
      <c r="G169" s="143">
        <f ca="1">IFERROR(__xludf.DUMMYFUNCTION("""COMPUTED_VALUE"""),6518152)</f>
        <v>6518152</v>
      </c>
      <c r="H169" s="26"/>
    </row>
    <row r="170" spans="1:8" ht="17.25" customHeight="1" x14ac:dyDescent="0.2">
      <c r="A170" s="26"/>
      <c r="B170" s="139">
        <f ca="1">IFERROR(__xludf.DUMMYFUNCTION("""COMPUTED_VALUE"""),46076.6666666666)</f>
        <v>46076.666666666599</v>
      </c>
      <c r="C170" s="141">
        <f ca="1">IFERROR(__xludf.DUMMYFUNCTION("""COMPUTED_VALUE"""),91.57)</f>
        <v>91.57</v>
      </c>
      <c r="D170" s="141">
        <f ca="1">IFERROR(__xludf.DUMMYFUNCTION("""COMPUTED_VALUE"""),91.57)</f>
        <v>91.57</v>
      </c>
      <c r="E170" s="141">
        <f ca="1">IFERROR(__xludf.DUMMYFUNCTION("""COMPUTED_VALUE"""),91.56)</f>
        <v>91.56</v>
      </c>
      <c r="F170" s="141">
        <f ca="1">IFERROR(__xludf.DUMMYFUNCTION("""COMPUTED_VALUE"""),91.56)</f>
        <v>91.56</v>
      </c>
      <c r="G170" s="143">
        <f ca="1">IFERROR(__xludf.DUMMYFUNCTION("""COMPUTED_VALUE"""),7488198)</f>
        <v>7488198</v>
      </c>
      <c r="H170" s="26"/>
    </row>
    <row r="171" spans="1:8" ht="17.25" customHeight="1" x14ac:dyDescent="0.2">
      <c r="A171" s="26"/>
      <c r="B171" s="139">
        <f ca="1">IFERROR(__xludf.DUMMYFUNCTION("""COMPUTED_VALUE"""),46077.6666666666)</f>
        <v>46077.666666666599</v>
      </c>
      <c r="C171" s="141">
        <f ca="1">IFERROR(__xludf.DUMMYFUNCTION("""COMPUTED_VALUE"""),91.58)</f>
        <v>91.58</v>
      </c>
      <c r="D171" s="141">
        <f ca="1">IFERROR(__xludf.DUMMYFUNCTION("""COMPUTED_VALUE"""),91.58)</f>
        <v>91.58</v>
      </c>
      <c r="E171" s="141">
        <f ca="1">IFERROR(__xludf.DUMMYFUNCTION("""COMPUTED_VALUE"""),91.57)</f>
        <v>91.57</v>
      </c>
      <c r="F171" s="141">
        <f ca="1">IFERROR(__xludf.DUMMYFUNCTION("""COMPUTED_VALUE"""),91.58)</f>
        <v>91.58</v>
      </c>
      <c r="G171" s="143">
        <f ca="1">IFERROR(__xludf.DUMMYFUNCTION("""COMPUTED_VALUE"""),5346545)</f>
        <v>5346545</v>
      </c>
      <c r="H171" s="26"/>
    </row>
    <row r="172" spans="1:8" ht="17.25" customHeight="1" x14ac:dyDescent="0.2">
      <c r="A172" s="26"/>
      <c r="B172" s="139">
        <f ca="1">IFERROR(__xludf.DUMMYFUNCTION("""COMPUTED_VALUE"""),46078.6666666666)</f>
        <v>46078.666666666599</v>
      </c>
      <c r="C172" s="141">
        <f ca="1">IFERROR(__xludf.DUMMYFUNCTION("""COMPUTED_VALUE"""),91.59)</f>
        <v>91.59</v>
      </c>
      <c r="D172" s="141">
        <f ca="1">IFERROR(__xludf.DUMMYFUNCTION("""COMPUTED_VALUE"""),91.59)</f>
        <v>91.59</v>
      </c>
      <c r="E172" s="141">
        <f ca="1">IFERROR(__xludf.DUMMYFUNCTION("""COMPUTED_VALUE"""),91.58)</f>
        <v>91.58</v>
      </c>
      <c r="F172" s="141">
        <f ca="1">IFERROR(__xludf.DUMMYFUNCTION("""COMPUTED_VALUE"""),91.59)</f>
        <v>91.59</v>
      </c>
      <c r="G172" s="143">
        <f ca="1">IFERROR(__xludf.DUMMYFUNCTION("""COMPUTED_VALUE"""),5823872)</f>
        <v>5823872</v>
      </c>
      <c r="H172" s="26"/>
    </row>
    <row r="173" spans="1:8" ht="17.25" customHeight="1" x14ac:dyDescent="0.2">
      <c r="A173" s="26"/>
      <c r="B173" s="139">
        <f ca="1">IFERROR(__xludf.DUMMYFUNCTION("""COMPUTED_VALUE"""),46079.6666666666)</f>
        <v>46079.666666666599</v>
      </c>
      <c r="C173" s="141">
        <f ca="1">IFERROR(__xludf.DUMMYFUNCTION("""COMPUTED_VALUE"""),91.59)</f>
        <v>91.59</v>
      </c>
      <c r="D173" s="141">
        <f ca="1">IFERROR(__xludf.DUMMYFUNCTION("""COMPUTED_VALUE"""),91.6)</f>
        <v>91.6</v>
      </c>
      <c r="E173" s="141">
        <f ca="1">IFERROR(__xludf.DUMMYFUNCTION("""COMPUTED_VALUE"""),91.59)</f>
        <v>91.59</v>
      </c>
      <c r="F173" s="141">
        <f ca="1">IFERROR(__xludf.DUMMYFUNCTION("""COMPUTED_VALUE"""),91.6)</f>
        <v>91.6</v>
      </c>
      <c r="G173" s="143">
        <f ca="1">IFERROR(__xludf.DUMMYFUNCTION("""COMPUTED_VALUE"""),6322534)</f>
        <v>6322534</v>
      </c>
      <c r="H173" s="26"/>
    </row>
    <row r="174" spans="1:8" ht="17.25" customHeight="1" x14ac:dyDescent="0.2">
      <c r="A174" s="26"/>
      <c r="B174" s="139">
        <f ca="1">IFERROR(__xludf.DUMMYFUNCTION("""COMPUTED_VALUE"""),46080.6666666666)</f>
        <v>46080.666666666599</v>
      </c>
      <c r="C174" s="141">
        <f ca="1">IFERROR(__xludf.DUMMYFUNCTION("""COMPUTED_VALUE"""),91.62)</f>
        <v>91.62</v>
      </c>
      <c r="D174" s="141">
        <f ca="1">IFERROR(__xludf.DUMMYFUNCTION("""COMPUTED_VALUE"""),91.63)</f>
        <v>91.63</v>
      </c>
      <c r="E174" s="141">
        <f ca="1">IFERROR(__xludf.DUMMYFUNCTION("""COMPUTED_VALUE"""),91.62)</f>
        <v>91.62</v>
      </c>
      <c r="F174" s="141">
        <f ca="1">IFERROR(__xludf.DUMMYFUNCTION("""COMPUTED_VALUE"""),91.62)</f>
        <v>91.62</v>
      </c>
      <c r="G174" s="143">
        <f ca="1">IFERROR(__xludf.DUMMYFUNCTION("""COMPUTED_VALUE"""),11402015)</f>
        <v>11402015</v>
      </c>
      <c r="H174" s="26"/>
    </row>
    <row r="175" spans="1:8" ht="17.25" customHeight="1" x14ac:dyDescent="0.2">
      <c r="A175" s="26"/>
      <c r="B175" s="139">
        <f ca="1">IFERROR(__xludf.DUMMYFUNCTION("""COMPUTED_VALUE"""),46083.6666666666)</f>
        <v>46083.666666666599</v>
      </c>
      <c r="C175" s="141">
        <f ca="1">IFERROR(__xludf.DUMMYFUNCTION("""COMPUTED_VALUE"""),91.39)</f>
        <v>91.39</v>
      </c>
      <c r="D175" s="141">
        <f ca="1">IFERROR(__xludf.DUMMYFUNCTION("""COMPUTED_VALUE"""),91.39)</f>
        <v>91.39</v>
      </c>
      <c r="E175" s="141">
        <f ca="1">IFERROR(__xludf.DUMMYFUNCTION("""COMPUTED_VALUE"""),91.38)</f>
        <v>91.38</v>
      </c>
      <c r="F175" s="141">
        <f ca="1">IFERROR(__xludf.DUMMYFUNCTION("""COMPUTED_VALUE"""),91.39)</f>
        <v>91.39</v>
      </c>
      <c r="G175" s="143">
        <f ca="1">IFERROR(__xludf.DUMMYFUNCTION("""COMPUTED_VALUE"""),15229578)</f>
        <v>15229578</v>
      </c>
      <c r="H175" s="26"/>
    </row>
    <row r="176" spans="1:8" ht="17.25" customHeight="1" x14ac:dyDescent="0.2">
      <c r="A176" s="26"/>
      <c r="B176" s="139">
        <f ca="1">IFERROR(__xludf.DUMMYFUNCTION("""COMPUTED_VALUE"""),46084.6666666666)</f>
        <v>46084.666666666599</v>
      </c>
      <c r="C176" s="141">
        <f ca="1">IFERROR(__xludf.DUMMYFUNCTION("""COMPUTED_VALUE"""),91.4)</f>
        <v>91.4</v>
      </c>
      <c r="D176" s="141">
        <f ca="1">IFERROR(__xludf.DUMMYFUNCTION("""COMPUTED_VALUE"""),91.4)</f>
        <v>91.4</v>
      </c>
      <c r="E176" s="141">
        <f ca="1">IFERROR(__xludf.DUMMYFUNCTION("""COMPUTED_VALUE"""),91.39)</f>
        <v>91.39</v>
      </c>
      <c r="F176" s="141">
        <f ca="1">IFERROR(__xludf.DUMMYFUNCTION("""COMPUTED_VALUE"""),91.4)</f>
        <v>91.4</v>
      </c>
      <c r="G176" s="143">
        <f ca="1">IFERROR(__xludf.DUMMYFUNCTION("""COMPUTED_VALUE"""),11360114)</f>
        <v>11360114</v>
      </c>
      <c r="H176" s="26"/>
    </row>
    <row r="177" spans="1:8" ht="17.25" customHeight="1" x14ac:dyDescent="0.2">
      <c r="A177" s="26"/>
      <c r="B177" s="139">
        <f ca="1">IFERROR(__xludf.DUMMYFUNCTION("""COMPUTED_VALUE"""),46085.6666666666)</f>
        <v>46085.666666666599</v>
      </c>
      <c r="C177" s="141">
        <f ca="1">IFERROR(__xludf.DUMMYFUNCTION("""COMPUTED_VALUE"""),91.41)</f>
        <v>91.41</v>
      </c>
      <c r="D177" s="141">
        <f ca="1">IFERROR(__xludf.DUMMYFUNCTION("""COMPUTED_VALUE"""),91.41)</f>
        <v>91.41</v>
      </c>
      <c r="E177" s="141">
        <f ca="1">IFERROR(__xludf.DUMMYFUNCTION("""COMPUTED_VALUE"""),91.4)</f>
        <v>91.4</v>
      </c>
      <c r="F177" s="141">
        <f ca="1">IFERROR(__xludf.DUMMYFUNCTION("""COMPUTED_VALUE"""),91.41)</f>
        <v>91.41</v>
      </c>
      <c r="G177" s="143">
        <f ca="1">IFERROR(__xludf.DUMMYFUNCTION("""COMPUTED_VALUE"""),9745616)</f>
        <v>9745616</v>
      </c>
      <c r="H177" s="26"/>
    </row>
    <row r="178" spans="1:8" ht="17.25" customHeight="1" x14ac:dyDescent="0.2">
      <c r="A178" s="26"/>
      <c r="B178" s="139">
        <f ca="1">IFERROR(__xludf.DUMMYFUNCTION("""COMPUTED_VALUE"""),46086.6666666666)</f>
        <v>46086.666666666599</v>
      </c>
      <c r="C178" s="141">
        <f ca="1">IFERROR(__xludf.DUMMYFUNCTION("""COMPUTED_VALUE"""),91.42)</f>
        <v>91.42</v>
      </c>
      <c r="D178" s="141">
        <f ca="1">IFERROR(__xludf.DUMMYFUNCTION("""COMPUTED_VALUE"""),91.42)</f>
        <v>91.42</v>
      </c>
      <c r="E178" s="141">
        <f ca="1">IFERROR(__xludf.DUMMYFUNCTION("""COMPUTED_VALUE"""),91.41)</f>
        <v>91.41</v>
      </c>
      <c r="F178" s="141">
        <f ca="1">IFERROR(__xludf.DUMMYFUNCTION("""COMPUTED_VALUE"""),91.42)</f>
        <v>91.42</v>
      </c>
      <c r="G178" s="143">
        <f ca="1">IFERROR(__xludf.DUMMYFUNCTION("""COMPUTED_VALUE"""),9137353)</f>
        <v>9137353</v>
      </c>
      <c r="H178" s="26"/>
    </row>
    <row r="179" spans="1:8" ht="17.25" customHeight="1" x14ac:dyDescent="0.2">
      <c r="A179" s="26"/>
      <c r="B179" s="139">
        <f ca="1">IFERROR(__xludf.DUMMYFUNCTION("""COMPUTED_VALUE"""),46087.6666666666)</f>
        <v>46087.666666666599</v>
      </c>
      <c r="C179" s="141">
        <f ca="1">IFERROR(__xludf.DUMMYFUNCTION("""COMPUTED_VALUE"""),91.45)</f>
        <v>91.45</v>
      </c>
      <c r="D179" s="141">
        <f ca="1">IFERROR(__xludf.DUMMYFUNCTION("""COMPUTED_VALUE"""),91.45)</f>
        <v>91.45</v>
      </c>
      <c r="E179" s="141">
        <f ca="1">IFERROR(__xludf.DUMMYFUNCTION("""COMPUTED_VALUE"""),91.44)</f>
        <v>91.44</v>
      </c>
      <c r="F179" s="141">
        <f ca="1">IFERROR(__xludf.DUMMYFUNCTION("""COMPUTED_VALUE"""),91.44)</f>
        <v>91.44</v>
      </c>
      <c r="G179" s="143">
        <f ca="1">IFERROR(__xludf.DUMMYFUNCTION("""COMPUTED_VALUE"""),8603548)</f>
        <v>8603548</v>
      </c>
      <c r="H179" s="26"/>
    </row>
    <row r="180" spans="1:8" ht="17.25" customHeight="1" x14ac:dyDescent="0.2">
      <c r="A180" s="26"/>
      <c r="B180" s="139">
        <f ca="1">IFERROR(__xludf.DUMMYFUNCTION("""COMPUTED_VALUE"""),46090.6666666666)</f>
        <v>46090.666666666599</v>
      </c>
      <c r="C180" s="141">
        <f ca="1">IFERROR(__xludf.DUMMYFUNCTION("""COMPUTED_VALUE"""),91.46)</f>
        <v>91.46</v>
      </c>
      <c r="D180" s="141">
        <f ca="1">IFERROR(__xludf.DUMMYFUNCTION("""COMPUTED_VALUE"""),91.46)</f>
        <v>91.46</v>
      </c>
      <c r="E180" s="141">
        <f ca="1">IFERROR(__xludf.DUMMYFUNCTION("""COMPUTED_VALUE"""),91.45)</f>
        <v>91.45</v>
      </c>
      <c r="F180" s="141">
        <f ca="1">IFERROR(__xludf.DUMMYFUNCTION("""COMPUTED_VALUE"""),91.45)</f>
        <v>91.45</v>
      </c>
      <c r="G180" s="143">
        <f ca="1">IFERROR(__xludf.DUMMYFUNCTION("""COMPUTED_VALUE"""),13351326)</f>
        <v>13351326</v>
      </c>
      <c r="H180" s="26"/>
    </row>
    <row r="181" spans="1:8" ht="17.25" customHeight="1" x14ac:dyDescent="0.2">
      <c r="A181" s="26"/>
      <c r="B181" s="139">
        <f ca="1">IFERROR(__xludf.DUMMYFUNCTION("""COMPUTED_VALUE"""),46091.6666666666)</f>
        <v>46091.666666666599</v>
      </c>
      <c r="C181" s="141">
        <f ca="1">IFERROR(__xludf.DUMMYFUNCTION("""COMPUTED_VALUE"""),91.46)</f>
        <v>91.46</v>
      </c>
      <c r="D181" s="141">
        <f ca="1">IFERROR(__xludf.DUMMYFUNCTION("""COMPUTED_VALUE"""),91.46)</f>
        <v>91.46</v>
      </c>
      <c r="E181" s="141">
        <f ca="1">IFERROR(__xludf.DUMMYFUNCTION("""COMPUTED_VALUE"""),91.45)</f>
        <v>91.45</v>
      </c>
      <c r="F181" s="141">
        <f ca="1">IFERROR(__xludf.DUMMYFUNCTION("""COMPUTED_VALUE"""),91.46)</f>
        <v>91.46</v>
      </c>
      <c r="G181" s="143">
        <f ca="1">IFERROR(__xludf.DUMMYFUNCTION("""COMPUTED_VALUE"""),9129717)</f>
        <v>9129717</v>
      </c>
      <c r="H181" s="26"/>
    </row>
    <row r="182" spans="1:8" ht="17.25" customHeight="1" x14ac:dyDescent="0.2">
      <c r="A182" s="26"/>
      <c r="B182" s="139">
        <f ca="1">IFERROR(__xludf.DUMMYFUNCTION("""COMPUTED_VALUE"""),46092.6666666666)</f>
        <v>46092.666666666599</v>
      </c>
      <c r="C182" s="141">
        <f ca="1">IFERROR(__xludf.DUMMYFUNCTION("""COMPUTED_VALUE"""),91.46)</f>
        <v>91.46</v>
      </c>
      <c r="D182" s="141">
        <f ca="1">IFERROR(__xludf.DUMMYFUNCTION("""COMPUTED_VALUE"""),91.47)</f>
        <v>91.47</v>
      </c>
      <c r="E182" s="141">
        <f ca="1">IFERROR(__xludf.DUMMYFUNCTION("""COMPUTED_VALUE"""),91.46)</f>
        <v>91.46</v>
      </c>
      <c r="F182" s="141">
        <f ca="1">IFERROR(__xludf.DUMMYFUNCTION("""COMPUTED_VALUE"""),91.46)</f>
        <v>91.46</v>
      </c>
      <c r="G182" s="143">
        <f ca="1">IFERROR(__xludf.DUMMYFUNCTION("""COMPUTED_VALUE"""),6613372)</f>
        <v>6613372</v>
      </c>
      <c r="H182" s="26"/>
    </row>
    <row r="183" spans="1:8" ht="17.25" customHeight="1" x14ac:dyDescent="0.2">
      <c r="A183" s="26"/>
      <c r="B183" s="139">
        <f ca="1">IFERROR(__xludf.DUMMYFUNCTION("""COMPUTED_VALUE"""),46093.6666666666)</f>
        <v>46093.666666666599</v>
      </c>
      <c r="C183" s="141">
        <f ca="1">IFERROR(__xludf.DUMMYFUNCTION("""COMPUTED_VALUE"""),91.48)</f>
        <v>91.48</v>
      </c>
      <c r="D183" s="141">
        <f ca="1">IFERROR(__xludf.DUMMYFUNCTION("""COMPUTED_VALUE"""),91.48)</f>
        <v>91.48</v>
      </c>
      <c r="E183" s="141">
        <f ca="1">IFERROR(__xludf.DUMMYFUNCTION("""COMPUTED_VALUE"""),91.47)</f>
        <v>91.47</v>
      </c>
      <c r="F183" s="141">
        <f ca="1">IFERROR(__xludf.DUMMYFUNCTION("""COMPUTED_VALUE"""),91.48)</f>
        <v>91.48</v>
      </c>
      <c r="G183" s="143">
        <f ca="1">IFERROR(__xludf.DUMMYFUNCTION("""COMPUTED_VALUE"""),10138893)</f>
        <v>10138893</v>
      </c>
      <c r="H183" s="26"/>
    </row>
    <row r="184" spans="1:8" ht="17.25" customHeight="1" x14ac:dyDescent="0.2">
      <c r="A184" s="26"/>
      <c r="B184" s="139">
        <f ca="1">IFERROR(__xludf.DUMMYFUNCTION("""COMPUTED_VALUE"""),46094.6666666666)</f>
        <v>46094.666666666599</v>
      </c>
      <c r="C184" s="141">
        <f ca="1">IFERROR(__xludf.DUMMYFUNCTION("""COMPUTED_VALUE"""),91.51)</f>
        <v>91.51</v>
      </c>
      <c r="D184" s="141">
        <f ca="1">IFERROR(__xludf.DUMMYFUNCTION("""COMPUTED_VALUE"""),91.51)</f>
        <v>91.51</v>
      </c>
      <c r="E184" s="141">
        <f ca="1">IFERROR(__xludf.DUMMYFUNCTION("""COMPUTED_VALUE"""),91.5)</f>
        <v>91.5</v>
      </c>
      <c r="F184" s="141">
        <f ca="1">IFERROR(__xludf.DUMMYFUNCTION("""COMPUTED_VALUE"""),91.51)</f>
        <v>91.51</v>
      </c>
      <c r="G184" s="143">
        <f ca="1">IFERROR(__xludf.DUMMYFUNCTION("""COMPUTED_VALUE"""),11181990)</f>
        <v>11181990</v>
      </c>
      <c r="H184" s="26"/>
    </row>
    <row r="185" spans="1:8" ht="17.25" customHeight="1" x14ac:dyDescent="0.2">
      <c r="A185" s="26"/>
      <c r="B185" s="139">
        <f ca="1">IFERROR(__xludf.DUMMYFUNCTION("""COMPUTED_VALUE"""),46097.6666666666)</f>
        <v>46097.666666666599</v>
      </c>
      <c r="C185" s="141">
        <f ca="1">IFERROR(__xludf.DUMMYFUNCTION("""COMPUTED_VALUE"""),91.51)</f>
        <v>91.51</v>
      </c>
      <c r="D185" s="141">
        <f ca="1">IFERROR(__xludf.DUMMYFUNCTION("""COMPUTED_VALUE"""),91.52)</f>
        <v>91.52</v>
      </c>
      <c r="E185" s="141">
        <f ca="1">IFERROR(__xludf.DUMMYFUNCTION("""COMPUTED_VALUE"""),91.51)</f>
        <v>91.51</v>
      </c>
      <c r="F185" s="141">
        <f ca="1">IFERROR(__xludf.DUMMYFUNCTION("""COMPUTED_VALUE"""),91.51)</f>
        <v>91.51</v>
      </c>
      <c r="G185" s="143">
        <f ca="1">IFERROR(__xludf.DUMMYFUNCTION("""COMPUTED_VALUE"""),8509098)</f>
        <v>8509098</v>
      </c>
      <c r="H185" s="26"/>
    </row>
    <row r="186" spans="1:8" ht="17.25" customHeight="1" x14ac:dyDescent="0.2">
      <c r="A186" s="26"/>
      <c r="B186" s="139">
        <f ca="1">IFERROR(__xludf.DUMMYFUNCTION("""COMPUTED_VALUE"""),46098.6666666666)</f>
        <v>46098.666666666599</v>
      </c>
      <c r="C186" s="141">
        <f ca="1">IFERROR(__xludf.DUMMYFUNCTION("""COMPUTED_VALUE"""),91.53)</f>
        <v>91.53</v>
      </c>
      <c r="D186" s="141">
        <f ca="1">IFERROR(__xludf.DUMMYFUNCTION("""COMPUTED_VALUE"""),91.53)</f>
        <v>91.53</v>
      </c>
      <c r="E186" s="141">
        <f ca="1">IFERROR(__xludf.DUMMYFUNCTION("""COMPUTED_VALUE"""),91.52)</f>
        <v>91.52</v>
      </c>
      <c r="F186" s="141">
        <f ca="1">IFERROR(__xludf.DUMMYFUNCTION("""COMPUTED_VALUE"""),91.52)</f>
        <v>91.52</v>
      </c>
      <c r="G186" s="143">
        <f ca="1">IFERROR(__xludf.DUMMYFUNCTION("""COMPUTED_VALUE"""),7548341)</f>
        <v>7548341</v>
      </c>
      <c r="H186" s="26"/>
    </row>
    <row r="187" spans="1:8" ht="17.25" customHeight="1" x14ac:dyDescent="0.2">
      <c r="A187" s="26"/>
      <c r="B187" s="139">
        <f ca="1">IFERROR(__xludf.DUMMYFUNCTION("""COMPUTED_VALUE"""),46099.6666666666)</f>
        <v>46099.666666666599</v>
      </c>
      <c r="C187" s="141">
        <f ca="1">IFERROR(__xludf.DUMMYFUNCTION("""COMPUTED_VALUE"""),91.53)</f>
        <v>91.53</v>
      </c>
      <c r="D187" s="141">
        <f ca="1">IFERROR(__xludf.DUMMYFUNCTION("""COMPUTED_VALUE"""),91.54)</f>
        <v>91.54</v>
      </c>
      <c r="E187" s="141">
        <f ca="1">IFERROR(__xludf.DUMMYFUNCTION("""COMPUTED_VALUE"""),91.53)</f>
        <v>91.53</v>
      </c>
      <c r="F187" s="141">
        <f ca="1">IFERROR(__xludf.DUMMYFUNCTION("""COMPUTED_VALUE"""),91.54)</f>
        <v>91.54</v>
      </c>
      <c r="G187" s="143">
        <f ca="1">IFERROR(__xludf.DUMMYFUNCTION("""COMPUTED_VALUE"""),15874043)</f>
        <v>15874043</v>
      </c>
      <c r="H187" s="26"/>
    </row>
    <row r="188" spans="1:8" ht="17.25" customHeight="1" x14ac:dyDescent="0.2">
      <c r="A188" s="26"/>
      <c r="B188" s="139">
        <f ca="1">IFERROR(__xludf.DUMMYFUNCTION("""COMPUTED_VALUE"""),46100.6666666666)</f>
        <v>46100.666666666599</v>
      </c>
      <c r="C188" s="141">
        <f ca="1">IFERROR(__xludf.DUMMYFUNCTION("""COMPUTED_VALUE"""),91.54)</f>
        <v>91.54</v>
      </c>
      <c r="D188" s="141">
        <f ca="1">IFERROR(__xludf.DUMMYFUNCTION("""COMPUTED_VALUE"""),91.54)</f>
        <v>91.54</v>
      </c>
      <c r="E188" s="141">
        <f ca="1">IFERROR(__xludf.DUMMYFUNCTION("""COMPUTED_VALUE"""),91.53)</f>
        <v>91.53</v>
      </c>
      <c r="F188" s="141">
        <f ca="1">IFERROR(__xludf.DUMMYFUNCTION("""COMPUTED_VALUE"""),91.54)</f>
        <v>91.54</v>
      </c>
      <c r="G188" s="143">
        <f ca="1">IFERROR(__xludf.DUMMYFUNCTION("""COMPUTED_VALUE"""),14920974)</f>
        <v>14920974</v>
      </c>
      <c r="H188" s="26"/>
    </row>
    <row r="189" spans="1:8" ht="17.25" customHeight="1" x14ac:dyDescent="0.2">
      <c r="A189" s="26"/>
      <c r="B189" s="139">
        <f ca="1">IFERROR(__xludf.DUMMYFUNCTION("""COMPUTED_VALUE"""),46101.6666666666)</f>
        <v>46101.666666666599</v>
      </c>
      <c r="C189" s="141">
        <f ca="1">IFERROR(__xludf.DUMMYFUNCTION("""COMPUTED_VALUE"""),91.57)</f>
        <v>91.57</v>
      </c>
      <c r="D189" s="141">
        <f ca="1">IFERROR(__xludf.DUMMYFUNCTION("""COMPUTED_VALUE"""),91.57)</f>
        <v>91.57</v>
      </c>
      <c r="E189" s="141">
        <f ca="1">IFERROR(__xludf.DUMMYFUNCTION("""COMPUTED_VALUE"""),91.56)</f>
        <v>91.56</v>
      </c>
      <c r="F189" s="141">
        <f ca="1">IFERROR(__xludf.DUMMYFUNCTION("""COMPUTED_VALUE"""),91.57)</f>
        <v>91.57</v>
      </c>
      <c r="G189" s="143">
        <f ca="1">IFERROR(__xludf.DUMMYFUNCTION("""COMPUTED_VALUE"""),14839085)</f>
        <v>14839085</v>
      </c>
      <c r="H189" s="26"/>
    </row>
    <row r="190" spans="1:8" ht="17.25" customHeight="1" x14ac:dyDescent="0.2">
      <c r="A190" s="26"/>
      <c r="B190" s="139">
        <f ca="1">IFERROR(__xludf.DUMMYFUNCTION("""COMPUTED_VALUE"""),46104.6666666666)</f>
        <v>46104.666666666599</v>
      </c>
      <c r="C190" s="141">
        <f ca="1">IFERROR(__xludf.DUMMYFUNCTION("""COMPUTED_VALUE"""),91.58)</f>
        <v>91.58</v>
      </c>
      <c r="D190" s="141">
        <f ca="1">IFERROR(__xludf.DUMMYFUNCTION("""COMPUTED_VALUE"""),91.58)</f>
        <v>91.58</v>
      </c>
      <c r="E190" s="141">
        <f ca="1">IFERROR(__xludf.DUMMYFUNCTION("""COMPUTED_VALUE"""),91.57)</f>
        <v>91.57</v>
      </c>
      <c r="F190" s="141">
        <f ca="1">IFERROR(__xludf.DUMMYFUNCTION("""COMPUTED_VALUE"""),91.58)</f>
        <v>91.58</v>
      </c>
      <c r="G190" s="143">
        <f ca="1">IFERROR(__xludf.DUMMYFUNCTION("""COMPUTED_VALUE"""),30253899)</f>
        <v>30253899</v>
      </c>
      <c r="H190" s="26"/>
    </row>
    <row r="191" spans="1:8" ht="17.25" customHeight="1" x14ac:dyDescent="0.2">
      <c r="A191" s="26"/>
      <c r="B191" s="139">
        <f ca="1">IFERROR(__xludf.DUMMYFUNCTION("""COMPUTED_VALUE"""),46105.6666666666)</f>
        <v>46105.666666666599</v>
      </c>
      <c r="C191" s="141">
        <f ca="1">IFERROR(__xludf.DUMMYFUNCTION("""COMPUTED_VALUE"""),91.59)</f>
        <v>91.59</v>
      </c>
      <c r="D191" s="141">
        <f ca="1">IFERROR(__xludf.DUMMYFUNCTION("""COMPUTED_VALUE"""),91.59)</f>
        <v>91.59</v>
      </c>
      <c r="E191" s="141">
        <f ca="1">IFERROR(__xludf.DUMMYFUNCTION("""COMPUTED_VALUE"""),91.58)</f>
        <v>91.58</v>
      </c>
      <c r="F191" s="141">
        <f ca="1">IFERROR(__xludf.DUMMYFUNCTION("""COMPUTED_VALUE"""),91.59)</f>
        <v>91.59</v>
      </c>
      <c r="G191" s="143">
        <f ca="1">IFERROR(__xludf.DUMMYFUNCTION("""COMPUTED_VALUE"""),17380225)</f>
        <v>17380225</v>
      </c>
      <c r="H191" s="26"/>
    </row>
    <row r="192" spans="1:8" ht="17.25" customHeight="1" x14ac:dyDescent="0.2">
      <c r="A192" s="26"/>
      <c r="B192" s="139">
        <f ca="1">IFERROR(__xludf.DUMMYFUNCTION("""COMPUTED_VALUE"""),46106.6666666666)</f>
        <v>46106.666666666599</v>
      </c>
      <c r="C192" s="141">
        <f ca="1">IFERROR(__xludf.DUMMYFUNCTION("""COMPUTED_VALUE"""),91.59)</f>
        <v>91.59</v>
      </c>
      <c r="D192" s="141">
        <f ca="1">IFERROR(__xludf.DUMMYFUNCTION("""COMPUTED_VALUE"""),91.6)</f>
        <v>91.6</v>
      </c>
      <c r="E192" s="141">
        <f ca="1">IFERROR(__xludf.DUMMYFUNCTION("""COMPUTED_VALUE"""),91.58)</f>
        <v>91.58</v>
      </c>
      <c r="F192" s="141">
        <f ca="1">IFERROR(__xludf.DUMMYFUNCTION("""COMPUTED_VALUE"""),91.58)</f>
        <v>91.58</v>
      </c>
      <c r="G192" s="143">
        <f ca="1">IFERROR(__xludf.DUMMYFUNCTION("""COMPUTED_VALUE"""),16949531)</f>
        <v>16949531</v>
      </c>
      <c r="H192" s="26"/>
    </row>
    <row r="193" spans="1:8" ht="17.25" customHeight="1" x14ac:dyDescent="0.2">
      <c r="A193" s="26"/>
      <c r="B193" s="139">
        <f ca="1">IFERROR(__xludf.DUMMYFUNCTION("""COMPUTED_VALUE"""),46107.6666666666)</f>
        <v>46107.666666666599</v>
      </c>
      <c r="C193" s="141">
        <f ca="1">IFERROR(__xludf.DUMMYFUNCTION("""COMPUTED_VALUE"""),91.6)</f>
        <v>91.6</v>
      </c>
      <c r="D193" s="141">
        <f ca="1">IFERROR(__xludf.DUMMYFUNCTION("""COMPUTED_VALUE"""),91.6)</f>
        <v>91.6</v>
      </c>
      <c r="E193" s="141">
        <f ca="1">IFERROR(__xludf.DUMMYFUNCTION("""COMPUTED_VALUE"""),91.59)</f>
        <v>91.59</v>
      </c>
      <c r="F193" s="141">
        <f ca="1">IFERROR(__xludf.DUMMYFUNCTION("""COMPUTED_VALUE"""),91.6)</f>
        <v>91.6</v>
      </c>
      <c r="G193" s="143">
        <f ca="1">IFERROR(__xludf.DUMMYFUNCTION("""COMPUTED_VALUE"""),13198922)</f>
        <v>13198922</v>
      </c>
      <c r="H193" s="26"/>
    </row>
    <row r="194" spans="1:8" ht="17.25" customHeight="1" x14ac:dyDescent="0.2">
      <c r="A194" s="26"/>
      <c r="B194" s="139">
        <f ca="1">IFERROR(__xludf.DUMMYFUNCTION("""COMPUTED_VALUE"""),46108.6666666666)</f>
        <v>46108.666666666599</v>
      </c>
      <c r="C194" s="141">
        <f ca="1">IFERROR(__xludf.DUMMYFUNCTION("""COMPUTED_VALUE"""),91.62)</f>
        <v>91.62</v>
      </c>
      <c r="D194" s="141">
        <f ca="1">IFERROR(__xludf.DUMMYFUNCTION("""COMPUTED_VALUE"""),91.63)</f>
        <v>91.63</v>
      </c>
      <c r="E194" s="141">
        <f ca="1">IFERROR(__xludf.DUMMYFUNCTION("""COMPUTED_VALUE"""),91.62)</f>
        <v>91.62</v>
      </c>
      <c r="F194" s="141">
        <f ca="1">IFERROR(__xludf.DUMMYFUNCTION("""COMPUTED_VALUE"""),91.63)</f>
        <v>91.63</v>
      </c>
      <c r="G194" s="143">
        <f ca="1">IFERROR(__xludf.DUMMYFUNCTION("""COMPUTED_VALUE"""),11244001)</f>
        <v>11244001</v>
      </c>
      <c r="H194" s="26"/>
    </row>
    <row r="195" spans="1:8" ht="17.25" customHeight="1" x14ac:dyDescent="0.2">
      <c r="A195" s="26"/>
      <c r="B195" s="139">
        <f ca="1">IFERROR(__xludf.DUMMYFUNCTION("""COMPUTED_VALUE"""),46111.6666666666)</f>
        <v>46111.666666666599</v>
      </c>
      <c r="C195" s="141">
        <f ca="1">IFERROR(__xludf.DUMMYFUNCTION("""COMPUTED_VALUE"""),91.63)</f>
        <v>91.63</v>
      </c>
      <c r="D195" s="141">
        <f ca="1">IFERROR(__xludf.DUMMYFUNCTION("""COMPUTED_VALUE"""),91.64)</f>
        <v>91.64</v>
      </c>
      <c r="E195" s="141">
        <f ca="1">IFERROR(__xludf.DUMMYFUNCTION("""COMPUTED_VALUE"""),91.63)</f>
        <v>91.63</v>
      </c>
      <c r="F195" s="141">
        <f ca="1">IFERROR(__xludf.DUMMYFUNCTION("""COMPUTED_VALUE"""),91.64)</f>
        <v>91.64</v>
      </c>
      <c r="G195" s="143">
        <f ca="1">IFERROR(__xludf.DUMMYFUNCTION("""COMPUTED_VALUE"""),12479996)</f>
        <v>12479996</v>
      </c>
      <c r="H195" s="26"/>
    </row>
    <row r="196" spans="1:8" ht="17.25" customHeight="1" x14ac:dyDescent="0.2">
      <c r="A196" s="26"/>
      <c r="B196" s="139">
        <f ca="1">IFERROR(__xludf.DUMMYFUNCTION("""COMPUTED_VALUE"""),46112.6666666666)</f>
        <v>46112.666666666599</v>
      </c>
      <c r="C196" s="141">
        <f ca="1">IFERROR(__xludf.DUMMYFUNCTION("""COMPUTED_VALUE"""),91.64)</f>
        <v>91.64</v>
      </c>
      <c r="D196" s="141">
        <f ca="1">IFERROR(__xludf.DUMMYFUNCTION("""COMPUTED_VALUE"""),91.65)</f>
        <v>91.65</v>
      </c>
      <c r="E196" s="141">
        <f ca="1">IFERROR(__xludf.DUMMYFUNCTION("""COMPUTED_VALUE"""),91.64)</f>
        <v>91.64</v>
      </c>
      <c r="F196" s="141">
        <f ca="1">IFERROR(__xludf.DUMMYFUNCTION("""COMPUTED_VALUE"""),91.64)</f>
        <v>91.64</v>
      </c>
      <c r="G196" s="143">
        <f ca="1">IFERROR(__xludf.DUMMYFUNCTION("""COMPUTED_VALUE"""),20279772)</f>
        <v>20279772</v>
      </c>
      <c r="H196" s="26"/>
    </row>
    <row r="197" spans="1:8" ht="17.25" customHeight="1" x14ac:dyDescent="0.2">
      <c r="A197" s="26"/>
      <c r="B197" s="139">
        <f ca="1">IFERROR(__xludf.DUMMYFUNCTION("""COMPUTED_VALUE"""),46113.6666666666)</f>
        <v>46113.666666666599</v>
      </c>
      <c r="C197" s="141">
        <f ca="1">IFERROR(__xludf.DUMMYFUNCTION("""COMPUTED_VALUE"""),91.4)</f>
        <v>91.4</v>
      </c>
      <c r="D197" s="141">
        <f ca="1">IFERROR(__xludf.DUMMYFUNCTION("""COMPUTED_VALUE"""),91.4)</f>
        <v>91.4</v>
      </c>
      <c r="E197" s="141">
        <f ca="1">IFERROR(__xludf.DUMMYFUNCTION("""COMPUTED_VALUE"""),91.39)</f>
        <v>91.39</v>
      </c>
      <c r="F197" s="141">
        <f ca="1">IFERROR(__xludf.DUMMYFUNCTION("""COMPUTED_VALUE"""),91.4)</f>
        <v>91.4</v>
      </c>
      <c r="G197" s="143">
        <f ca="1">IFERROR(__xludf.DUMMYFUNCTION("""COMPUTED_VALUE"""),22095214)</f>
        <v>22095214</v>
      </c>
      <c r="H197" s="26"/>
    </row>
    <row r="198" spans="1:8" ht="17.25" customHeight="1" x14ac:dyDescent="0.2">
      <c r="A198" s="26"/>
      <c r="B198" s="139">
        <f ca="1">IFERROR(__xludf.DUMMYFUNCTION("""COMPUTED_VALUE"""),46114.6666666666)</f>
        <v>46114.666666666599</v>
      </c>
      <c r="C198" s="141">
        <f ca="1">IFERROR(__xludf.DUMMYFUNCTION("""COMPUTED_VALUE"""),91.43)</f>
        <v>91.43</v>
      </c>
      <c r="D198" s="141">
        <f ca="1">IFERROR(__xludf.DUMMYFUNCTION("""COMPUTED_VALUE"""),91.44)</f>
        <v>91.44</v>
      </c>
      <c r="E198" s="141">
        <f ca="1">IFERROR(__xludf.DUMMYFUNCTION("""COMPUTED_VALUE"""),91.42)</f>
        <v>91.42</v>
      </c>
      <c r="F198" s="141">
        <f ca="1">IFERROR(__xludf.DUMMYFUNCTION("""COMPUTED_VALUE"""),91.42)</f>
        <v>91.42</v>
      </c>
      <c r="G198" s="143">
        <f ca="1">IFERROR(__xludf.DUMMYFUNCTION("""COMPUTED_VALUE"""),11510320)</f>
        <v>11510320</v>
      </c>
      <c r="H198" s="26"/>
    </row>
    <row r="199" spans="1:8" ht="17.25" customHeight="1" x14ac:dyDescent="0.2">
      <c r="A199" s="26"/>
      <c r="B199" s="139">
        <f ca="1">IFERROR(__xludf.DUMMYFUNCTION("""COMPUTED_VALUE"""),46118.6666666666)</f>
        <v>46118.666666666599</v>
      </c>
      <c r="C199" s="141">
        <f ca="1">IFERROR(__xludf.DUMMYFUNCTION("""COMPUTED_VALUE"""),91.43)</f>
        <v>91.43</v>
      </c>
      <c r="D199" s="141">
        <f ca="1">IFERROR(__xludf.DUMMYFUNCTION("""COMPUTED_VALUE"""),91.44)</f>
        <v>91.44</v>
      </c>
      <c r="E199" s="141">
        <f ca="1">IFERROR(__xludf.DUMMYFUNCTION("""COMPUTED_VALUE"""),91.43)</f>
        <v>91.43</v>
      </c>
      <c r="F199" s="141">
        <f ca="1">IFERROR(__xludf.DUMMYFUNCTION("""COMPUTED_VALUE"""),91.44)</f>
        <v>91.44</v>
      </c>
      <c r="G199" s="143">
        <f ca="1">IFERROR(__xludf.DUMMYFUNCTION("""COMPUTED_VALUE"""),17291492)</f>
        <v>17291492</v>
      </c>
      <c r="H199" s="26"/>
    </row>
    <row r="200" spans="1:8" ht="17.25" customHeight="1" x14ac:dyDescent="0.2">
      <c r="A200" s="26"/>
      <c r="B200" s="139">
        <f ca="1">IFERROR(__xludf.DUMMYFUNCTION("""COMPUTED_VALUE"""),46119.6666666666)</f>
        <v>46119.666666666599</v>
      </c>
      <c r="C200" s="141">
        <f ca="1">IFERROR(__xludf.DUMMYFUNCTION("""COMPUTED_VALUE"""),91.45)</f>
        <v>91.45</v>
      </c>
      <c r="D200" s="141">
        <f ca="1">IFERROR(__xludf.DUMMYFUNCTION("""COMPUTED_VALUE"""),91.45)</f>
        <v>91.45</v>
      </c>
      <c r="E200" s="141">
        <f ca="1">IFERROR(__xludf.DUMMYFUNCTION("""COMPUTED_VALUE"""),91.44)</f>
        <v>91.44</v>
      </c>
      <c r="F200" s="141">
        <f ca="1">IFERROR(__xludf.DUMMYFUNCTION("""COMPUTED_VALUE"""),91.45)</f>
        <v>91.45</v>
      </c>
      <c r="G200" s="143">
        <f ca="1">IFERROR(__xludf.DUMMYFUNCTION("""COMPUTED_VALUE"""),9231608)</f>
        <v>9231608</v>
      </c>
      <c r="H200" s="26"/>
    </row>
    <row r="201" spans="1:8" ht="17.25" customHeight="1" x14ac:dyDescent="0.2">
      <c r="A201" s="26"/>
      <c r="B201" s="139">
        <f ca="1">IFERROR(__xludf.DUMMYFUNCTION("""COMPUTED_VALUE"""),46120.6666666666)</f>
        <v>46120.666666666599</v>
      </c>
      <c r="C201" s="141">
        <f ca="1">IFERROR(__xludf.DUMMYFUNCTION("""COMPUTED_VALUE"""),91.46)</f>
        <v>91.46</v>
      </c>
      <c r="D201" s="141">
        <f ca="1">IFERROR(__xludf.DUMMYFUNCTION("""COMPUTED_VALUE"""),91.46)</f>
        <v>91.46</v>
      </c>
      <c r="E201" s="141">
        <f ca="1">IFERROR(__xludf.DUMMYFUNCTION("""COMPUTED_VALUE"""),91.45)</f>
        <v>91.45</v>
      </c>
      <c r="F201" s="141">
        <f ca="1">IFERROR(__xludf.DUMMYFUNCTION("""COMPUTED_VALUE"""),91.45)</f>
        <v>91.45</v>
      </c>
      <c r="G201" s="143">
        <f ca="1">IFERROR(__xludf.DUMMYFUNCTION("""COMPUTED_VALUE"""),13839398)</f>
        <v>13839398</v>
      </c>
      <c r="H201" s="26"/>
    </row>
    <row r="202" spans="1:8" ht="17.25" customHeight="1" x14ac:dyDescent="0.2">
      <c r="A202" s="26"/>
      <c r="B202" s="139">
        <f ca="1">IFERROR(__xludf.DUMMYFUNCTION("""COMPUTED_VALUE"""),46121.6666666666)</f>
        <v>46121.666666666599</v>
      </c>
      <c r="C202" s="141">
        <f ca="1">IFERROR(__xludf.DUMMYFUNCTION("""COMPUTED_VALUE"""),91.46)</f>
        <v>91.46</v>
      </c>
      <c r="D202" s="141">
        <f ca="1">IFERROR(__xludf.DUMMYFUNCTION("""COMPUTED_VALUE"""),91.47)</f>
        <v>91.47</v>
      </c>
      <c r="E202" s="141">
        <f ca="1">IFERROR(__xludf.DUMMYFUNCTION("""COMPUTED_VALUE"""),91.46)</f>
        <v>91.46</v>
      </c>
      <c r="F202" s="141">
        <f ca="1">IFERROR(__xludf.DUMMYFUNCTION("""COMPUTED_VALUE"""),91.46)</f>
        <v>91.46</v>
      </c>
      <c r="G202" s="143">
        <f ca="1">IFERROR(__xludf.DUMMYFUNCTION("""COMPUTED_VALUE"""),15586488)</f>
        <v>15586488</v>
      </c>
      <c r="H202" s="26"/>
    </row>
    <row r="203" spans="1:8" ht="17.25" customHeight="1" x14ac:dyDescent="0.2">
      <c r="A203" s="26"/>
      <c r="B203" s="139">
        <f ca="1">IFERROR(__xludf.DUMMYFUNCTION("""COMPUTED_VALUE"""),46122.6666666666)</f>
        <v>46122.666666666599</v>
      </c>
      <c r="C203" s="141">
        <f ca="1">IFERROR(__xludf.DUMMYFUNCTION("""COMPUTED_VALUE"""),91.49)</f>
        <v>91.49</v>
      </c>
      <c r="D203" s="141">
        <f ca="1">IFERROR(__xludf.DUMMYFUNCTION("""COMPUTED_VALUE"""),91.5)</f>
        <v>91.5</v>
      </c>
      <c r="E203" s="141">
        <f ca="1">IFERROR(__xludf.DUMMYFUNCTION("""COMPUTED_VALUE"""),91.49)</f>
        <v>91.49</v>
      </c>
      <c r="F203" s="141">
        <f ca="1">IFERROR(__xludf.DUMMYFUNCTION("""COMPUTED_VALUE"""),91.49)</f>
        <v>91.49</v>
      </c>
      <c r="G203" s="143">
        <f ca="1">IFERROR(__xludf.DUMMYFUNCTION("""COMPUTED_VALUE"""),10595159)</f>
        <v>10595159</v>
      </c>
      <c r="H203" s="26"/>
    </row>
    <row r="204" spans="1:8" ht="17.25" customHeight="1" x14ac:dyDescent="0.2">
      <c r="A204" s="26"/>
      <c r="B204" s="139">
        <f ca="1">IFERROR(__xludf.DUMMYFUNCTION("""COMPUTED_VALUE"""),46125.6666666666)</f>
        <v>46125.666666666599</v>
      </c>
      <c r="C204" s="141">
        <f ca="1">IFERROR(__xludf.DUMMYFUNCTION("""COMPUTED_VALUE"""),91.5)</f>
        <v>91.5</v>
      </c>
      <c r="D204" s="141">
        <f ca="1">IFERROR(__xludf.DUMMYFUNCTION("""COMPUTED_VALUE"""),91.51)</f>
        <v>91.51</v>
      </c>
      <c r="E204" s="141">
        <f ca="1">IFERROR(__xludf.DUMMYFUNCTION("""COMPUTED_VALUE"""),91.49)</f>
        <v>91.49</v>
      </c>
      <c r="F204" s="141">
        <f ca="1">IFERROR(__xludf.DUMMYFUNCTION("""COMPUTED_VALUE"""),91.49)</f>
        <v>91.49</v>
      </c>
      <c r="G204" s="143">
        <f ca="1">IFERROR(__xludf.DUMMYFUNCTION("""COMPUTED_VALUE"""),9906240)</f>
        <v>9906240</v>
      </c>
      <c r="H204" s="26"/>
    </row>
    <row r="205" spans="1:8" ht="17.25" customHeight="1" x14ac:dyDescent="0.2">
      <c r="A205" s="26"/>
      <c r="B205" s="139">
        <f ca="1">IFERROR(__xludf.DUMMYFUNCTION("""COMPUTED_VALUE"""),46126.6666666666)</f>
        <v>46126.666666666599</v>
      </c>
      <c r="C205" s="141">
        <f ca="1">IFERROR(__xludf.DUMMYFUNCTION("""COMPUTED_VALUE"""),91.5)</f>
        <v>91.5</v>
      </c>
      <c r="D205" s="141">
        <f ca="1">IFERROR(__xludf.DUMMYFUNCTION("""COMPUTED_VALUE"""),91.51)</f>
        <v>91.51</v>
      </c>
      <c r="E205" s="141">
        <f ca="1">IFERROR(__xludf.DUMMYFUNCTION("""COMPUTED_VALUE"""),91.5)</f>
        <v>91.5</v>
      </c>
      <c r="F205" s="141">
        <f ca="1">IFERROR(__xludf.DUMMYFUNCTION("""COMPUTED_VALUE"""),91.5)</f>
        <v>91.5</v>
      </c>
      <c r="G205" s="143">
        <f ca="1">IFERROR(__xludf.DUMMYFUNCTION("""COMPUTED_VALUE"""),21667639)</f>
        <v>21667639</v>
      </c>
      <c r="H205" s="26"/>
    </row>
    <row r="206" spans="1:8" ht="17.25" customHeight="1" x14ac:dyDescent="0.2">
      <c r="A206" s="26"/>
      <c r="B206" s="139">
        <f ca="1">IFERROR(__xludf.DUMMYFUNCTION("""COMPUTED_VALUE"""),46127.6666666666)</f>
        <v>46127.666666666599</v>
      </c>
      <c r="C206" s="141">
        <f ca="1">IFERROR(__xludf.DUMMYFUNCTION("""COMPUTED_VALUE"""),91.51)</f>
        <v>91.51</v>
      </c>
      <c r="D206" s="141">
        <f ca="1">IFERROR(__xludf.DUMMYFUNCTION("""COMPUTED_VALUE"""),91.52)</f>
        <v>91.52</v>
      </c>
      <c r="E206" s="141">
        <f ca="1">IFERROR(__xludf.DUMMYFUNCTION("""COMPUTED_VALUE"""),91.51)</f>
        <v>91.51</v>
      </c>
      <c r="F206" s="141">
        <f ca="1">IFERROR(__xludf.DUMMYFUNCTION("""COMPUTED_VALUE"""),91.51)</f>
        <v>91.51</v>
      </c>
      <c r="G206" s="143">
        <f ca="1">IFERROR(__xludf.DUMMYFUNCTION("""COMPUTED_VALUE"""),18583608)</f>
        <v>18583608</v>
      </c>
      <c r="H206" s="26"/>
    </row>
    <row r="207" spans="1:8" ht="17.25" customHeight="1" x14ac:dyDescent="0.2">
      <c r="A207" s="26"/>
      <c r="B207" s="139">
        <f ca="1">IFERROR(__xludf.DUMMYFUNCTION("""COMPUTED_VALUE"""),46128.6666666666)</f>
        <v>46128.666666666599</v>
      </c>
      <c r="C207" s="141">
        <f ca="1">IFERROR(__xludf.DUMMYFUNCTION("""COMPUTED_VALUE"""),91.52)</f>
        <v>91.52</v>
      </c>
      <c r="D207" s="141">
        <f ca="1">IFERROR(__xludf.DUMMYFUNCTION("""COMPUTED_VALUE"""),91.53)</f>
        <v>91.53</v>
      </c>
      <c r="E207" s="141">
        <f ca="1">IFERROR(__xludf.DUMMYFUNCTION("""COMPUTED_VALUE"""),91.52)</f>
        <v>91.52</v>
      </c>
      <c r="F207" s="141">
        <f ca="1">IFERROR(__xludf.DUMMYFUNCTION("""COMPUTED_VALUE"""),91.52)</f>
        <v>91.52</v>
      </c>
      <c r="G207" s="143">
        <f ca="1">IFERROR(__xludf.DUMMYFUNCTION("""COMPUTED_VALUE"""),17779780)</f>
        <v>17779780</v>
      </c>
      <c r="H207" s="26"/>
    </row>
    <row r="208" spans="1:8" ht="17.25" customHeight="1" x14ac:dyDescent="0.2">
      <c r="A208" s="26"/>
      <c r="B208" s="139">
        <f ca="1">IFERROR(__xludf.DUMMYFUNCTION("""COMPUTED_VALUE"""),46129.6666666666)</f>
        <v>46129.666666666599</v>
      </c>
      <c r="C208" s="141">
        <f ca="1">IFERROR(__xludf.DUMMYFUNCTION("""COMPUTED_VALUE"""),91.55)</f>
        <v>91.55</v>
      </c>
      <c r="D208" s="141">
        <f ca="1">IFERROR(__xludf.DUMMYFUNCTION("""COMPUTED_VALUE"""),91.56)</f>
        <v>91.56</v>
      </c>
      <c r="E208" s="141">
        <f ca="1">IFERROR(__xludf.DUMMYFUNCTION("""COMPUTED_VALUE"""),91.54)</f>
        <v>91.54</v>
      </c>
      <c r="F208" s="141">
        <f ca="1">IFERROR(__xludf.DUMMYFUNCTION("""COMPUTED_VALUE"""),91.55)</f>
        <v>91.55</v>
      </c>
      <c r="G208" s="143">
        <f ca="1">IFERROR(__xludf.DUMMYFUNCTION("""COMPUTED_VALUE"""),13604095)</f>
        <v>13604095</v>
      </c>
      <c r="H208" s="26"/>
    </row>
    <row r="209" spans="1:8" ht="17.25" customHeight="1" x14ac:dyDescent="0.2">
      <c r="A209" s="26"/>
      <c r="B209" s="139">
        <f ca="1">IFERROR(__xludf.DUMMYFUNCTION("""COMPUTED_VALUE"""),46132.6666666666)</f>
        <v>46132.666666666599</v>
      </c>
      <c r="C209" s="141">
        <f ca="1">IFERROR(__xludf.DUMMYFUNCTION("""COMPUTED_VALUE"""),91.56)</f>
        <v>91.56</v>
      </c>
      <c r="D209" s="141">
        <f ca="1">IFERROR(__xludf.DUMMYFUNCTION("""COMPUTED_VALUE"""),91.56)</f>
        <v>91.56</v>
      </c>
      <c r="E209" s="141">
        <f ca="1">IFERROR(__xludf.DUMMYFUNCTION("""COMPUTED_VALUE"""),91.55)</f>
        <v>91.55</v>
      </c>
      <c r="F209" s="141">
        <f ca="1">IFERROR(__xludf.DUMMYFUNCTION("""COMPUTED_VALUE"""),91.56)</f>
        <v>91.56</v>
      </c>
      <c r="G209" s="143">
        <f ca="1">IFERROR(__xludf.DUMMYFUNCTION("""COMPUTED_VALUE"""),7961378)</f>
        <v>7961378</v>
      </c>
      <c r="H209" s="26"/>
    </row>
    <row r="210" spans="1:8" ht="17.25" customHeight="1" x14ac:dyDescent="0.2">
      <c r="A210" s="26"/>
      <c r="B210" s="139">
        <f ca="1">IFERROR(__xludf.DUMMYFUNCTION("""COMPUTED_VALUE"""),46133.6666666666)</f>
        <v>46133.666666666599</v>
      </c>
      <c r="C210" s="141">
        <f ca="1">IFERROR(__xludf.DUMMYFUNCTION("""COMPUTED_VALUE"""),91.57)</f>
        <v>91.57</v>
      </c>
      <c r="D210" s="141">
        <f ca="1">IFERROR(__xludf.DUMMYFUNCTION("""COMPUTED_VALUE"""),91.57)</f>
        <v>91.57</v>
      </c>
      <c r="E210" s="141">
        <f ca="1">IFERROR(__xludf.DUMMYFUNCTION("""COMPUTED_VALUE"""),91.56)</f>
        <v>91.56</v>
      </c>
      <c r="F210" s="141">
        <f ca="1">IFERROR(__xludf.DUMMYFUNCTION("""COMPUTED_VALUE"""),91.57)</f>
        <v>91.57</v>
      </c>
      <c r="G210" s="143">
        <f ca="1">IFERROR(__xludf.DUMMYFUNCTION("""COMPUTED_VALUE"""),8177563)</f>
        <v>8177563</v>
      </c>
      <c r="H210" s="26"/>
    </row>
    <row r="211" spans="1:8" ht="17.25" customHeight="1" x14ac:dyDescent="0.2">
      <c r="A211" s="26"/>
      <c r="B211" s="139">
        <f ca="1">IFERROR(__xludf.DUMMYFUNCTION("""COMPUTED_VALUE"""),46134.6666666666)</f>
        <v>46134.666666666599</v>
      </c>
      <c r="C211" s="141">
        <f ca="1">IFERROR(__xludf.DUMMYFUNCTION("""COMPUTED_VALUE"""),91.57)</f>
        <v>91.57</v>
      </c>
      <c r="D211" s="141">
        <f ca="1">IFERROR(__xludf.DUMMYFUNCTION("""COMPUTED_VALUE"""),91.58)</f>
        <v>91.58</v>
      </c>
      <c r="E211" s="141">
        <f ca="1">IFERROR(__xludf.DUMMYFUNCTION("""COMPUTED_VALUE"""),91.57)</f>
        <v>91.57</v>
      </c>
      <c r="F211" s="141">
        <f ca="1">IFERROR(__xludf.DUMMYFUNCTION("""COMPUTED_VALUE"""),91.57)</f>
        <v>91.57</v>
      </c>
      <c r="G211" s="143">
        <f ca="1">IFERROR(__xludf.DUMMYFUNCTION("""COMPUTED_VALUE"""),9669319)</f>
        <v>9669319</v>
      </c>
      <c r="H211" s="26"/>
    </row>
    <row r="212" spans="1:8" ht="17.25" customHeight="1" x14ac:dyDescent="0.2">
      <c r="A212" s="26"/>
      <c r="B212" s="139">
        <f ca="1">IFERROR(__xludf.DUMMYFUNCTION("""COMPUTED_VALUE"""),46135.6666666666)</f>
        <v>46135.666666666599</v>
      </c>
      <c r="C212" s="141">
        <f ca="1">IFERROR(__xludf.DUMMYFUNCTION("""COMPUTED_VALUE"""),91.58)</f>
        <v>91.58</v>
      </c>
      <c r="D212" s="141">
        <f ca="1">IFERROR(__xludf.DUMMYFUNCTION("""COMPUTED_VALUE"""),91.59)</f>
        <v>91.59</v>
      </c>
      <c r="E212" s="141">
        <f ca="1">IFERROR(__xludf.DUMMYFUNCTION("""COMPUTED_VALUE"""),91.58)</f>
        <v>91.58</v>
      </c>
      <c r="F212" s="141">
        <f ca="1">IFERROR(__xludf.DUMMYFUNCTION("""COMPUTED_VALUE"""),91.59)</f>
        <v>91.59</v>
      </c>
      <c r="G212" s="143">
        <f ca="1">IFERROR(__xludf.DUMMYFUNCTION("""COMPUTED_VALUE"""),6740989)</f>
        <v>6740989</v>
      </c>
      <c r="H212" s="26"/>
    </row>
    <row r="213" spans="1:8" ht="17.25" customHeight="1" x14ac:dyDescent="0.2">
      <c r="A213" s="26"/>
      <c r="B213" s="139">
        <f ca="1">IFERROR(__xludf.DUMMYFUNCTION("""COMPUTED_VALUE"""),46136.6666666666)</f>
        <v>46136.666666666599</v>
      </c>
      <c r="C213" s="141">
        <f ca="1">IFERROR(__xludf.DUMMYFUNCTION("""COMPUTED_VALUE"""),91.62)</f>
        <v>91.62</v>
      </c>
      <c r="D213" s="141">
        <f ca="1">IFERROR(__xludf.DUMMYFUNCTION("""COMPUTED_VALUE"""),91.62)</f>
        <v>91.62</v>
      </c>
      <c r="E213" s="141">
        <f ca="1">IFERROR(__xludf.DUMMYFUNCTION("""COMPUTED_VALUE"""),91.61)</f>
        <v>91.61</v>
      </c>
      <c r="F213" s="141">
        <f ca="1">IFERROR(__xludf.DUMMYFUNCTION("""COMPUTED_VALUE"""),91.61)</f>
        <v>91.61</v>
      </c>
      <c r="G213" s="143">
        <f ca="1">IFERROR(__xludf.DUMMYFUNCTION("""COMPUTED_VALUE"""),7270202)</f>
        <v>7270202</v>
      </c>
      <c r="H213" s="26"/>
    </row>
    <row r="214" spans="1:8" ht="17.25" customHeight="1" x14ac:dyDescent="0.2">
      <c r="A214" s="26"/>
      <c r="B214" s="139">
        <f ca="1">IFERROR(__xludf.DUMMYFUNCTION("""COMPUTED_VALUE"""),46139.6666666666)</f>
        <v>46139.666666666599</v>
      </c>
      <c r="C214" s="141">
        <f ca="1">IFERROR(__xludf.DUMMYFUNCTION("""COMPUTED_VALUE"""),91.62)</f>
        <v>91.62</v>
      </c>
      <c r="D214" s="141">
        <f ca="1">IFERROR(__xludf.DUMMYFUNCTION("""COMPUTED_VALUE"""),91.63)</f>
        <v>91.63</v>
      </c>
      <c r="E214" s="141">
        <f ca="1">IFERROR(__xludf.DUMMYFUNCTION("""COMPUTED_VALUE"""),91.62)</f>
        <v>91.62</v>
      </c>
      <c r="F214" s="141">
        <f ca="1">IFERROR(__xludf.DUMMYFUNCTION("""COMPUTED_VALUE"""),91.62)</f>
        <v>91.62</v>
      </c>
      <c r="G214" s="143">
        <f ca="1">IFERROR(__xludf.DUMMYFUNCTION("""COMPUTED_VALUE"""),8616050)</f>
        <v>8616050</v>
      </c>
      <c r="H214" s="26"/>
    </row>
    <row r="215" spans="1:8" ht="17.25" customHeight="1" x14ac:dyDescent="0.2">
      <c r="A215" s="26"/>
      <c r="B215" s="139">
        <f ca="1">IFERROR(__xludf.DUMMYFUNCTION("""COMPUTED_VALUE"""),46140.6666666666)</f>
        <v>46140.666666666599</v>
      </c>
      <c r="C215" s="141">
        <f ca="1">IFERROR(__xludf.DUMMYFUNCTION("""COMPUTED_VALUE"""),91.63)</f>
        <v>91.63</v>
      </c>
      <c r="D215" s="141">
        <f ca="1">IFERROR(__xludf.DUMMYFUNCTION("""COMPUTED_VALUE"""),91.64)</f>
        <v>91.64</v>
      </c>
      <c r="E215" s="141">
        <f ca="1">IFERROR(__xludf.DUMMYFUNCTION("""COMPUTED_VALUE"""),91.63)</f>
        <v>91.63</v>
      </c>
      <c r="F215" s="141">
        <f ca="1">IFERROR(__xludf.DUMMYFUNCTION("""COMPUTED_VALUE"""),91.63)</f>
        <v>91.63</v>
      </c>
      <c r="G215" s="143">
        <f ca="1">IFERROR(__xludf.DUMMYFUNCTION("""COMPUTED_VALUE"""),6500483)</f>
        <v>6500483</v>
      </c>
      <c r="H215" s="26"/>
    </row>
    <row r="216" spans="1:8" ht="17.25" customHeight="1" x14ac:dyDescent="0.2">
      <c r="A216" s="26"/>
      <c r="B216" s="139">
        <f ca="1">IFERROR(__xludf.DUMMYFUNCTION("""COMPUTED_VALUE"""),46141.6666666666)</f>
        <v>46141.666666666599</v>
      </c>
      <c r="C216" s="141">
        <f ca="1">IFERROR(__xludf.DUMMYFUNCTION("""COMPUTED_VALUE"""),91.64)</f>
        <v>91.64</v>
      </c>
      <c r="D216" s="141">
        <f ca="1">IFERROR(__xludf.DUMMYFUNCTION("""COMPUTED_VALUE"""),91.64)</f>
        <v>91.64</v>
      </c>
      <c r="E216" s="141">
        <f ca="1">IFERROR(__xludf.DUMMYFUNCTION("""COMPUTED_VALUE"""),91.63)</f>
        <v>91.63</v>
      </c>
      <c r="F216" s="141">
        <f ca="1">IFERROR(__xludf.DUMMYFUNCTION("""COMPUTED_VALUE"""),91.63)</f>
        <v>91.63</v>
      </c>
      <c r="G216" s="143">
        <f ca="1">IFERROR(__xludf.DUMMYFUNCTION("""COMPUTED_VALUE"""),9227133)</f>
        <v>9227133</v>
      </c>
      <c r="H216" s="26"/>
    </row>
    <row r="217" spans="1:8" ht="17.25" customHeight="1" x14ac:dyDescent="0.2">
      <c r="A217" s="26"/>
      <c r="B217" s="139">
        <f ca="1">IFERROR(__xludf.DUMMYFUNCTION("""COMPUTED_VALUE"""),46142.6666666666)</f>
        <v>46142.666666666599</v>
      </c>
      <c r="C217" s="141">
        <f ca="1">IFERROR(__xludf.DUMMYFUNCTION("""COMPUTED_VALUE"""),91.64)</f>
        <v>91.64</v>
      </c>
      <c r="D217" s="141">
        <f ca="1">IFERROR(__xludf.DUMMYFUNCTION("""COMPUTED_VALUE"""),91.65)</f>
        <v>91.65</v>
      </c>
      <c r="E217" s="141">
        <f ca="1">IFERROR(__xludf.DUMMYFUNCTION("""COMPUTED_VALUE"""),91.64)</f>
        <v>91.64</v>
      </c>
      <c r="F217" s="141">
        <f ca="1">IFERROR(__xludf.DUMMYFUNCTION("""COMPUTED_VALUE"""),91.64)</f>
        <v>91.64</v>
      </c>
      <c r="G217" s="143">
        <f ca="1">IFERROR(__xludf.DUMMYFUNCTION("""COMPUTED_VALUE"""),14975114)</f>
        <v>14975114</v>
      </c>
      <c r="H217" s="26"/>
    </row>
    <row r="218" spans="1:8" ht="17.25" customHeight="1" x14ac:dyDescent="0.2">
      <c r="A218" s="26"/>
      <c r="B218" s="139">
        <f ca="1">IFERROR(__xludf.DUMMYFUNCTION("""COMPUTED_VALUE"""),46143.6666666666)</f>
        <v>46143.666666666599</v>
      </c>
      <c r="C218" s="141">
        <f ca="1">IFERROR(__xludf.DUMMYFUNCTION("""COMPUTED_VALUE"""),91.41)</f>
        <v>91.41</v>
      </c>
      <c r="D218" s="141">
        <f ca="1">IFERROR(__xludf.DUMMYFUNCTION("""COMPUTED_VALUE"""),91.41)</f>
        <v>91.41</v>
      </c>
      <c r="E218" s="141">
        <f ca="1">IFERROR(__xludf.DUMMYFUNCTION("""COMPUTED_VALUE"""),91.4)</f>
        <v>91.4</v>
      </c>
      <c r="F218" s="141">
        <f ca="1">IFERROR(__xludf.DUMMYFUNCTION("""COMPUTED_VALUE"""),91.4)</f>
        <v>91.4</v>
      </c>
      <c r="G218" s="143">
        <f ca="1">IFERROR(__xludf.DUMMYFUNCTION("""COMPUTED_VALUE"""),14126115)</f>
        <v>14126115</v>
      </c>
      <c r="H218" s="26"/>
    </row>
    <row r="219" spans="1:8" ht="17.25" customHeight="1" x14ac:dyDescent="0.2">
      <c r="A219" s="26"/>
      <c r="B219" s="139">
        <f ca="1">IFERROR(__xludf.DUMMYFUNCTION("""COMPUTED_VALUE"""),46146.6666666666)</f>
        <v>46146.666666666599</v>
      </c>
      <c r="C219" s="141">
        <f ca="1">IFERROR(__xludf.DUMMYFUNCTION("""COMPUTED_VALUE"""),91.41)</f>
        <v>91.41</v>
      </c>
      <c r="D219" s="141">
        <f ca="1">IFERROR(__xludf.DUMMYFUNCTION("""COMPUTED_VALUE"""),91.42)</f>
        <v>91.42</v>
      </c>
      <c r="E219" s="141">
        <f ca="1">IFERROR(__xludf.DUMMYFUNCTION("""COMPUTED_VALUE"""),91.41)</f>
        <v>91.41</v>
      </c>
      <c r="F219" s="141">
        <f ca="1">IFERROR(__xludf.DUMMYFUNCTION("""COMPUTED_VALUE"""),91.42)</f>
        <v>91.42</v>
      </c>
      <c r="G219" s="143">
        <f ca="1">IFERROR(__xludf.DUMMYFUNCTION("""COMPUTED_VALUE"""),10297737)</f>
        <v>10297737</v>
      </c>
      <c r="H219" s="26"/>
    </row>
    <row r="220" spans="1:8" ht="17.25" customHeight="1" x14ac:dyDescent="0.2">
      <c r="A220" s="26"/>
      <c r="B220" s="139">
        <f ca="1">IFERROR(__xludf.DUMMYFUNCTION("""COMPUTED_VALUE"""),46147.6666666666)</f>
        <v>46147.666666666599</v>
      </c>
      <c r="C220" s="141">
        <f ca="1">IFERROR(__xludf.DUMMYFUNCTION("""COMPUTED_VALUE"""),91.43)</f>
        <v>91.43</v>
      </c>
      <c r="D220" s="141">
        <f ca="1">IFERROR(__xludf.DUMMYFUNCTION("""COMPUTED_VALUE"""),91.43)</f>
        <v>91.43</v>
      </c>
      <c r="E220" s="141">
        <f ca="1">IFERROR(__xludf.DUMMYFUNCTION("""COMPUTED_VALUE"""),91.42)</f>
        <v>91.42</v>
      </c>
      <c r="F220" s="141">
        <f ca="1">IFERROR(__xludf.DUMMYFUNCTION("""COMPUTED_VALUE"""),91.43)</f>
        <v>91.43</v>
      </c>
      <c r="G220" s="143">
        <f ca="1">IFERROR(__xludf.DUMMYFUNCTION("""COMPUTED_VALUE"""),9783262)</f>
        <v>9783262</v>
      </c>
      <c r="H220" s="26"/>
    </row>
    <row r="221" spans="1:8" ht="17.25" customHeight="1" x14ac:dyDescent="0.2">
      <c r="A221" s="26"/>
      <c r="B221" s="139">
        <f ca="1">IFERROR(__xludf.DUMMYFUNCTION("""COMPUTED_VALUE"""),46148.6666666666)</f>
        <v>46148.666666666599</v>
      </c>
      <c r="C221" s="141">
        <f ca="1">IFERROR(__xludf.DUMMYFUNCTION("""COMPUTED_VALUE"""),91.42)</f>
        <v>91.42</v>
      </c>
      <c r="D221" s="141">
        <f ca="1">IFERROR(__xludf.DUMMYFUNCTION("""COMPUTED_VALUE"""),91.43)</f>
        <v>91.43</v>
      </c>
      <c r="E221" s="141">
        <f ca="1">IFERROR(__xludf.DUMMYFUNCTION("""COMPUTED_VALUE"""),91.42)</f>
        <v>91.42</v>
      </c>
      <c r="F221" s="141">
        <f ca="1">IFERROR(__xludf.DUMMYFUNCTION("""COMPUTED_VALUE"""),91.42)</f>
        <v>91.42</v>
      </c>
      <c r="G221" s="143">
        <f ca="1">IFERROR(__xludf.DUMMYFUNCTION("""COMPUTED_VALUE"""),8293502)</f>
        <v>8293502</v>
      </c>
      <c r="H221" s="26"/>
    </row>
    <row r="222" spans="1:8" ht="17.25" customHeight="1" x14ac:dyDescent="0.2">
      <c r="A222" s="26"/>
      <c r="B222" s="139">
        <f ca="1">IFERROR(__xludf.DUMMYFUNCTION("""COMPUTED_VALUE"""),46149.6666666666)</f>
        <v>46149.666666666599</v>
      </c>
      <c r="C222" s="141">
        <f ca="1">IFERROR(__xludf.DUMMYFUNCTION("""COMPUTED_VALUE"""),91.44)</f>
        <v>91.44</v>
      </c>
      <c r="D222" s="141">
        <f ca="1">IFERROR(__xludf.DUMMYFUNCTION("""COMPUTED_VALUE"""),91.44)</f>
        <v>91.44</v>
      </c>
      <c r="E222" s="141">
        <f ca="1">IFERROR(__xludf.DUMMYFUNCTION("""COMPUTED_VALUE"""),91.43)</f>
        <v>91.43</v>
      </c>
      <c r="F222" s="141">
        <f ca="1">IFERROR(__xludf.DUMMYFUNCTION("""COMPUTED_VALUE"""),91.44)</f>
        <v>91.44</v>
      </c>
      <c r="G222" s="143">
        <f ca="1">IFERROR(__xludf.DUMMYFUNCTION("""COMPUTED_VALUE"""),8040806)</f>
        <v>8040806</v>
      </c>
      <c r="H222" s="26"/>
    </row>
    <row r="223" spans="1:8" ht="17.25" customHeight="1" x14ac:dyDescent="0.2">
      <c r="A223" s="26"/>
      <c r="B223" s="139">
        <f ca="1">IFERROR(__xludf.DUMMYFUNCTION("""COMPUTED_VALUE"""),46150.6666666666)</f>
        <v>46150.666666666599</v>
      </c>
      <c r="C223" s="141">
        <f ca="1">IFERROR(__xludf.DUMMYFUNCTION("""COMPUTED_VALUE"""),91.46)</f>
        <v>91.46</v>
      </c>
      <c r="D223" s="141">
        <f ca="1">IFERROR(__xludf.DUMMYFUNCTION("""COMPUTED_VALUE"""),91.47)</f>
        <v>91.47</v>
      </c>
      <c r="E223" s="141">
        <f ca="1">IFERROR(__xludf.DUMMYFUNCTION("""COMPUTED_VALUE"""),91.46)</f>
        <v>91.46</v>
      </c>
      <c r="F223" s="141">
        <f ca="1">IFERROR(__xludf.DUMMYFUNCTION("""COMPUTED_VALUE"""),91.46)</f>
        <v>91.46</v>
      </c>
      <c r="G223" s="143">
        <f ca="1">IFERROR(__xludf.DUMMYFUNCTION("""COMPUTED_VALUE"""),8043370)</f>
        <v>8043370</v>
      </c>
      <c r="H223" s="26"/>
    </row>
    <row r="224" spans="1:8" ht="17.25" customHeight="1" x14ac:dyDescent="0.2">
      <c r="A224" s="26"/>
      <c r="B224" s="139">
        <f ca="1">IFERROR(__xludf.DUMMYFUNCTION("""COMPUTED_VALUE"""),46153.6666666666)</f>
        <v>46153.666666666599</v>
      </c>
      <c r="C224" s="141">
        <f ca="1">IFERROR(__xludf.DUMMYFUNCTION("""COMPUTED_VALUE"""),91.48)</f>
        <v>91.48</v>
      </c>
      <c r="D224" s="141">
        <f ca="1">IFERROR(__xludf.DUMMYFUNCTION("""COMPUTED_VALUE"""),91.48)</f>
        <v>91.48</v>
      </c>
      <c r="E224" s="141">
        <f ca="1">IFERROR(__xludf.DUMMYFUNCTION("""COMPUTED_VALUE"""),91.47)</f>
        <v>91.47</v>
      </c>
      <c r="F224" s="141">
        <f ca="1">IFERROR(__xludf.DUMMYFUNCTION("""COMPUTED_VALUE"""),91.48)</f>
        <v>91.48</v>
      </c>
      <c r="G224" s="143">
        <f ca="1">IFERROR(__xludf.DUMMYFUNCTION("""COMPUTED_VALUE"""),6150379)</f>
        <v>6150379</v>
      </c>
      <c r="H224" s="26"/>
    </row>
    <row r="225" spans="1:8" ht="17.25" customHeight="1" x14ac:dyDescent="0.2">
      <c r="A225" s="26"/>
      <c r="B225" s="139">
        <f ca="1">IFERROR(__xludf.DUMMYFUNCTION("""COMPUTED_VALUE"""),46154.6666666666)</f>
        <v>46154.666666666599</v>
      </c>
      <c r="C225" s="141">
        <f ca="1">IFERROR(__xludf.DUMMYFUNCTION("""COMPUTED_VALUE"""),91.49)</f>
        <v>91.49</v>
      </c>
      <c r="D225" s="141">
        <f ca="1">IFERROR(__xludf.DUMMYFUNCTION("""COMPUTED_VALUE"""),91.49)</f>
        <v>91.49</v>
      </c>
      <c r="E225" s="141">
        <f ca="1">IFERROR(__xludf.DUMMYFUNCTION("""COMPUTED_VALUE"""),91.48)</f>
        <v>91.48</v>
      </c>
      <c r="F225" s="141">
        <f ca="1">IFERROR(__xludf.DUMMYFUNCTION("""COMPUTED_VALUE"""),91.49)</f>
        <v>91.49</v>
      </c>
      <c r="G225" s="143">
        <f ca="1">IFERROR(__xludf.DUMMYFUNCTION("""COMPUTED_VALUE"""),7332068)</f>
        <v>7332068</v>
      </c>
      <c r="H225" s="26"/>
    </row>
    <row r="226" spans="1:8" ht="17.25" customHeight="1" x14ac:dyDescent="0.2">
      <c r="A226" s="26"/>
      <c r="B226" s="139">
        <f ca="1">IFERROR(__xludf.DUMMYFUNCTION("""COMPUTED_VALUE"""),46155.6666666666)</f>
        <v>46155.666666666599</v>
      </c>
      <c r="C226" s="141">
        <f ca="1">IFERROR(__xludf.DUMMYFUNCTION("""COMPUTED_VALUE"""),91.49)</f>
        <v>91.49</v>
      </c>
      <c r="D226" s="141">
        <f ca="1">IFERROR(__xludf.DUMMYFUNCTION("""COMPUTED_VALUE"""),91.5)</f>
        <v>91.5</v>
      </c>
      <c r="E226" s="141">
        <f ca="1">IFERROR(__xludf.DUMMYFUNCTION("""COMPUTED_VALUE"""),91.49)</f>
        <v>91.49</v>
      </c>
      <c r="F226" s="141">
        <f ca="1">IFERROR(__xludf.DUMMYFUNCTION("""COMPUTED_VALUE"""),91.49)</f>
        <v>91.49</v>
      </c>
      <c r="G226" s="143">
        <f ca="1">IFERROR(__xludf.DUMMYFUNCTION("""COMPUTED_VALUE"""),7467267)</f>
        <v>7467267</v>
      </c>
      <c r="H226" s="26"/>
    </row>
    <row r="227" spans="1:8" ht="17.25" customHeight="1" x14ac:dyDescent="0.2">
      <c r="A227" s="26"/>
      <c r="B227" s="139">
        <f ca="1">IFERROR(__xludf.DUMMYFUNCTION("""COMPUTED_VALUE"""),46156.6666666666)</f>
        <v>46156.666666666599</v>
      </c>
      <c r="C227" s="141">
        <f ca="1">IFERROR(__xludf.DUMMYFUNCTION("""COMPUTED_VALUE"""),91.5)</f>
        <v>91.5</v>
      </c>
      <c r="D227" s="141">
        <f ca="1">IFERROR(__xludf.DUMMYFUNCTION("""COMPUTED_VALUE"""),91.51)</f>
        <v>91.51</v>
      </c>
      <c r="E227" s="141">
        <f ca="1">IFERROR(__xludf.DUMMYFUNCTION("""COMPUTED_VALUE"""),91.5)</f>
        <v>91.5</v>
      </c>
      <c r="F227" s="141">
        <f ca="1">IFERROR(__xludf.DUMMYFUNCTION("""COMPUTED_VALUE"""),91.51)</f>
        <v>91.51</v>
      </c>
      <c r="G227" s="143">
        <f ca="1">IFERROR(__xludf.DUMMYFUNCTION("""COMPUTED_VALUE"""),6763993)</f>
        <v>6763993</v>
      </c>
      <c r="H227" s="26"/>
    </row>
    <row r="228" spans="1:8" ht="17.25" customHeight="1" x14ac:dyDescent="0.2">
      <c r="A228" s="26"/>
      <c r="B228" s="139">
        <f ca="1">IFERROR(__xludf.DUMMYFUNCTION("""COMPUTED_VALUE"""),46157.6666666666)</f>
        <v>46157.666666666599</v>
      </c>
      <c r="C228" s="141">
        <f ca="1">IFERROR(__xludf.DUMMYFUNCTION("""COMPUTED_VALUE"""),91.53)</f>
        <v>91.53</v>
      </c>
      <c r="D228" s="141">
        <f ca="1">IFERROR(__xludf.DUMMYFUNCTION("""COMPUTED_VALUE"""),91.54)</f>
        <v>91.54</v>
      </c>
      <c r="E228" s="141">
        <f ca="1">IFERROR(__xludf.DUMMYFUNCTION("""COMPUTED_VALUE"""),91.53)</f>
        <v>91.53</v>
      </c>
      <c r="F228" s="141">
        <f ca="1">IFERROR(__xludf.DUMMYFUNCTION("""COMPUTED_VALUE"""),91.53)</f>
        <v>91.53</v>
      </c>
      <c r="G228" s="143">
        <f ca="1">IFERROR(__xludf.DUMMYFUNCTION("""COMPUTED_VALUE"""),9441177)</f>
        <v>9441177</v>
      </c>
      <c r="H228" s="26"/>
    </row>
    <row r="229" spans="1:8" ht="17.25" customHeight="1" x14ac:dyDescent="0.2">
      <c r="A229" s="26"/>
      <c r="B229" s="139">
        <f ca="1">IFERROR(__xludf.DUMMYFUNCTION("""COMPUTED_VALUE"""),46160.6666666666)</f>
        <v>46160.666666666599</v>
      </c>
      <c r="C229" s="141">
        <f ca="1">IFERROR(__xludf.DUMMYFUNCTION("""COMPUTED_VALUE"""),91.54)</f>
        <v>91.54</v>
      </c>
      <c r="D229" s="141">
        <f ca="1">IFERROR(__xludf.DUMMYFUNCTION("""COMPUTED_VALUE"""),91.55)</f>
        <v>91.55</v>
      </c>
      <c r="E229" s="141">
        <f ca="1">IFERROR(__xludf.DUMMYFUNCTION("""COMPUTED_VALUE"""),91.53)</f>
        <v>91.53</v>
      </c>
      <c r="F229" s="141">
        <f ca="1">IFERROR(__xludf.DUMMYFUNCTION("""COMPUTED_VALUE"""),91.53)</f>
        <v>91.53</v>
      </c>
      <c r="G229" s="143">
        <f ca="1">IFERROR(__xludf.DUMMYFUNCTION("""COMPUTED_VALUE"""),7274133)</f>
        <v>7274133</v>
      </c>
      <c r="H229" s="26"/>
    </row>
    <row r="230" spans="1:8" ht="17.25" customHeight="1" x14ac:dyDescent="0.2">
      <c r="A230" s="26"/>
      <c r="B230" s="139">
        <f ca="1">IFERROR(__xludf.DUMMYFUNCTION("""COMPUTED_VALUE"""),46161.6666666666)</f>
        <v>46161.666666666599</v>
      </c>
      <c r="C230" s="141">
        <f ca="1">IFERROR(__xludf.DUMMYFUNCTION("""COMPUTED_VALUE"""),91.55)</f>
        <v>91.55</v>
      </c>
      <c r="D230" s="141">
        <f ca="1">IFERROR(__xludf.DUMMYFUNCTION("""COMPUTED_VALUE"""),91.56)</f>
        <v>91.56</v>
      </c>
      <c r="E230" s="141">
        <f ca="1">IFERROR(__xludf.DUMMYFUNCTION("""COMPUTED_VALUE"""),91.54)</f>
        <v>91.54</v>
      </c>
      <c r="F230" s="141">
        <f ca="1">IFERROR(__xludf.DUMMYFUNCTION("""COMPUTED_VALUE"""),91.55)</f>
        <v>91.55</v>
      </c>
      <c r="G230" s="143">
        <f ca="1">IFERROR(__xludf.DUMMYFUNCTION("""COMPUTED_VALUE"""),9718062)</f>
        <v>9718062</v>
      </c>
      <c r="H230" s="26"/>
    </row>
    <row r="231" spans="1:8" ht="17.25" customHeight="1" x14ac:dyDescent="0.2">
      <c r="A231" s="26"/>
      <c r="B231" s="139">
        <f ca="1">IFERROR(__xludf.DUMMYFUNCTION("""COMPUTED_VALUE"""),46162.6666666666)</f>
        <v>46162.666666666599</v>
      </c>
      <c r="C231" s="141">
        <f ca="1">IFERROR(__xludf.DUMMYFUNCTION("""COMPUTED_VALUE"""),91.56)</f>
        <v>91.56</v>
      </c>
      <c r="D231" s="141">
        <f ca="1">IFERROR(__xludf.DUMMYFUNCTION("""COMPUTED_VALUE"""),91.57)</f>
        <v>91.57</v>
      </c>
      <c r="E231" s="141">
        <f ca="1">IFERROR(__xludf.DUMMYFUNCTION("""COMPUTED_VALUE"""),91.56)</f>
        <v>91.56</v>
      </c>
      <c r="F231" s="141">
        <f ca="1">IFERROR(__xludf.DUMMYFUNCTION("""COMPUTED_VALUE"""),91.57)</f>
        <v>91.57</v>
      </c>
      <c r="G231" s="143">
        <f ca="1">IFERROR(__xludf.DUMMYFUNCTION("""COMPUTED_VALUE"""),8725733)</f>
        <v>8725733</v>
      </c>
      <c r="H231" s="26"/>
    </row>
    <row r="232" spans="1:8" ht="17.25" customHeight="1" x14ac:dyDescent="0.2">
      <c r="A232" s="26"/>
      <c r="B232" s="139">
        <f ca="1">IFERROR(__xludf.DUMMYFUNCTION("""COMPUTED_VALUE"""),46163.6666666666)</f>
        <v>46163.666666666599</v>
      </c>
      <c r="C232" s="141">
        <f ca="1">IFERROR(__xludf.DUMMYFUNCTION("""COMPUTED_VALUE"""),91.58)</f>
        <v>91.58</v>
      </c>
      <c r="D232" s="141">
        <f ca="1">IFERROR(__xludf.DUMMYFUNCTION("""COMPUTED_VALUE"""),91.58)</f>
        <v>91.58</v>
      </c>
      <c r="E232" s="141">
        <f ca="1">IFERROR(__xludf.DUMMYFUNCTION("""COMPUTED_VALUE"""),91.56)</f>
        <v>91.56</v>
      </c>
      <c r="F232" s="141">
        <f ca="1">IFERROR(__xludf.DUMMYFUNCTION("""COMPUTED_VALUE"""),91.57)</f>
        <v>91.57</v>
      </c>
      <c r="G232" s="143">
        <f ca="1">IFERROR(__xludf.DUMMYFUNCTION("""COMPUTED_VALUE"""),7791428)</f>
        <v>7791428</v>
      </c>
      <c r="H232" s="26"/>
    </row>
    <row r="233" spans="1:8" ht="17.25" customHeight="1" x14ac:dyDescent="0.2">
      <c r="A233" s="26"/>
      <c r="B233" s="139">
        <f ca="1">IFERROR(__xludf.DUMMYFUNCTION("""COMPUTED_VALUE"""),46164.6666666666)</f>
        <v>46164.666666666599</v>
      </c>
      <c r="C233" s="141">
        <f ca="1">IFERROR(__xludf.DUMMYFUNCTION("""COMPUTED_VALUE"""),91.6)</f>
        <v>91.6</v>
      </c>
      <c r="D233" s="141">
        <f ca="1">IFERROR(__xludf.DUMMYFUNCTION("""COMPUTED_VALUE"""),91.6)</f>
        <v>91.6</v>
      </c>
      <c r="E233" s="141">
        <f ca="1">IFERROR(__xludf.DUMMYFUNCTION("""COMPUTED_VALUE"""),91.59)</f>
        <v>91.59</v>
      </c>
      <c r="F233" s="141">
        <f ca="1">IFERROR(__xludf.DUMMYFUNCTION("""COMPUTED_VALUE"""),91.59)</f>
        <v>91.59</v>
      </c>
      <c r="G233" s="143">
        <f ca="1">IFERROR(__xludf.DUMMYFUNCTION("""COMPUTED_VALUE"""),10871606)</f>
        <v>10871606</v>
      </c>
      <c r="H233" s="26"/>
    </row>
    <row r="234" spans="1:8" ht="17.25" customHeight="1" x14ac:dyDescent="0.2">
      <c r="A234" s="26"/>
      <c r="B234" s="139">
        <f ca="1">IFERROR(__xludf.DUMMYFUNCTION("""COMPUTED_VALUE"""),46168.6666666666)</f>
        <v>46168.666666666599</v>
      </c>
      <c r="C234" s="141">
        <f ca="1">IFERROR(__xludf.DUMMYFUNCTION("""COMPUTED_VALUE"""),91.6)</f>
        <v>91.6</v>
      </c>
      <c r="D234" s="141">
        <f ca="1">IFERROR(__xludf.DUMMYFUNCTION("""COMPUTED_VALUE"""),91.61)</f>
        <v>91.61</v>
      </c>
      <c r="E234" s="141">
        <f ca="1">IFERROR(__xludf.DUMMYFUNCTION("""COMPUTED_VALUE"""),91.6)</f>
        <v>91.6</v>
      </c>
      <c r="F234" s="141">
        <f ca="1">IFERROR(__xludf.DUMMYFUNCTION("""COMPUTED_VALUE"""),91.61)</f>
        <v>91.61</v>
      </c>
      <c r="G234" s="143">
        <f ca="1">IFERROR(__xludf.DUMMYFUNCTION("""COMPUTED_VALUE"""),9903738)</f>
        <v>9903738</v>
      </c>
      <c r="H234" s="26"/>
    </row>
    <row r="235" spans="1:8" ht="17.25" customHeight="1" x14ac:dyDescent="0.2">
      <c r="A235" s="26"/>
      <c r="B235" s="139">
        <f ca="1">IFERROR(__xludf.DUMMYFUNCTION("""COMPUTED_VALUE"""),46169.6666666666)</f>
        <v>46169.666666666599</v>
      </c>
      <c r="C235" s="141">
        <f ca="1">IFERROR(__xludf.DUMMYFUNCTION("""COMPUTED_VALUE"""),91.62)</f>
        <v>91.62</v>
      </c>
      <c r="D235" s="141">
        <f ca="1">IFERROR(__xludf.DUMMYFUNCTION("""COMPUTED_VALUE"""),91.62)</f>
        <v>91.62</v>
      </c>
      <c r="E235" s="141">
        <f ca="1">IFERROR(__xludf.DUMMYFUNCTION("""COMPUTED_VALUE"""),91.61)</f>
        <v>91.61</v>
      </c>
      <c r="F235" s="141">
        <f ca="1">IFERROR(__xludf.DUMMYFUNCTION("""COMPUTED_VALUE"""),91.62)</f>
        <v>91.62</v>
      </c>
      <c r="G235" s="143">
        <f ca="1">IFERROR(__xludf.DUMMYFUNCTION("""COMPUTED_VALUE"""),6672226)</f>
        <v>6672226</v>
      </c>
      <c r="H235" s="26"/>
    </row>
    <row r="236" spans="1:8" ht="17.25" customHeight="1" x14ac:dyDescent="0.2">
      <c r="A236" s="26"/>
      <c r="B236" s="139">
        <f ca="1">IFERROR(__xludf.DUMMYFUNCTION("""COMPUTED_VALUE"""),46170.6666666666)</f>
        <v>46170.666666666599</v>
      </c>
      <c r="C236" s="141">
        <f ca="1">IFERROR(__xludf.DUMMYFUNCTION("""COMPUTED_VALUE"""),91.62)</f>
        <v>91.62</v>
      </c>
      <c r="D236" s="141">
        <f ca="1">IFERROR(__xludf.DUMMYFUNCTION("""COMPUTED_VALUE"""),91.63)</f>
        <v>91.63</v>
      </c>
      <c r="E236" s="141">
        <f ca="1">IFERROR(__xludf.DUMMYFUNCTION("""COMPUTED_VALUE"""),91.62)</f>
        <v>91.62</v>
      </c>
      <c r="F236" s="141">
        <f ca="1">IFERROR(__xludf.DUMMYFUNCTION("""COMPUTED_VALUE"""),91.63)</f>
        <v>91.63</v>
      </c>
      <c r="G236" s="143">
        <f ca="1">IFERROR(__xludf.DUMMYFUNCTION("""COMPUTED_VALUE"""),10206010)</f>
        <v>10206010</v>
      </c>
      <c r="H236" s="26"/>
    </row>
    <row r="237" spans="1:8" ht="17.25" customHeight="1" x14ac:dyDescent="0.2">
      <c r="A237" s="26"/>
      <c r="B237" s="139">
        <f ca="1">IFERROR(__xludf.DUMMYFUNCTION("""COMPUTED_VALUE"""),46171.6666666666)</f>
        <v>46171.666666666599</v>
      </c>
      <c r="C237" s="141">
        <f ca="1">IFERROR(__xludf.DUMMYFUNCTION("""COMPUTED_VALUE"""),91.65)</f>
        <v>91.65</v>
      </c>
      <c r="D237" s="141">
        <f ca="1">IFERROR(__xludf.DUMMYFUNCTION("""COMPUTED_VALUE"""),91.66)</f>
        <v>91.66</v>
      </c>
      <c r="E237" s="141">
        <f ca="1">IFERROR(__xludf.DUMMYFUNCTION("""COMPUTED_VALUE"""),91.64)</f>
        <v>91.64</v>
      </c>
      <c r="F237" s="141">
        <f ca="1">IFERROR(__xludf.DUMMYFUNCTION("""COMPUTED_VALUE"""),91.66)</f>
        <v>91.66</v>
      </c>
      <c r="G237" s="143">
        <f ca="1">IFERROR(__xludf.DUMMYFUNCTION("""COMPUTED_VALUE"""),16056544)</f>
        <v>16056544</v>
      </c>
      <c r="H237" s="26"/>
    </row>
    <row r="238" spans="1:8" ht="17.25" customHeight="1" x14ac:dyDescent="0.2">
      <c r="A238" s="26"/>
      <c r="B238" s="139">
        <f ca="1">IFERROR(__xludf.DUMMYFUNCTION("""COMPUTED_VALUE"""),46174.6666666666)</f>
        <v>46174.666666666599</v>
      </c>
      <c r="C238" s="141">
        <f ca="1">IFERROR(__xludf.DUMMYFUNCTION("""COMPUTED_VALUE"""),91.4)</f>
        <v>91.4</v>
      </c>
      <c r="D238" s="141">
        <f ca="1">IFERROR(__xludf.DUMMYFUNCTION("""COMPUTED_VALUE"""),91.4)</f>
        <v>91.4</v>
      </c>
      <c r="E238" s="141">
        <f ca="1">IFERROR(__xludf.DUMMYFUNCTION("""COMPUTED_VALUE"""),91.39)</f>
        <v>91.39</v>
      </c>
      <c r="F238" s="141">
        <f ca="1">IFERROR(__xludf.DUMMYFUNCTION("""COMPUTED_VALUE"""),91.4)</f>
        <v>91.4</v>
      </c>
      <c r="G238" s="143">
        <f ca="1">IFERROR(__xludf.DUMMYFUNCTION("""COMPUTED_VALUE"""),17997255)</f>
        <v>17997255</v>
      </c>
      <c r="H238" s="26"/>
    </row>
    <row r="239" spans="1:8" ht="17.25" customHeight="1" x14ac:dyDescent="0.2">
      <c r="A239" s="26"/>
      <c r="B239" s="139">
        <f ca="1">IFERROR(__xludf.DUMMYFUNCTION("""COMPUTED_VALUE"""),46175.6666666666)</f>
        <v>46175.666666666599</v>
      </c>
      <c r="C239" s="141">
        <f ca="1">IFERROR(__xludf.DUMMYFUNCTION("""COMPUTED_VALUE"""),91.4)</f>
        <v>91.4</v>
      </c>
      <c r="D239" s="141">
        <f ca="1">IFERROR(__xludf.DUMMYFUNCTION("""COMPUTED_VALUE"""),91.4)</f>
        <v>91.4</v>
      </c>
      <c r="E239" s="141">
        <f ca="1">IFERROR(__xludf.DUMMYFUNCTION("""COMPUTED_VALUE"""),91.39)</f>
        <v>91.39</v>
      </c>
      <c r="F239" s="141">
        <f ca="1">IFERROR(__xludf.DUMMYFUNCTION("""COMPUTED_VALUE"""),91.39)</f>
        <v>91.39</v>
      </c>
      <c r="G239" s="143">
        <f ca="1">IFERROR(__xludf.DUMMYFUNCTION("""COMPUTED_VALUE"""),9532600)</f>
        <v>9532600</v>
      </c>
      <c r="H239" s="26"/>
    </row>
    <row r="240" spans="1:8" ht="17.25" customHeight="1" x14ac:dyDescent="0.2">
      <c r="A240" s="26"/>
      <c r="B240" s="139">
        <f ca="1">IFERROR(__xludf.DUMMYFUNCTION("""COMPUTED_VALUE"""),46176.6666666666)</f>
        <v>46176.666666666599</v>
      </c>
      <c r="C240" s="141">
        <f ca="1">IFERROR(__xludf.DUMMYFUNCTION("""COMPUTED_VALUE"""),91.41)</f>
        <v>91.41</v>
      </c>
      <c r="D240" s="141">
        <f ca="1">IFERROR(__xludf.DUMMYFUNCTION("""COMPUTED_VALUE"""),91.41)</f>
        <v>91.41</v>
      </c>
      <c r="E240" s="141">
        <f ca="1">IFERROR(__xludf.DUMMYFUNCTION("""COMPUTED_VALUE"""),91.4)</f>
        <v>91.4</v>
      </c>
      <c r="F240" s="141">
        <f ca="1">IFERROR(__xludf.DUMMYFUNCTION("""COMPUTED_VALUE"""),91.41)</f>
        <v>91.41</v>
      </c>
      <c r="G240" s="143">
        <f ca="1">IFERROR(__xludf.DUMMYFUNCTION("""COMPUTED_VALUE"""),14556581)</f>
        <v>14556581</v>
      </c>
      <c r="H240" s="26"/>
    </row>
    <row r="241" spans="1:8" ht="17.25" customHeight="1" x14ac:dyDescent="0.2">
      <c r="A241" s="26"/>
      <c r="B241" s="139">
        <f ca="1">IFERROR(__xludf.DUMMYFUNCTION("""COMPUTED_VALUE"""),46177.6666666666)</f>
        <v>46177.666666666599</v>
      </c>
      <c r="C241" s="141">
        <f ca="1">IFERROR(__xludf.DUMMYFUNCTION("""COMPUTED_VALUE"""),91.42)</f>
        <v>91.42</v>
      </c>
      <c r="D241" s="141">
        <f ca="1">IFERROR(__xludf.DUMMYFUNCTION("""COMPUTED_VALUE"""),91.42)</f>
        <v>91.42</v>
      </c>
      <c r="E241" s="141">
        <f ca="1">IFERROR(__xludf.DUMMYFUNCTION("""COMPUTED_VALUE"""),91.41)</f>
        <v>91.41</v>
      </c>
      <c r="F241" s="141">
        <f ca="1">IFERROR(__xludf.DUMMYFUNCTION("""COMPUTED_VALUE"""),91.41)</f>
        <v>91.41</v>
      </c>
      <c r="G241" s="143">
        <f ca="1">IFERROR(__xludf.DUMMYFUNCTION("""COMPUTED_VALUE"""),7054637)</f>
        <v>7054637</v>
      </c>
      <c r="H241" s="26"/>
    </row>
    <row r="242" spans="1:8" ht="17.25" customHeight="1" x14ac:dyDescent="0.2">
      <c r="A242" s="26"/>
      <c r="B242" s="139">
        <f ca="1">IFERROR(__xludf.DUMMYFUNCTION("""COMPUTED_VALUE"""),46178.6666666666)</f>
        <v>46178.666666666599</v>
      </c>
      <c r="C242" s="141">
        <f ca="1">IFERROR(__xludf.DUMMYFUNCTION("""COMPUTED_VALUE"""),91.45)</f>
        <v>91.45</v>
      </c>
      <c r="D242" s="141">
        <f ca="1">IFERROR(__xludf.DUMMYFUNCTION("""COMPUTED_VALUE"""),91.45)</f>
        <v>91.45</v>
      </c>
      <c r="E242" s="141">
        <f ca="1">IFERROR(__xludf.DUMMYFUNCTION("""COMPUTED_VALUE"""),91.44)</f>
        <v>91.44</v>
      </c>
      <c r="F242" s="141">
        <f ca="1">IFERROR(__xludf.DUMMYFUNCTION("""COMPUTED_VALUE"""),91.45)</f>
        <v>91.45</v>
      </c>
      <c r="G242" s="143">
        <f ca="1">IFERROR(__xludf.DUMMYFUNCTION("""COMPUTED_VALUE"""),12907959)</f>
        <v>12907959</v>
      </c>
      <c r="H242" s="26"/>
    </row>
    <row r="243" spans="1:8" ht="17.25" customHeight="1" x14ac:dyDescent="0.2">
      <c r="A243" s="26"/>
      <c r="B243" s="139">
        <f ca="1">IFERROR(__xludf.DUMMYFUNCTION("""COMPUTED_VALUE"""),46181.6666666666)</f>
        <v>46181.666666666599</v>
      </c>
      <c r="C243" s="141">
        <f ca="1">IFERROR(__xludf.DUMMYFUNCTION("""COMPUTED_VALUE"""),91.46)</f>
        <v>91.46</v>
      </c>
      <c r="D243" s="141">
        <f ca="1">IFERROR(__xludf.DUMMYFUNCTION("""COMPUTED_VALUE"""),91.46)</f>
        <v>91.46</v>
      </c>
      <c r="E243" s="141">
        <f ca="1">IFERROR(__xludf.DUMMYFUNCTION("""COMPUTED_VALUE"""),91.45)</f>
        <v>91.45</v>
      </c>
      <c r="F243" s="141">
        <f ca="1">IFERROR(__xludf.DUMMYFUNCTION("""COMPUTED_VALUE"""),91.46)</f>
        <v>91.46</v>
      </c>
      <c r="G243" s="143">
        <f ca="1">IFERROR(__xludf.DUMMYFUNCTION("""COMPUTED_VALUE"""),11085864)</f>
        <v>11085864</v>
      </c>
      <c r="H243" s="26"/>
    </row>
    <row r="244" spans="1:8" ht="17.25" customHeight="1" x14ac:dyDescent="0.2">
      <c r="A244" s="26"/>
      <c r="B244" s="139">
        <f ca="1">IFERROR(__xludf.DUMMYFUNCTION("""COMPUTED_VALUE"""),46182.6666666666)</f>
        <v>46182.666666666599</v>
      </c>
      <c r="C244" s="141">
        <f ca="1">IFERROR(__xludf.DUMMYFUNCTION("""COMPUTED_VALUE"""),91.46)</f>
        <v>91.46</v>
      </c>
      <c r="D244" s="141">
        <f ca="1">IFERROR(__xludf.DUMMYFUNCTION("""COMPUTED_VALUE"""),91.47)</f>
        <v>91.47</v>
      </c>
      <c r="E244" s="141">
        <f ca="1">IFERROR(__xludf.DUMMYFUNCTION("""COMPUTED_VALUE"""),91.46)</f>
        <v>91.46</v>
      </c>
      <c r="F244" s="141">
        <f ca="1">IFERROR(__xludf.DUMMYFUNCTION("""COMPUTED_VALUE"""),91.46)</f>
        <v>91.46</v>
      </c>
      <c r="G244" s="143">
        <f ca="1">IFERROR(__xludf.DUMMYFUNCTION("""COMPUTED_VALUE"""),10442623)</f>
        <v>10442623</v>
      </c>
      <c r="H244" s="26"/>
    </row>
    <row r="245" spans="1:8" ht="17.25" customHeight="1" x14ac:dyDescent="0.2">
      <c r="A245" s="26"/>
      <c r="B245" s="139">
        <f ca="1">IFERROR(__xludf.DUMMYFUNCTION("""COMPUTED_VALUE"""),46183.6666666666)</f>
        <v>46183.666666666599</v>
      </c>
      <c r="C245" s="141">
        <f ca="1">IFERROR(__xludf.DUMMYFUNCTION("""COMPUTED_VALUE"""),91.48)</f>
        <v>91.48</v>
      </c>
      <c r="D245" s="141">
        <f ca="1">IFERROR(__xludf.DUMMYFUNCTION("""COMPUTED_VALUE"""),91.48)</f>
        <v>91.48</v>
      </c>
      <c r="E245" s="141">
        <f ca="1">IFERROR(__xludf.DUMMYFUNCTION("""COMPUTED_VALUE"""),91.47)</f>
        <v>91.47</v>
      </c>
      <c r="F245" s="141">
        <f ca="1">IFERROR(__xludf.DUMMYFUNCTION("""COMPUTED_VALUE"""),91.47)</f>
        <v>91.47</v>
      </c>
      <c r="G245" s="143">
        <f ca="1">IFERROR(__xludf.DUMMYFUNCTION("""COMPUTED_VALUE"""),8003169)</f>
        <v>8003169</v>
      </c>
      <c r="H245" s="26"/>
    </row>
    <row r="246" spans="1:8" ht="17.25" customHeight="1" x14ac:dyDescent="0.2">
      <c r="A246" s="26"/>
      <c r="B246" s="139">
        <f ca="1">IFERROR(__xludf.DUMMYFUNCTION("""COMPUTED_VALUE"""),46184.6666666666)</f>
        <v>46184.666666666599</v>
      </c>
      <c r="C246" s="141">
        <f ca="1">IFERROR(__xludf.DUMMYFUNCTION("""COMPUTED_VALUE"""),91.48)</f>
        <v>91.48</v>
      </c>
      <c r="D246" s="141">
        <f ca="1">IFERROR(__xludf.DUMMYFUNCTION("""COMPUTED_VALUE"""),91.48)</f>
        <v>91.48</v>
      </c>
      <c r="E246" s="141">
        <f ca="1">IFERROR(__xludf.DUMMYFUNCTION("""COMPUTED_VALUE"""),91.47)</f>
        <v>91.47</v>
      </c>
      <c r="F246" s="141">
        <f ca="1">IFERROR(__xludf.DUMMYFUNCTION("""COMPUTED_VALUE"""),91.48)</f>
        <v>91.48</v>
      </c>
      <c r="G246" s="143">
        <f ca="1">IFERROR(__xludf.DUMMYFUNCTION("""COMPUTED_VALUE"""),8700915)</f>
        <v>8700915</v>
      </c>
      <c r="H246" s="26"/>
    </row>
    <row r="247" spans="1:8" ht="17.25" customHeight="1" x14ac:dyDescent="0.2">
      <c r="A247" s="26"/>
      <c r="B247" s="139">
        <f ca="1">IFERROR(__xludf.DUMMYFUNCTION("""COMPUTED_VALUE"""),46185.6666666666)</f>
        <v>46185.666666666599</v>
      </c>
      <c r="C247" s="141">
        <f ca="1">IFERROR(__xludf.DUMMYFUNCTION("""COMPUTED_VALUE"""),91.51)</f>
        <v>91.51</v>
      </c>
      <c r="D247" s="141">
        <f ca="1">IFERROR(__xludf.DUMMYFUNCTION("""COMPUTED_VALUE"""),91.51)</f>
        <v>91.51</v>
      </c>
      <c r="E247" s="141">
        <f ca="1">IFERROR(__xludf.DUMMYFUNCTION("""COMPUTED_VALUE"""),91.5)</f>
        <v>91.5</v>
      </c>
      <c r="F247" s="141">
        <f ca="1">IFERROR(__xludf.DUMMYFUNCTION("""COMPUTED_VALUE"""),91.51)</f>
        <v>91.51</v>
      </c>
      <c r="G247" s="143">
        <f ca="1">IFERROR(__xludf.DUMMYFUNCTION("""COMPUTED_VALUE"""),18789541)</f>
        <v>18789541</v>
      </c>
      <c r="H247" s="26"/>
    </row>
    <row r="248" spans="1:8" ht="17.25" customHeight="1" x14ac:dyDescent="0.2">
      <c r="A248" s="26"/>
      <c r="B248" s="139">
        <f ca="1">IFERROR(__xludf.DUMMYFUNCTION("""COMPUTED_VALUE"""),46188.6666666666)</f>
        <v>46188.666666666599</v>
      </c>
      <c r="C248" s="141">
        <f ca="1">IFERROR(__xludf.DUMMYFUNCTION("""COMPUTED_VALUE"""),91.52)</f>
        <v>91.52</v>
      </c>
      <c r="D248" s="141">
        <f ca="1">IFERROR(__xludf.DUMMYFUNCTION("""COMPUTED_VALUE"""),91.52)</f>
        <v>91.52</v>
      </c>
      <c r="E248" s="141">
        <f ca="1">IFERROR(__xludf.DUMMYFUNCTION("""COMPUTED_VALUE"""),91.51)</f>
        <v>91.51</v>
      </c>
      <c r="F248" s="141">
        <f ca="1">IFERROR(__xludf.DUMMYFUNCTION("""COMPUTED_VALUE"""),91.51)</f>
        <v>91.51</v>
      </c>
      <c r="G248" s="143">
        <f ca="1">IFERROR(__xludf.DUMMYFUNCTION("""COMPUTED_VALUE"""),11771990)</f>
        <v>11771990</v>
      </c>
      <c r="H248" s="26"/>
    </row>
    <row r="249" spans="1:8" ht="17.25" customHeight="1" x14ac:dyDescent="0.2">
      <c r="A249" s="26"/>
      <c r="B249" s="139">
        <f ca="1">IFERROR(__xludf.DUMMYFUNCTION("""COMPUTED_VALUE"""),46189.6666666666)</f>
        <v>46189.666666666599</v>
      </c>
      <c r="C249" s="141">
        <f ca="1">IFERROR(__xludf.DUMMYFUNCTION("""COMPUTED_VALUE"""),91.53)</f>
        <v>91.53</v>
      </c>
      <c r="D249" s="141">
        <f ca="1">IFERROR(__xludf.DUMMYFUNCTION("""COMPUTED_VALUE"""),91.53)</f>
        <v>91.53</v>
      </c>
      <c r="E249" s="141">
        <f ca="1">IFERROR(__xludf.DUMMYFUNCTION("""COMPUTED_VALUE"""),91.52)</f>
        <v>91.52</v>
      </c>
      <c r="F249" s="141">
        <f ca="1">IFERROR(__xludf.DUMMYFUNCTION("""COMPUTED_VALUE"""),91.52)</f>
        <v>91.52</v>
      </c>
      <c r="G249" s="143">
        <f ca="1">IFERROR(__xludf.DUMMYFUNCTION("""COMPUTED_VALUE"""),10456491)</f>
        <v>10456491</v>
      </c>
      <c r="H249" s="26"/>
    </row>
    <row r="250" spans="1:8" ht="17.25" customHeight="1" x14ac:dyDescent="0.2">
      <c r="A250" s="26"/>
      <c r="B250" s="139">
        <f ca="1">IFERROR(__xludf.DUMMYFUNCTION("""COMPUTED_VALUE"""),46190.6666666666)</f>
        <v>46190.666666666599</v>
      </c>
      <c r="C250" s="141">
        <f ca="1">IFERROR(__xludf.DUMMYFUNCTION("""COMPUTED_VALUE"""),91.54)</f>
        <v>91.54</v>
      </c>
      <c r="D250" s="141">
        <f ca="1">IFERROR(__xludf.DUMMYFUNCTION("""COMPUTED_VALUE"""),91.54)</f>
        <v>91.54</v>
      </c>
      <c r="E250" s="141">
        <f ca="1">IFERROR(__xludf.DUMMYFUNCTION("""COMPUTED_VALUE"""),91.53)</f>
        <v>91.53</v>
      </c>
      <c r="F250" s="141">
        <f ca="1">IFERROR(__xludf.DUMMYFUNCTION("""COMPUTED_VALUE"""),91.53)</f>
        <v>91.53</v>
      </c>
      <c r="G250" s="143">
        <f ca="1">IFERROR(__xludf.DUMMYFUNCTION("""COMPUTED_VALUE"""),8300086)</f>
        <v>8300086</v>
      </c>
      <c r="H250" s="26"/>
    </row>
    <row r="251" spans="1:8" ht="17.25" customHeight="1" x14ac:dyDescent="0.2">
      <c r="A251" s="26"/>
      <c r="B251" s="139">
        <f ca="1">IFERROR(__xludf.DUMMYFUNCTION("""COMPUTED_VALUE"""),46191.6666666666)</f>
        <v>46191.666666666599</v>
      </c>
      <c r="C251" s="141">
        <f ca="1">IFERROR(__xludf.DUMMYFUNCTION("""COMPUTED_VALUE"""),91.56)</f>
        <v>91.56</v>
      </c>
      <c r="D251" s="141">
        <f ca="1">IFERROR(__xludf.DUMMYFUNCTION("""COMPUTED_VALUE"""),91.57)</f>
        <v>91.57</v>
      </c>
      <c r="E251" s="141">
        <f ca="1">IFERROR(__xludf.DUMMYFUNCTION("""COMPUTED_VALUE"""),91.56)</f>
        <v>91.56</v>
      </c>
      <c r="F251" s="141">
        <f ca="1">IFERROR(__xludf.DUMMYFUNCTION("""COMPUTED_VALUE"""),91.57)</f>
        <v>91.57</v>
      </c>
      <c r="G251" s="143">
        <f ca="1">IFERROR(__xludf.DUMMYFUNCTION("""COMPUTED_VALUE"""),7807761)</f>
        <v>7807761</v>
      </c>
      <c r="H251" s="26"/>
    </row>
    <row r="252" spans="1:8" ht="17.25" customHeight="1" x14ac:dyDescent="0.2">
      <c r="A252" s="26"/>
      <c r="B252" s="139">
        <f ca="1">IFERROR(__xludf.DUMMYFUNCTION("""COMPUTED_VALUE"""),46195.6666666666)</f>
        <v>46195.666666666599</v>
      </c>
      <c r="C252" s="141">
        <f ca="1">IFERROR(__xludf.DUMMYFUNCTION("""COMPUTED_VALUE"""),91.58)</f>
        <v>91.58</v>
      </c>
      <c r="D252" s="141">
        <f ca="1">IFERROR(__xludf.DUMMYFUNCTION("""COMPUTED_VALUE"""),91.58)</f>
        <v>91.58</v>
      </c>
      <c r="E252" s="141">
        <f ca="1">IFERROR(__xludf.DUMMYFUNCTION("""COMPUTED_VALUE"""),91.57)</f>
        <v>91.57</v>
      </c>
      <c r="F252" s="141">
        <f ca="1">IFERROR(__xludf.DUMMYFUNCTION("""COMPUTED_VALUE"""),91.57)</f>
        <v>91.57</v>
      </c>
      <c r="G252" s="143">
        <f ca="1">IFERROR(__xludf.DUMMYFUNCTION("""COMPUTED_VALUE"""),10548857)</f>
        <v>10548857</v>
      </c>
      <c r="H252" s="26"/>
    </row>
    <row r="253" spans="1:8" ht="17.25" customHeight="1" x14ac:dyDescent="0.2">
      <c r="A253" s="26"/>
      <c r="B253" s="139">
        <f ca="1">IFERROR(__xludf.DUMMYFUNCTION("""COMPUTED_VALUE"""),46196.6666666666)</f>
        <v>46196.666666666599</v>
      </c>
      <c r="C253" s="141">
        <f ca="1">IFERROR(__xludf.DUMMYFUNCTION("""COMPUTED_VALUE"""),91.59)</f>
        <v>91.59</v>
      </c>
      <c r="D253" s="141">
        <f ca="1">IFERROR(__xludf.DUMMYFUNCTION("""COMPUTED_VALUE"""),91.59)</f>
        <v>91.59</v>
      </c>
      <c r="E253" s="141">
        <f ca="1">IFERROR(__xludf.DUMMYFUNCTION("""COMPUTED_VALUE"""),91.58)</f>
        <v>91.58</v>
      </c>
      <c r="F253" s="141">
        <f ca="1">IFERROR(__xludf.DUMMYFUNCTION("""COMPUTED_VALUE"""),91.58)</f>
        <v>91.58</v>
      </c>
      <c r="G253" s="143">
        <f ca="1">IFERROR(__xludf.DUMMYFUNCTION("""COMPUTED_VALUE"""),10017023)</f>
        <v>10017023</v>
      </c>
      <c r="H253" s="26"/>
    </row>
    <row r="254" spans="1:8" ht="17.25" customHeight="1" x14ac:dyDescent="0.2">
      <c r="A254" s="26"/>
      <c r="B254" s="139">
        <f ca="1">IFERROR(__xludf.DUMMYFUNCTION("""COMPUTED_VALUE"""),46197.6666666666)</f>
        <v>46197.666666666599</v>
      </c>
      <c r="C254" s="141">
        <f ca="1">IFERROR(__xludf.DUMMYFUNCTION("""COMPUTED_VALUE"""),91.6)</f>
        <v>91.6</v>
      </c>
      <c r="D254" s="141">
        <f ca="1">IFERROR(__xludf.DUMMYFUNCTION("""COMPUTED_VALUE"""),91.6)</f>
        <v>91.6</v>
      </c>
      <c r="E254" s="141">
        <f ca="1">IFERROR(__xludf.DUMMYFUNCTION("""COMPUTED_VALUE"""),91.59)</f>
        <v>91.59</v>
      </c>
      <c r="F254" s="141">
        <f ca="1">IFERROR(__xludf.DUMMYFUNCTION("""COMPUTED_VALUE"""),91.59)</f>
        <v>91.59</v>
      </c>
      <c r="G254" s="143">
        <f ca="1">IFERROR(__xludf.DUMMYFUNCTION("""COMPUTED_VALUE"""),10144807)</f>
        <v>10144807</v>
      </c>
      <c r="H254" s="26"/>
    </row>
    <row r="255" spans="1:8" ht="17.25" customHeight="1" x14ac:dyDescent="0.2">
      <c r="A255" s="26"/>
      <c r="B255" s="139">
        <f ca="1">IFERROR(__xludf.DUMMYFUNCTION("""COMPUTED_VALUE"""),46198.6666666666)</f>
        <v>46198.666666666599</v>
      </c>
      <c r="C255" s="141">
        <f ca="1">IFERROR(__xludf.DUMMYFUNCTION("""COMPUTED_VALUE"""),91.6)</f>
        <v>91.6</v>
      </c>
      <c r="D255" s="141">
        <f ca="1">IFERROR(__xludf.DUMMYFUNCTION("""COMPUTED_VALUE"""),91.61)</f>
        <v>91.61</v>
      </c>
      <c r="E255" s="141">
        <f ca="1">IFERROR(__xludf.DUMMYFUNCTION("""COMPUTED_VALUE"""),91.6)</f>
        <v>91.6</v>
      </c>
      <c r="F255" s="141">
        <f ca="1">IFERROR(__xludf.DUMMYFUNCTION("""COMPUTED_VALUE"""),91.6)</f>
        <v>91.6</v>
      </c>
      <c r="G255" s="143">
        <f ca="1">IFERROR(__xludf.DUMMYFUNCTION("""COMPUTED_VALUE"""),8458598)</f>
        <v>8458598</v>
      </c>
      <c r="H255" s="26"/>
    </row>
    <row r="256" spans="1:8" ht="17.25" customHeight="1" x14ac:dyDescent="0.2">
      <c r="A256" s="26"/>
      <c r="B256" s="139">
        <f ca="1">IFERROR(__xludf.DUMMYFUNCTION("""COMPUTED_VALUE"""),46199.6666666666)</f>
        <v>46199.666666666599</v>
      </c>
      <c r="C256" s="141">
        <f ca="1">IFERROR(__xludf.DUMMYFUNCTION("""COMPUTED_VALUE"""),91.63)</f>
        <v>91.63</v>
      </c>
      <c r="D256" s="141">
        <f ca="1">IFERROR(__xludf.DUMMYFUNCTION("""COMPUTED_VALUE"""),91.63)</f>
        <v>91.63</v>
      </c>
      <c r="E256" s="141">
        <f ca="1">IFERROR(__xludf.DUMMYFUNCTION("""COMPUTED_VALUE"""),91.62)</f>
        <v>91.62</v>
      </c>
      <c r="F256" s="141">
        <f ca="1">IFERROR(__xludf.DUMMYFUNCTION("""COMPUTED_VALUE"""),91.63)</f>
        <v>91.63</v>
      </c>
      <c r="G256" s="143">
        <f ca="1">IFERROR(__xludf.DUMMYFUNCTION("""COMPUTED_VALUE"""),7481130)</f>
        <v>7481130</v>
      </c>
      <c r="H256" s="26"/>
    </row>
    <row r="257" spans="1:8" ht="17.25" customHeight="1" x14ac:dyDescent="0.2">
      <c r="A257" s="26"/>
      <c r="B257" s="139">
        <f ca="1">IFERROR(__xludf.DUMMYFUNCTION("""COMPUTED_VALUE"""),46202.6666666666)</f>
        <v>46202.666666666599</v>
      </c>
      <c r="C257" s="141">
        <f ca="1">IFERROR(__xludf.DUMMYFUNCTION("""COMPUTED_VALUE"""),91.64)</f>
        <v>91.64</v>
      </c>
      <c r="D257" s="141">
        <f ca="1">IFERROR(__xludf.DUMMYFUNCTION("""COMPUTED_VALUE"""),91.64)</f>
        <v>91.64</v>
      </c>
      <c r="E257" s="141">
        <f ca="1">IFERROR(__xludf.DUMMYFUNCTION("""COMPUTED_VALUE"""),91.63)</f>
        <v>91.63</v>
      </c>
      <c r="F257" s="141">
        <f ca="1">IFERROR(__xludf.DUMMYFUNCTION("""COMPUTED_VALUE"""),91.64)</f>
        <v>91.64</v>
      </c>
      <c r="G257" s="143">
        <f ca="1">IFERROR(__xludf.DUMMYFUNCTION("""COMPUTED_VALUE"""),11999712)</f>
        <v>11999712</v>
      </c>
      <c r="H257" s="26"/>
    </row>
    <row r="258" spans="1:8" ht="17.25" customHeight="1" x14ac:dyDescent="0.2">
      <c r="A258" s="26"/>
      <c r="B258" s="139">
        <f ca="1">IFERROR(__xludf.DUMMYFUNCTION("""COMPUTED_VALUE"""),46203.6666666666)</f>
        <v>46203.666666666599</v>
      </c>
      <c r="C258" s="141">
        <f ca="1">IFERROR(__xludf.DUMMYFUNCTION("""COMPUTED_VALUE"""),91.64)</f>
        <v>91.64</v>
      </c>
      <c r="D258" s="141">
        <f ca="1">IFERROR(__xludf.DUMMYFUNCTION("""COMPUTED_VALUE"""),91.65)</f>
        <v>91.65</v>
      </c>
      <c r="E258" s="141">
        <f ca="1">IFERROR(__xludf.DUMMYFUNCTION("""COMPUTED_VALUE"""),91.64)</f>
        <v>91.64</v>
      </c>
      <c r="F258" s="141">
        <f ca="1">IFERROR(__xludf.DUMMYFUNCTION("""COMPUTED_VALUE"""),91.64)</f>
        <v>91.64</v>
      </c>
      <c r="G258" s="143">
        <f ca="1">IFERROR(__xludf.DUMMYFUNCTION("""COMPUTED_VALUE"""),15835720)</f>
        <v>15835720</v>
      </c>
      <c r="H258" s="26"/>
    </row>
    <row r="259" spans="1:8" ht="17.25" customHeight="1" x14ac:dyDescent="0.2">
      <c r="A259" s="26"/>
      <c r="B259" s="139">
        <f ca="1">IFERROR(__xludf.DUMMYFUNCTION("""COMPUTED_VALUE"""),46204.6666666666)</f>
        <v>46204.666666666599</v>
      </c>
      <c r="C259" s="141">
        <f ca="1">IFERROR(__xludf.DUMMYFUNCTION("""COMPUTED_VALUE"""),91.4)</f>
        <v>91.4</v>
      </c>
      <c r="D259" s="141">
        <f ca="1">IFERROR(__xludf.DUMMYFUNCTION("""COMPUTED_VALUE"""),91.4)</f>
        <v>91.4</v>
      </c>
      <c r="E259" s="141">
        <f ca="1">IFERROR(__xludf.DUMMYFUNCTION("""COMPUTED_VALUE"""),91.39)</f>
        <v>91.39</v>
      </c>
      <c r="F259" s="141">
        <f ca="1">IFERROR(__xludf.DUMMYFUNCTION("""COMPUTED_VALUE"""),91.4)</f>
        <v>91.4</v>
      </c>
      <c r="G259" s="143">
        <f ca="1">IFERROR(__xludf.DUMMYFUNCTION("""COMPUTED_VALUE"""),17069135)</f>
        <v>17069135</v>
      </c>
      <c r="H259" s="26"/>
    </row>
    <row r="260" spans="1:8" ht="17.25" customHeight="1" x14ac:dyDescent="0.2">
      <c r="A260" s="26"/>
      <c r="B260" s="139">
        <f ca="1">IFERROR(__xludf.DUMMYFUNCTION("""COMPUTED_VALUE"""),46205.6666666666)</f>
        <v>46205.666666666599</v>
      </c>
      <c r="C260" s="141">
        <f ca="1">IFERROR(__xludf.DUMMYFUNCTION("""COMPUTED_VALUE"""),91.43)</f>
        <v>91.43</v>
      </c>
      <c r="D260" s="141">
        <f ca="1">IFERROR(__xludf.DUMMYFUNCTION("""COMPUTED_VALUE"""),91.44)</f>
        <v>91.44</v>
      </c>
      <c r="E260" s="141">
        <f ca="1">IFERROR(__xludf.DUMMYFUNCTION("""COMPUTED_VALUE"""),91.42)</f>
        <v>91.42</v>
      </c>
      <c r="F260" s="141">
        <f ca="1">IFERROR(__xludf.DUMMYFUNCTION("""COMPUTED_VALUE"""),91.44)</f>
        <v>91.44</v>
      </c>
      <c r="G260" s="143">
        <f ca="1">IFERROR(__xludf.DUMMYFUNCTION("""COMPUTED_VALUE"""),10416107)</f>
        <v>10416107</v>
      </c>
      <c r="H260" s="26"/>
    </row>
    <row r="261" spans="1:8" ht="17.25" customHeight="1" x14ac:dyDescent="0.2">
      <c r="A261" s="26"/>
      <c r="B261" s="139">
        <f ca="1">IFERROR(__xludf.DUMMYFUNCTION("""COMPUTED_VALUE"""),46209.6666666666)</f>
        <v>46209.666666666599</v>
      </c>
      <c r="C261" s="141">
        <f ca="1">IFERROR(__xludf.DUMMYFUNCTION("""COMPUTED_VALUE"""),91.45)</f>
        <v>91.45</v>
      </c>
      <c r="D261" s="141">
        <f ca="1">IFERROR(__xludf.DUMMYFUNCTION("""COMPUTED_VALUE"""),91.45)</f>
        <v>91.45</v>
      </c>
      <c r="E261" s="141">
        <f ca="1">IFERROR(__xludf.DUMMYFUNCTION("""COMPUTED_VALUE"""),91.43)</f>
        <v>91.43</v>
      </c>
      <c r="F261" s="141">
        <f ca="1">IFERROR(__xludf.DUMMYFUNCTION("""COMPUTED_VALUE"""),91.43)</f>
        <v>91.43</v>
      </c>
      <c r="G261" s="143">
        <f ca="1">IFERROR(__xludf.DUMMYFUNCTION("""COMPUTED_VALUE"""),14904991)</f>
        <v>14904991</v>
      </c>
      <c r="H261" s="26"/>
    </row>
    <row r="262" spans="1:8" ht="17.25" customHeight="1" x14ac:dyDescent="0.2">
      <c r="A262" s="26"/>
      <c r="B262" s="139">
        <f ca="1">IFERROR(__xludf.DUMMYFUNCTION("""COMPUTED_VALUE"""),46210.6666666666)</f>
        <v>46210.666666666599</v>
      </c>
      <c r="C262" s="141">
        <f ca="1">IFERROR(__xludf.DUMMYFUNCTION("""COMPUTED_VALUE"""),91.45)</f>
        <v>91.45</v>
      </c>
      <c r="D262" s="141">
        <f ca="1">IFERROR(__xludf.DUMMYFUNCTION("""COMPUTED_VALUE"""),91.45)</f>
        <v>91.45</v>
      </c>
      <c r="E262" s="141">
        <f ca="1">IFERROR(__xludf.DUMMYFUNCTION("""COMPUTED_VALUE"""),91.44)</f>
        <v>91.44</v>
      </c>
      <c r="F262" s="141">
        <f ca="1">IFERROR(__xludf.DUMMYFUNCTION("""COMPUTED_VALUE"""),91.45)</f>
        <v>91.45</v>
      </c>
      <c r="G262" s="143">
        <f ca="1">IFERROR(__xludf.DUMMYFUNCTION("""COMPUTED_VALUE"""),9221700)</f>
        <v>9221700</v>
      </c>
      <c r="H262" s="26"/>
    </row>
    <row r="263" spans="1:8" ht="17.25" customHeight="1" x14ac:dyDescent="0.2">
      <c r="A263" s="26"/>
      <c r="B263" s="139">
        <f ca="1">IFERROR(__xludf.DUMMYFUNCTION("""COMPUTED_VALUE"""),46211.6666666666)</f>
        <v>46211.666666666599</v>
      </c>
      <c r="C263" s="141">
        <f ca="1">IFERROR(__xludf.DUMMYFUNCTION("""COMPUTED_VALUE"""),91.46)</f>
        <v>91.46</v>
      </c>
      <c r="D263" s="141">
        <f ca="1">IFERROR(__xludf.DUMMYFUNCTION("""COMPUTED_VALUE"""),91.46)</f>
        <v>91.46</v>
      </c>
      <c r="E263" s="141">
        <f ca="1">IFERROR(__xludf.DUMMYFUNCTION("""COMPUTED_VALUE"""),91.45)</f>
        <v>91.45</v>
      </c>
      <c r="F263" s="141">
        <f ca="1">IFERROR(__xludf.DUMMYFUNCTION("""COMPUTED_VALUE"""),91.45)</f>
        <v>91.45</v>
      </c>
      <c r="G263" s="143">
        <f ca="1">IFERROR(__xludf.DUMMYFUNCTION("""COMPUTED_VALUE"""),8695965)</f>
        <v>8695965</v>
      </c>
      <c r="H263" s="26"/>
    </row>
    <row r="264" spans="1:8" ht="17.25" customHeight="1" x14ac:dyDescent="0.2">
      <c r="A264" s="26"/>
      <c r="B264" s="139">
        <f ca="1">IFERROR(__xludf.DUMMYFUNCTION("""COMPUTED_VALUE"""),46212.6666666666)</f>
        <v>46212.666666666599</v>
      </c>
      <c r="C264" s="141">
        <f ca="1">IFERROR(__xludf.DUMMYFUNCTION("""COMPUTED_VALUE"""),91.46)</f>
        <v>91.46</v>
      </c>
      <c r="D264" s="141">
        <f ca="1">IFERROR(__xludf.DUMMYFUNCTION("""COMPUTED_VALUE"""),91.47)</f>
        <v>91.47</v>
      </c>
      <c r="E264" s="141">
        <f ca="1">IFERROR(__xludf.DUMMYFUNCTION("""COMPUTED_VALUE"""),91.46)</f>
        <v>91.46</v>
      </c>
      <c r="F264" s="141">
        <f ca="1">IFERROR(__xludf.DUMMYFUNCTION("""COMPUTED_VALUE"""),91.46)</f>
        <v>91.46</v>
      </c>
      <c r="G264" s="143">
        <f ca="1">IFERROR(__xludf.DUMMYFUNCTION("""COMPUTED_VALUE"""),6627229)</f>
        <v>6627229</v>
      </c>
      <c r="H264" s="26"/>
    </row>
    <row r="265" spans="1:8" ht="17.25" customHeight="1" x14ac:dyDescent="0.2">
      <c r="A265" s="26"/>
      <c r="B265" s="139">
        <f ca="1">IFERROR(__xludf.DUMMYFUNCTION("""COMPUTED_VALUE"""),46213.6666666666)</f>
        <v>46213.666666666599</v>
      </c>
      <c r="C265" s="141">
        <f ca="1">IFERROR(__xludf.DUMMYFUNCTION("""COMPUTED_VALUE"""),91.49)</f>
        <v>91.49</v>
      </c>
      <c r="D265" s="141">
        <f ca="1">IFERROR(__xludf.DUMMYFUNCTION("""COMPUTED_VALUE"""),91.5)</f>
        <v>91.5</v>
      </c>
      <c r="E265" s="141">
        <f ca="1">IFERROR(__xludf.DUMMYFUNCTION("""COMPUTED_VALUE"""),91.49)</f>
        <v>91.49</v>
      </c>
      <c r="F265" s="141">
        <f ca="1">IFERROR(__xludf.DUMMYFUNCTION("""COMPUTED_VALUE"""),91.5)</f>
        <v>91.5</v>
      </c>
      <c r="G265" s="143">
        <f ca="1">IFERROR(__xludf.DUMMYFUNCTION("""COMPUTED_VALUE"""),8434279)</f>
        <v>8434279</v>
      </c>
      <c r="H265" s="26"/>
    </row>
    <row r="266" spans="1:8" ht="17.25" customHeight="1" x14ac:dyDescent="0.2">
      <c r="A266" s="26"/>
      <c r="B266" s="139">
        <f ca="1">IFERROR(__xludf.DUMMYFUNCTION("""COMPUTED_VALUE"""),46216.6666666666)</f>
        <v>46216.666666666599</v>
      </c>
      <c r="C266" s="141">
        <f ca="1">IFERROR(__xludf.DUMMYFUNCTION("""COMPUTED_VALUE"""),91.51)</f>
        <v>91.51</v>
      </c>
      <c r="D266" s="141">
        <f ca="1">IFERROR(__xludf.DUMMYFUNCTION("""COMPUTED_VALUE"""),91.51)</f>
        <v>91.51</v>
      </c>
      <c r="E266" s="141">
        <f ca="1">IFERROR(__xludf.DUMMYFUNCTION("""COMPUTED_VALUE"""),91.5)</f>
        <v>91.5</v>
      </c>
      <c r="F266" s="141">
        <f ca="1">IFERROR(__xludf.DUMMYFUNCTION("""COMPUTED_VALUE"""),91.5)</f>
        <v>91.5</v>
      </c>
      <c r="G266" s="143">
        <f ca="1">IFERROR(__xludf.DUMMYFUNCTION("""COMPUTED_VALUE"""),6733012)</f>
        <v>6733012</v>
      </c>
      <c r="H266" s="26"/>
    </row>
    <row r="267" spans="1:8" ht="17.25" customHeight="1" x14ac:dyDescent="0.2">
      <c r="A267" s="26"/>
      <c r="B267" s="139">
        <f ca="1">IFERROR(__xludf.DUMMYFUNCTION("""COMPUTED_VALUE"""),46217.6666666666)</f>
        <v>46217.666666666599</v>
      </c>
      <c r="C267" s="141">
        <f ca="1">IFERROR(__xludf.DUMMYFUNCTION("""COMPUTED_VALUE"""),91.5)</f>
        <v>91.5</v>
      </c>
      <c r="D267" s="141">
        <f ca="1">IFERROR(__xludf.DUMMYFUNCTION("""COMPUTED_VALUE"""),91.51)</f>
        <v>91.51</v>
      </c>
      <c r="E267" s="141">
        <f ca="1">IFERROR(__xludf.DUMMYFUNCTION("""COMPUTED_VALUE"""),91.5)</f>
        <v>91.5</v>
      </c>
      <c r="F267" s="141">
        <f ca="1">IFERROR(__xludf.DUMMYFUNCTION("""COMPUTED_VALUE"""),91.51)</f>
        <v>91.51</v>
      </c>
      <c r="G267" s="143">
        <f ca="1">IFERROR(__xludf.DUMMYFUNCTION("""COMPUTED_VALUE"""),6089130)</f>
        <v>6089130</v>
      </c>
      <c r="H267" s="26"/>
    </row>
    <row r="268" spans="1:8" ht="17.25" customHeight="1" x14ac:dyDescent="0.2">
      <c r="A268" s="26"/>
      <c r="B268" s="139">
        <f ca="1">IFERROR(__xludf.DUMMYFUNCTION("""COMPUTED_VALUE"""),46218.6666666666)</f>
        <v>46218.666666666599</v>
      </c>
      <c r="C268" s="141">
        <f ca="1">IFERROR(__xludf.DUMMYFUNCTION("""COMPUTED_VALUE"""),91.52)</f>
        <v>91.52</v>
      </c>
      <c r="D268" s="141">
        <f ca="1">IFERROR(__xludf.DUMMYFUNCTION("""COMPUTED_VALUE"""),91.52)</f>
        <v>91.52</v>
      </c>
      <c r="E268" s="141">
        <f ca="1">IFERROR(__xludf.DUMMYFUNCTION("""COMPUTED_VALUE"""),91.51)</f>
        <v>91.51</v>
      </c>
      <c r="F268" s="141">
        <f ca="1">IFERROR(__xludf.DUMMYFUNCTION("""COMPUTED_VALUE"""),91.52)</f>
        <v>91.52</v>
      </c>
      <c r="G268" s="143">
        <f ca="1">IFERROR(__xludf.DUMMYFUNCTION("""COMPUTED_VALUE"""),11497161)</f>
        <v>11497161</v>
      </c>
      <c r="H268" s="26"/>
    </row>
    <row r="269" spans="1:8" ht="17.25" customHeight="1" x14ac:dyDescent="0.2">
      <c r="A269" s="26"/>
      <c r="B269" s="139">
        <f ca="1">IFERROR(__xludf.DUMMYFUNCTION("""COMPUTED_VALUE"""),46219.6666666666)</f>
        <v>46219.666666666599</v>
      </c>
      <c r="C269" s="141">
        <f ca="1">IFERROR(__xludf.DUMMYFUNCTION("""COMPUTED_VALUE"""),91.52)</f>
        <v>91.52</v>
      </c>
      <c r="D269" s="141">
        <f ca="1">IFERROR(__xludf.DUMMYFUNCTION("""COMPUTED_VALUE"""),91.53)</f>
        <v>91.53</v>
      </c>
      <c r="E269" s="141">
        <f ca="1">IFERROR(__xludf.DUMMYFUNCTION("""COMPUTED_VALUE"""),91.52)</f>
        <v>91.52</v>
      </c>
      <c r="F269" s="141">
        <f ca="1">IFERROR(__xludf.DUMMYFUNCTION("""COMPUTED_VALUE"""),91.53)</f>
        <v>91.53</v>
      </c>
      <c r="G269" s="143">
        <f ca="1">IFERROR(__xludf.DUMMYFUNCTION("""COMPUTED_VALUE"""),9655218)</f>
        <v>9655218</v>
      </c>
      <c r="H269" s="26"/>
    </row>
    <row r="270" spans="1:8" ht="17.25" customHeight="1" x14ac:dyDescent="0.2">
      <c r="A270" s="26"/>
      <c r="B270" s="139">
        <f ca="1">IFERROR(__xludf.DUMMYFUNCTION("""COMPUTED_VALUE"""),46220.6666666666)</f>
        <v>46220.666666666599</v>
      </c>
      <c r="C270" s="141">
        <f ca="1">IFERROR(__xludf.DUMMYFUNCTION("""COMPUTED_VALUE"""),91.55)</f>
        <v>91.55</v>
      </c>
      <c r="D270" s="141">
        <f ca="1">IFERROR(__xludf.DUMMYFUNCTION("""COMPUTED_VALUE"""),91.56)</f>
        <v>91.56</v>
      </c>
      <c r="E270" s="141">
        <f ca="1">IFERROR(__xludf.DUMMYFUNCTION("""COMPUTED_VALUE"""),91.54)</f>
        <v>91.54</v>
      </c>
      <c r="F270" s="141">
        <f ca="1">IFERROR(__xludf.DUMMYFUNCTION("""COMPUTED_VALUE"""),91.55)</f>
        <v>91.55</v>
      </c>
      <c r="G270" s="143">
        <f ca="1">IFERROR(__xludf.DUMMYFUNCTION("""COMPUTED_VALUE"""),15104641)</f>
        <v>15104641</v>
      </c>
      <c r="H270" s="26"/>
    </row>
    <row r="271" spans="1:8" ht="17.25" customHeight="1" x14ac:dyDescent="0.2">
      <c r="A271" s="26"/>
      <c r="B271" s="139">
        <f ca="1">IFERROR(__xludf.DUMMYFUNCTION("""COMPUTED_VALUE"""),46223.6666666666)</f>
        <v>46223.666666666599</v>
      </c>
      <c r="C271" s="141">
        <f ca="1">IFERROR(__xludf.DUMMYFUNCTION("""COMPUTED_VALUE"""),91.56)</f>
        <v>91.56</v>
      </c>
      <c r="D271" s="141">
        <f ca="1">IFERROR(__xludf.DUMMYFUNCTION("""COMPUTED_VALUE"""),91.57)</f>
        <v>91.57</v>
      </c>
      <c r="E271" s="141">
        <f ca="1">IFERROR(__xludf.DUMMYFUNCTION("""COMPUTED_VALUE"""),91.56)</f>
        <v>91.56</v>
      </c>
      <c r="F271" s="141">
        <f ca="1">IFERROR(__xludf.DUMMYFUNCTION("""COMPUTED_VALUE"""),91.56)</f>
        <v>91.56</v>
      </c>
      <c r="G271" s="143">
        <f ca="1">IFERROR(__xludf.DUMMYFUNCTION("""COMPUTED_VALUE"""),7275612)</f>
        <v>7275612</v>
      </c>
      <c r="H271" s="26"/>
    </row>
    <row r="272" spans="1:8" ht="17.25" customHeight="1" x14ac:dyDescent="0.2">
      <c r="A272" s="26"/>
      <c r="B272" s="139">
        <f ca="1">IFERROR(__xludf.DUMMYFUNCTION("""COMPUTED_VALUE"""),46224.6666666666)</f>
        <v>46224.666666666599</v>
      </c>
      <c r="C272" s="141">
        <f ca="1">IFERROR(__xludf.DUMMYFUNCTION("""COMPUTED_VALUE"""),91.57)</f>
        <v>91.57</v>
      </c>
      <c r="D272" s="141">
        <f ca="1">IFERROR(__xludf.DUMMYFUNCTION("""COMPUTED_VALUE"""),91.57)</f>
        <v>91.57</v>
      </c>
      <c r="E272" s="141">
        <f ca="1">IFERROR(__xludf.DUMMYFUNCTION("""COMPUTED_VALUE"""),91.56)</f>
        <v>91.56</v>
      </c>
      <c r="F272" s="141">
        <f ca="1">IFERROR(__xludf.DUMMYFUNCTION("""COMPUTED_VALUE"""),91.56)</f>
        <v>91.56</v>
      </c>
      <c r="G272" s="143">
        <f ca="1">IFERROR(__xludf.DUMMYFUNCTION("""COMPUTED_VALUE"""),6698367)</f>
        <v>6698367</v>
      </c>
      <c r="H272" s="26"/>
    </row>
    <row r="273" spans="1:8" ht="17.25" customHeight="1" x14ac:dyDescent="0.2">
      <c r="A273" s="26"/>
      <c r="B273" s="139">
        <f ca="1">IFERROR(__xludf.DUMMYFUNCTION("""COMPUTED_VALUE"""),46225.6666666666)</f>
        <v>46225.666666666599</v>
      </c>
      <c r="C273" s="141">
        <f ca="1">IFERROR(__xludf.DUMMYFUNCTION("""COMPUTED_VALUE"""),91.58)</f>
        <v>91.58</v>
      </c>
      <c r="D273" s="141">
        <f ca="1">IFERROR(__xludf.DUMMYFUNCTION("""COMPUTED_VALUE"""),91.58)</f>
        <v>91.58</v>
      </c>
      <c r="E273" s="141">
        <f ca="1">IFERROR(__xludf.DUMMYFUNCTION("""COMPUTED_VALUE"""),91.57)</f>
        <v>91.57</v>
      </c>
      <c r="F273" s="141">
        <f ca="1">IFERROR(__xludf.DUMMYFUNCTION("""COMPUTED_VALUE"""),91.58)</f>
        <v>91.58</v>
      </c>
      <c r="G273" s="143">
        <f ca="1">IFERROR(__xludf.DUMMYFUNCTION("""COMPUTED_VALUE"""),6641745)</f>
        <v>6641745</v>
      </c>
      <c r="H273" s="26"/>
    </row>
    <row r="274" spans="1:8" ht="17.25" customHeight="1" x14ac:dyDescent="0.2">
      <c r="A274" s="26"/>
      <c r="B274" s="139">
        <f ca="1">IFERROR(__xludf.DUMMYFUNCTION("""COMPUTED_VALUE"""),46226.6666666666)</f>
        <v>46226.666666666599</v>
      </c>
      <c r="C274" s="141">
        <f ca="1">IFERROR(__xludf.DUMMYFUNCTION("""COMPUTED_VALUE"""),91.59)</f>
        <v>91.59</v>
      </c>
      <c r="D274" s="141">
        <f ca="1">IFERROR(__xludf.DUMMYFUNCTION("""COMPUTED_VALUE"""),91.59)</f>
        <v>91.59</v>
      </c>
      <c r="E274" s="141">
        <f ca="1">IFERROR(__xludf.DUMMYFUNCTION("""COMPUTED_VALUE"""),91.58)</f>
        <v>91.58</v>
      </c>
      <c r="F274" s="141">
        <f ca="1">IFERROR(__xludf.DUMMYFUNCTION("""COMPUTED_VALUE"""),91.58)</f>
        <v>91.58</v>
      </c>
      <c r="G274" s="143">
        <f ca="1">IFERROR(__xludf.DUMMYFUNCTION("""COMPUTED_VALUE"""),8378478)</f>
        <v>8378478</v>
      </c>
      <c r="H274" s="26"/>
    </row>
    <row r="275" spans="1:8" ht="17.25" customHeight="1" x14ac:dyDescent="0.2">
      <c r="A275" s="26"/>
      <c r="B275" s="139">
        <f ca="1">IFERROR(__xludf.DUMMYFUNCTION("""COMPUTED_VALUE"""),46227.6666666666)</f>
        <v>46227.666666666599</v>
      </c>
      <c r="C275" s="141">
        <f ca="1">IFERROR(__xludf.DUMMYFUNCTION("""COMPUTED_VALUE"""),91.61)</f>
        <v>91.61</v>
      </c>
      <c r="D275" s="141">
        <f ca="1">IFERROR(__xludf.DUMMYFUNCTION("""COMPUTED_VALUE"""),91.61)</f>
        <v>91.61</v>
      </c>
      <c r="E275" s="141">
        <f ca="1">IFERROR(__xludf.DUMMYFUNCTION("""COMPUTED_VALUE"""),91.6)</f>
        <v>91.6</v>
      </c>
      <c r="F275" s="141">
        <f ca="1">IFERROR(__xludf.DUMMYFUNCTION("""COMPUTED_VALUE"""),91.61)</f>
        <v>91.61</v>
      </c>
      <c r="G275" s="143">
        <f ca="1">IFERROR(__xludf.DUMMYFUNCTION("""COMPUTED_VALUE"""),6414998)</f>
        <v>6414998</v>
      </c>
      <c r="H275" s="26"/>
    </row>
    <row r="276" spans="1:8" ht="17.25" customHeight="1" x14ac:dyDescent="0.2">
      <c r="A276" s="26"/>
      <c r="B276" s="139">
        <f ca="1">IFERROR(__xludf.DUMMYFUNCTION("""COMPUTED_VALUE"""),46230.6666666666)</f>
        <v>46230.666666666599</v>
      </c>
      <c r="C276" s="141">
        <f ca="1">IFERROR(__xludf.DUMMYFUNCTION("""COMPUTED_VALUE"""),91.61)</f>
        <v>91.61</v>
      </c>
      <c r="D276" s="141">
        <f ca="1">IFERROR(__xludf.DUMMYFUNCTION("""COMPUTED_VALUE"""),91.62)</f>
        <v>91.62</v>
      </c>
      <c r="E276" s="141">
        <f ca="1">IFERROR(__xludf.DUMMYFUNCTION("""COMPUTED_VALUE"""),91.61)</f>
        <v>91.61</v>
      </c>
      <c r="F276" s="141">
        <f ca="1">IFERROR(__xludf.DUMMYFUNCTION("""COMPUTED_VALUE"""),91.62)</f>
        <v>91.62</v>
      </c>
      <c r="G276" s="143">
        <f ca="1">IFERROR(__xludf.DUMMYFUNCTION("""COMPUTED_VALUE"""),9280946)</f>
        <v>9280946</v>
      </c>
      <c r="H276" s="26"/>
    </row>
    <row r="277" spans="1:8" ht="17.25" customHeight="1" x14ac:dyDescent="0.2">
      <c r="A277" s="26"/>
      <c r="B277" s="139">
        <f ca="1">IFERROR(__xludf.DUMMYFUNCTION("""COMPUTED_VALUE"""),46231.6666666666)</f>
        <v>46231.666666666599</v>
      </c>
      <c r="C277" s="141">
        <f ca="1">IFERROR(__xludf.DUMMYFUNCTION("""COMPUTED_VALUE"""),91.63)</f>
        <v>91.63</v>
      </c>
      <c r="D277" s="141">
        <f ca="1">IFERROR(__xludf.DUMMYFUNCTION("""COMPUTED_VALUE"""),91.63)</f>
        <v>91.63</v>
      </c>
      <c r="E277" s="141">
        <f ca="1">IFERROR(__xludf.DUMMYFUNCTION("""COMPUTED_VALUE"""),91.62)</f>
        <v>91.62</v>
      </c>
      <c r="F277" s="141">
        <f ca="1">IFERROR(__xludf.DUMMYFUNCTION("""COMPUTED_VALUE"""),91.63)</f>
        <v>91.63</v>
      </c>
      <c r="G277" s="143">
        <f ca="1">IFERROR(__xludf.DUMMYFUNCTION("""COMPUTED_VALUE"""),8817010)</f>
        <v>8817010</v>
      </c>
      <c r="H277" s="26"/>
    </row>
    <row r="278" spans="1:8" ht="17.25" customHeight="1" x14ac:dyDescent="0.2">
      <c r="A278" s="26"/>
      <c r="B278" s="139">
        <f ca="1">IFERROR(__xludf.DUMMYFUNCTION("""COMPUTED_VALUE"""),46232.6666666666)</f>
        <v>46232.666666666599</v>
      </c>
      <c r="C278" s="141">
        <f ca="1">IFERROR(__xludf.DUMMYFUNCTION("""COMPUTED_VALUE"""),91.63)</f>
        <v>91.63</v>
      </c>
      <c r="D278" s="141">
        <f ca="1">IFERROR(__xludf.DUMMYFUNCTION("""COMPUTED_VALUE"""),91.64)</f>
        <v>91.64</v>
      </c>
      <c r="E278" s="141">
        <f ca="1">IFERROR(__xludf.DUMMYFUNCTION("""COMPUTED_VALUE"""),91.63)</f>
        <v>91.63</v>
      </c>
      <c r="F278" s="141">
        <f ca="1">IFERROR(__xludf.DUMMYFUNCTION("""COMPUTED_VALUE"""),91.64)</f>
        <v>91.64</v>
      </c>
      <c r="G278" s="143">
        <f ca="1">IFERROR(__xludf.DUMMYFUNCTION("""COMPUTED_VALUE"""),6521721)</f>
        <v>6521721</v>
      </c>
      <c r="H278" s="26"/>
    </row>
    <row r="279" spans="1:8" ht="17.25" customHeight="1" x14ac:dyDescent="0.2">
      <c r="A279" s="26"/>
      <c r="B279" s="139"/>
      <c r="C279" s="141"/>
      <c r="D279" s="141"/>
      <c r="E279" s="141"/>
      <c r="F279" s="141"/>
      <c r="G279" s="143"/>
      <c r="H279" s="26"/>
    </row>
    <row r="280" spans="1:8" ht="17.25" customHeight="1" x14ac:dyDescent="0.2">
      <c r="A280" s="26"/>
      <c r="B280" s="139"/>
      <c r="C280" s="141"/>
      <c r="D280" s="141"/>
      <c r="E280" s="141"/>
      <c r="F280" s="141"/>
      <c r="G280" s="143"/>
      <c r="H280" s="26"/>
    </row>
    <row r="281" spans="1:8" ht="17.25" customHeight="1" x14ac:dyDescent="0.2">
      <c r="A281" s="26"/>
      <c r="B281" s="139"/>
      <c r="C281" s="141"/>
      <c r="D281" s="141"/>
      <c r="E281" s="141"/>
      <c r="F281" s="141"/>
      <c r="G281" s="143"/>
      <c r="H281" s="26"/>
    </row>
    <row r="282" spans="1:8" ht="17.25" customHeight="1" x14ac:dyDescent="0.2">
      <c r="A282" s="26"/>
      <c r="B282" s="139"/>
      <c r="C282" s="141"/>
      <c r="D282" s="141"/>
      <c r="E282" s="141"/>
      <c r="F282" s="141"/>
      <c r="G282" s="143"/>
      <c r="H282" s="26"/>
    </row>
    <row r="283" spans="1:8" ht="17.25" customHeight="1" x14ac:dyDescent="0.2">
      <c r="A283" s="26"/>
      <c r="B283" s="139"/>
      <c r="C283" s="141"/>
      <c r="D283" s="141"/>
      <c r="E283" s="141"/>
      <c r="F283" s="141"/>
      <c r="G283" s="143"/>
      <c r="H283" s="26"/>
    </row>
    <row r="284" spans="1:8" ht="17.25" customHeight="1" x14ac:dyDescent="0.2">
      <c r="A284" s="26"/>
      <c r="B284" s="139"/>
      <c r="C284" s="141"/>
      <c r="D284" s="141"/>
      <c r="E284" s="141"/>
      <c r="F284" s="141"/>
      <c r="G284" s="143"/>
      <c r="H284" s="26"/>
    </row>
    <row r="285" spans="1:8" ht="17.25" customHeight="1" x14ac:dyDescent="0.2">
      <c r="A285" s="26"/>
      <c r="B285" s="139"/>
      <c r="C285" s="141"/>
      <c r="D285" s="141"/>
      <c r="E285" s="141"/>
      <c r="F285" s="141"/>
      <c r="G285" s="143"/>
      <c r="H285" s="26"/>
    </row>
    <row r="286" spans="1:8" ht="17.25" customHeight="1" x14ac:dyDescent="0.2">
      <c r="A286" s="26"/>
      <c r="B286" s="139"/>
      <c r="C286" s="141"/>
      <c r="D286" s="141"/>
      <c r="E286" s="141"/>
      <c r="F286" s="141"/>
      <c r="G286" s="143"/>
      <c r="H286" s="26"/>
    </row>
    <row r="287" spans="1:8" ht="17.25" customHeight="1" x14ac:dyDescent="0.2">
      <c r="A287" s="26"/>
      <c r="B287" s="139"/>
      <c r="C287" s="141"/>
      <c r="D287" s="141"/>
      <c r="E287" s="141"/>
      <c r="F287" s="141"/>
      <c r="G287" s="143"/>
      <c r="H287" s="26"/>
    </row>
    <row r="288" spans="1:8" ht="17.25" customHeight="1" x14ac:dyDescent="0.2">
      <c r="A288" s="26"/>
      <c r="B288" s="139"/>
      <c r="C288" s="141"/>
      <c r="D288" s="141"/>
      <c r="E288" s="141"/>
      <c r="F288" s="141"/>
      <c r="G288" s="143"/>
      <c r="H288" s="26"/>
    </row>
    <row r="289" spans="1:8" ht="17.25" customHeight="1" x14ac:dyDescent="0.2">
      <c r="A289" s="26"/>
      <c r="B289" s="139"/>
      <c r="C289" s="141"/>
      <c r="D289" s="141"/>
      <c r="E289" s="141"/>
      <c r="F289" s="141"/>
      <c r="G289" s="143"/>
      <c r="H289" s="26"/>
    </row>
    <row r="290" spans="1:8" ht="17.25" customHeight="1" x14ac:dyDescent="0.2">
      <c r="A290" s="26"/>
      <c r="B290" s="139"/>
      <c r="C290" s="141"/>
      <c r="D290" s="141"/>
      <c r="E290" s="141"/>
      <c r="F290" s="141"/>
      <c r="G290" s="143"/>
      <c r="H290" s="26"/>
    </row>
    <row r="291" spans="1:8" ht="17.25" customHeight="1" x14ac:dyDescent="0.2">
      <c r="A291" s="26"/>
      <c r="B291" s="139"/>
      <c r="C291" s="141"/>
      <c r="D291" s="141"/>
      <c r="E291" s="141"/>
      <c r="F291" s="141"/>
      <c r="G291" s="143"/>
      <c r="H291" s="26"/>
    </row>
    <row r="292" spans="1:8" ht="17.25" customHeight="1" x14ac:dyDescent="0.2">
      <c r="A292" s="26"/>
      <c r="B292" s="139"/>
      <c r="C292" s="141"/>
      <c r="D292" s="141"/>
      <c r="E292" s="141"/>
      <c r="F292" s="141"/>
      <c r="G292" s="143"/>
      <c r="H292" s="26"/>
    </row>
    <row r="293" spans="1:8" ht="17.25" customHeight="1" x14ac:dyDescent="0.2">
      <c r="A293" s="26"/>
      <c r="B293" s="139"/>
      <c r="C293" s="141"/>
      <c r="D293" s="141"/>
      <c r="E293" s="141"/>
      <c r="F293" s="141"/>
      <c r="G293" s="143"/>
      <c r="H293" s="26"/>
    </row>
    <row r="294" spans="1:8" ht="17.25" customHeight="1" x14ac:dyDescent="0.2">
      <c r="A294" s="26"/>
      <c r="B294" s="139"/>
      <c r="C294" s="141"/>
      <c r="D294" s="141"/>
      <c r="E294" s="141"/>
      <c r="F294" s="141"/>
      <c r="G294" s="143"/>
      <c r="H294" s="26"/>
    </row>
    <row r="295" spans="1:8" ht="17.25" customHeight="1" x14ac:dyDescent="0.2">
      <c r="A295" s="26"/>
      <c r="B295" s="139"/>
      <c r="C295" s="141"/>
      <c r="D295" s="141"/>
      <c r="E295" s="141"/>
      <c r="F295" s="141"/>
      <c r="G295" s="143"/>
      <c r="H295" s="26"/>
    </row>
    <row r="296" spans="1:8" ht="17.25" customHeight="1" x14ac:dyDescent="0.2">
      <c r="A296" s="26"/>
      <c r="B296" s="139"/>
      <c r="C296" s="141"/>
      <c r="D296" s="141"/>
      <c r="E296" s="141"/>
      <c r="F296" s="141"/>
      <c r="G296" s="143"/>
      <c r="H296" s="26"/>
    </row>
    <row r="297" spans="1:8" ht="17.25" customHeight="1" x14ac:dyDescent="0.2">
      <c r="A297" s="26"/>
      <c r="B297" s="139"/>
      <c r="C297" s="141"/>
      <c r="D297" s="141"/>
      <c r="E297" s="141"/>
      <c r="F297" s="141"/>
      <c r="G297" s="143"/>
      <c r="H297" s="26"/>
    </row>
    <row r="298" spans="1:8" ht="17.25" customHeight="1" x14ac:dyDescent="0.2">
      <c r="A298" s="26"/>
      <c r="B298" s="139"/>
      <c r="C298" s="141"/>
      <c r="D298" s="141"/>
      <c r="E298" s="141"/>
      <c r="F298" s="141"/>
      <c r="G298" s="143"/>
      <c r="H298" s="26"/>
    </row>
    <row r="299" spans="1:8" ht="17.25" customHeight="1" x14ac:dyDescent="0.2">
      <c r="A299" s="26"/>
      <c r="B299" s="139"/>
      <c r="C299" s="141"/>
      <c r="D299" s="141"/>
      <c r="E299" s="141"/>
      <c r="F299" s="141"/>
      <c r="G299" s="143"/>
      <c r="H299" s="26"/>
    </row>
    <row r="300" spans="1:8" ht="17.25" customHeight="1" x14ac:dyDescent="0.2">
      <c r="A300" s="26"/>
      <c r="B300" s="139"/>
      <c r="C300" s="141"/>
      <c r="D300" s="141"/>
      <c r="E300" s="141"/>
      <c r="F300" s="141"/>
      <c r="G300" s="143"/>
      <c r="H300" s="26"/>
    </row>
    <row r="301" spans="1:8" ht="17.25" customHeight="1" x14ac:dyDescent="0.2">
      <c r="A301" s="26"/>
      <c r="B301" s="139"/>
      <c r="C301" s="141"/>
      <c r="D301" s="141"/>
      <c r="E301" s="141"/>
      <c r="F301" s="141"/>
      <c r="G301" s="143"/>
      <c r="H301" s="26"/>
    </row>
    <row r="302" spans="1:8" ht="17.25" customHeight="1" x14ac:dyDescent="0.2">
      <c r="A302" s="26"/>
      <c r="B302" s="139"/>
      <c r="C302" s="141"/>
      <c r="D302" s="141"/>
      <c r="E302" s="141"/>
      <c r="F302" s="141"/>
      <c r="G302" s="143"/>
      <c r="H302" s="26"/>
    </row>
    <row r="303" spans="1:8" ht="17.25" customHeight="1" x14ac:dyDescent="0.2">
      <c r="A303" s="26"/>
      <c r="B303" s="139"/>
      <c r="C303" s="141"/>
      <c r="D303" s="141"/>
      <c r="E303" s="141"/>
      <c r="F303" s="141"/>
      <c r="G303" s="143"/>
      <c r="H303" s="26"/>
    </row>
    <row r="304" spans="1:8" ht="17.25" customHeight="1" x14ac:dyDescent="0.2">
      <c r="A304" s="26"/>
      <c r="B304" s="139"/>
      <c r="C304" s="141"/>
      <c r="D304" s="141"/>
      <c r="E304" s="141"/>
      <c r="F304" s="141"/>
      <c r="G304" s="143"/>
      <c r="H304" s="26"/>
    </row>
    <row r="305" spans="1:8" ht="17.25" customHeight="1" x14ac:dyDescent="0.2">
      <c r="A305" s="26"/>
      <c r="B305" s="139"/>
      <c r="C305" s="141"/>
      <c r="D305" s="141"/>
      <c r="E305" s="141"/>
      <c r="F305" s="141"/>
      <c r="G305" s="143"/>
      <c r="H305" s="26"/>
    </row>
    <row r="306" spans="1:8" ht="17.25" customHeight="1" x14ac:dyDescent="0.2">
      <c r="A306" s="26"/>
      <c r="B306" s="139"/>
      <c r="C306" s="141"/>
      <c r="D306" s="141"/>
      <c r="E306" s="141"/>
      <c r="F306" s="141"/>
      <c r="G306" s="143"/>
      <c r="H306" s="26"/>
    </row>
    <row r="307" spans="1:8" ht="17.25" customHeight="1" x14ac:dyDescent="0.2">
      <c r="A307" s="26"/>
      <c r="B307" s="139"/>
      <c r="C307" s="141"/>
      <c r="D307" s="141"/>
      <c r="E307" s="141"/>
      <c r="F307" s="141"/>
      <c r="G307" s="143"/>
      <c r="H307" s="26"/>
    </row>
    <row r="308" spans="1:8" ht="17.25" customHeight="1" x14ac:dyDescent="0.2">
      <c r="A308" s="26"/>
      <c r="B308" s="139"/>
      <c r="C308" s="141"/>
      <c r="D308" s="141"/>
      <c r="E308" s="141"/>
      <c r="F308" s="141"/>
      <c r="G308" s="143"/>
      <c r="H308" s="26"/>
    </row>
    <row r="309" spans="1:8" ht="17.25" customHeight="1" x14ac:dyDescent="0.2">
      <c r="A309" s="26"/>
      <c r="B309" s="139"/>
      <c r="C309" s="141"/>
      <c r="D309" s="141"/>
      <c r="E309" s="141"/>
      <c r="F309" s="141"/>
      <c r="G309" s="143"/>
      <c r="H309" s="26"/>
    </row>
    <row r="310" spans="1:8" ht="17.25" customHeight="1" x14ac:dyDescent="0.2">
      <c r="A310" s="26"/>
      <c r="B310" s="139"/>
      <c r="C310" s="141"/>
      <c r="D310" s="141"/>
      <c r="E310" s="141"/>
      <c r="F310" s="141"/>
      <c r="G310" s="143"/>
      <c r="H310" s="26"/>
    </row>
    <row r="311" spans="1:8" ht="17.25" customHeight="1" x14ac:dyDescent="0.2">
      <c r="A311" s="26"/>
      <c r="B311" s="139"/>
      <c r="C311" s="141"/>
      <c r="D311" s="141"/>
      <c r="E311" s="141"/>
      <c r="F311" s="141"/>
      <c r="G311" s="143"/>
      <c r="H311" s="26"/>
    </row>
    <row r="312" spans="1:8" ht="17.25" customHeight="1" x14ac:dyDescent="0.2">
      <c r="A312" s="26"/>
      <c r="B312" s="139"/>
      <c r="C312" s="141"/>
      <c r="D312" s="141"/>
      <c r="E312" s="141"/>
      <c r="F312" s="141"/>
      <c r="G312" s="143"/>
      <c r="H312" s="26"/>
    </row>
    <row r="313" spans="1:8" ht="17.25" customHeight="1" x14ac:dyDescent="0.2">
      <c r="A313" s="26"/>
      <c r="B313" s="139"/>
      <c r="C313" s="141"/>
      <c r="D313" s="141"/>
      <c r="E313" s="141"/>
      <c r="F313" s="141"/>
      <c r="G313" s="143"/>
      <c r="H313" s="26"/>
    </row>
    <row r="314" spans="1:8" ht="17.25" customHeight="1" x14ac:dyDescent="0.2">
      <c r="A314" s="26"/>
      <c r="B314" s="139"/>
      <c r="C314" s="141"/>
      <c r="D314" s="141"/>
      <c r="E314" s="141"/>
      <c r="F314" s="141"/>
      <c r="G314" s="143"/>
      <c r="H314" s="26"/>
    </row>
    <row r="315" spans="1:8" ht="17.25" customHeight="1" x14ac:dyDescent="0.2">
      <c r="A315" s="26"/>
      <c r="B315" s="139"/>
      <c r="C315" s="141"/>
      <c r="D315" s="141"/>
      <c r="E315" s="141"/>
      <c r="F315" s="141"/>
      <c r="G315" s="143"/>
      <c r="H315" s="26"/>
    </row>
    <row r="316" spans="1:8" ht="17.25" customHeight="1" x14ac:dyDescent="0.2">
      <c r="A316" s="26"/>
      <c r="B316" s="139"/>
      <c r="C316" s="141"/>
      <c r="D316" s="141"/>
      <c r="E316" s="141"/>
      <c r="F316" s="141"/>
      <c r="G316" s="143"/>
      <c r="H316" s="26"/>
    </row>
    <row r="317" spans="1:8" ht="17.25" customHeight="1" x14ac:dyDescent="0.2">
      <c r="A317" s="26"/>
      <c r="B317" s="139"/>
      <c r="C317" s="141"/>
      <c r="D317" s="141"/>
      <c r="E317" s="141"/>
      <c r="F317" s="141"/>
      <c r="G317" s="143"/>
      <c r="H317" s="26"/>
    </row>
    <row r="318" spans="1:8" ht="17.25" customHeight="1" x14ac:dyDescent="0.2">
      <c r="A318" s="26"/>
      <c r="B318" s="139"/>
      <c r="C318" s="141"/>
      <c r="D318" s="141"/>
      <c r="E318" s="141"/>
      <c r="F318" s="141"/>
      <c r="G318" s="143"/>
      <c r="H318" s="26"/>
    </row>
    <row r="319" spans="1:8" ht="17.25" customHeight="1" x14ac:dyDescent="0.2">
      <c r="A319" s="26"/>
      <c r="B319" s="139"/>
      <c r="C319" s="141"/>
      <c r="D319" s="141"/>
      <c r="E319" s="141"/>
      <c r="F319" s="141"/>
      <c r="G319" s="143"/>
      <c r="H319" s="26"/>
    </row>
    <row r="320" spans="1:8" ht="17.25" customHeight="1" x14ac:dyDescent="0.2">
      <c r="A320" s="26"/>
      <c r="B320" s="139"/>
      <c r="C320" s="141"/>
      <c r="D320" s="141"/>
      <c r="E320" s="141"/>
      <c r="F320" s="141"/>
      <c r="G320" s="143"/>
      <c r="H320" s="26"/>
    </row>
    <row r="321" spans="1:8" ht="17.25" customHeight="1" x14ac:dyDescent="0.2">
      <c r="A321" s="26"/>
      <c r="B321" s="139"/>
      <c r="C321" s="141"/>
      <c r="D321" s="141"/>
      <c r="E321" s="141"/>
      <c r="F321" s="141"/>
      <c r="G321" s="143"/>
      <c r="H321" s="26"/>
    </row>
    <row r="322" spans="1:8" ht="17.25" customHeight="1" x14ac:dyDescent="0.2">
      <c r="A322" s="26"/>
      <c r="B322" s="139"/>
      <c r="C322" s="141"/>
      <c r="D322" s="141"/>
      <c r="E322" s="141"/>
      <c r="F322" s="141"/>
      <c r="G322" s="143"/>
      <c r="H322" s="26"/>
    </row>
    <row r="323" spans="1:8" ht="17.25" customHeight="1" x14ac:dyDescent="0.2">
      <c r="A323" s="26"/>
      <c r="B323" s="139"/>
      <c r="C323" s="141"/>
      <c r="D323" s="141"/>
      <c r="E323" s="141"/>
      <c r="F323" s="141"/>
      <c r="G323" s="143"/>
      <c r="H323" s="26"/>
    </row>
    <row r="324" spans="1:8" ht="17.25" customHeight="1" x14ac:dyDescent="0.2">
      <c r="A324" s="26"/>
      <c r="B324" s="139"/>
      <c r="C324" s="141"/>
      <c r="D324" s="141"/>
      <c r="E324" s="141"/>
      <c r="F324" s="141"/>
      <c r="G324" s="143"/>
      <c r="H324" s="26"/>
    </row>
    <row r="325" spans="1:8" ht="17.25" customHeight="1" x14ac:dyDescent="0.2">
      <c r="A325" s="26"/>
      <c r="B325" s="139"/>
      <c r="C325" s="141"/>
      <c r="D325" s="141"/>
      <c r="E325" s="141"/>
      <c r="F325" s="141"/>
      <c r="G325" s="143"/>
      <c r="H325" s="26"/>
    </row>
    <row r="326" spans="1:8" ht="17.25" customHeight="1" x14ac:dyDescent="0.2">
      <c r="A326" s="26"/>
      <c r="B326" s="139"/>
      <c r="C326" s="141"/>
      <c r="D326" s="141"/>
      <c r="E326" s="141"/>
      <c r="F326" s="141"/>
      <c r="G326" s="143"/>
      <c r="H326" s="26"/>
    </row>
    <row r="327" spans="1:8" ht="17.25" customHeight="1" x14ac:dyDescent="0.2">
      <c r="A327" s="26"/>
      <c r="B327" s="139"/>
      <c r="C327" s="141"/>
      <c r="D327" s="141"/>
      <c r="E327" s="141"/>
      <c r="F327" s="141"/>
      <c r="G327" s="143"/>
      <c r="H327" s="26"/>
    </row>
    <row r="328" spans="1:8" ht="17.25" customHeight="1" x14ac:dyDescent="0.2">
      <c r="A328" s="26"/>
      <c r="B328" s="139"/>
      <c r="C328" s="141"/>
      <c r="D328" s="141"/>
      <c r="E328" s="141"/>
      <c r="F328" s="141"/>
      <c r="G328" s="143"/>
      <c r="H328" s="26"/>
    </row>
    <row r="329" spans="1:8" ht="17.25" customHeight="1" x14ac:dyDescent="0.2">
      <c r="A329" s="26"/>
      <c r="B329" s="139"/>
      <c r="C329" s="141"/>
      <c r="D329" s="141"/>
      <c r="E329" s="141"/>
      <c r="F329" s="141"/>
      <c r="G329" s="143"/>
      <c r="H329" s="26"/>
    </row>
    <row r="330" spans="1:8" ht="17.25" customHeight="1" x14ac:dyDescent="0.2">
      <c r="A330" s="26"/>
      <c r="B330" s="139"/>
      <c r="C330" s="141"/>
      <c r="D330" s="141"/>
      <c r="E330" s="141"/>
      <c r="F330" s="141"/>
      <c r="G330" s="143"/>
      <c r="H330" s="26"/>
    </row>
    <row r="331" spans="1:8" ht="17.25" customHeight="1" x14ac:dyDescent="0.2">
      <c r="A331" s="26"/>
      <c r="B331" s="139"/>
      <c r="C331" s="141"/>
      <c r="D331" s="141"/>
      <c r="E331" s="141"/>
      <c r="F331" s="141"/>
      <c r="G331" s="143"/>
      <c r="H331" s="26"/>
    </row>
    <row r="332" spans="1:8" ht="17.25" customHeight="1" x14ac:dyDescent="0.2">
      <c r="A332" s="26"/>
      <c r="B332" s="139"/>
      <c r="C332" s="141"/>
      <c r="D332" s="141"/>
      <c r="E332" s="141"/>
      <c r="F332" s="141"/>
      <c r="G332" s="143"/>
      <c r="H332" s="26"/>
    </row>
    <row r="333" spans="1:8" ht="17.25" customHeight="1" x14ac:dyDescent="0.2">
      <c r="A333" s="26"/>
      <c r="B333" s="139"/>
      <c r="C333" s="141"/>
      <c r="D333" s="141"/>
      <c r="E333" s="141"/>
      <c r="F333" s="141"/>
      <c r="G333" s="143"/>
      <c r="H333" s="26"/>
    </row>
    <row r="334" spans="1:8" ht="17.25" customHeight="1" x14ac:dyDescent="0.2">
      <c r="A334" s="26"/>
      <c r="B334" s="139"/>
      <c r="C334" s="141"/>
      <c r="D334" s="141"/>
      <c r="E334" s="141"/>
      <c r="F334" s="141"/>
      <c r="G334" s="143"/>
      <c r="H334" s="26"/>
    </row>
    <row r="335" spans="1:8" ht="17.25" customHeight="1" x14ac:dyDescent="0.2">
      <c r="A335" s="26"/>
      <c r="B335" s="139"/>
      <c r="C335" s="141"/>
      <c r="D335" s="141"/>
      <c r="E335" s="141"/>
      <c r="F335" s="141"/>
      <c r="G335" s="143"/>
      <c r="H335" s="26"/>
    </row>
    <row r="336" spans="1:8" ht="17.25" customHeight="1" x14ac:dyDescent="0.2">
      <c r="A336" s="26"/>
      <c r="B336" s="139"/>
      <c r="C336" s="141"/>
      <c r="D336" s="141"/>
      <c r="E336" s="141"/>
      <c r="F336" s="141"/>
      <c r="G336" s="143"/>
      <c r="H336" s="26"/>
    </row>
    <row r="337" spans="1:8" ht="17.25" customHeight="1" x14ac:dyDescent="0.2">
      <c r="A337" s="26"/>
      <c r="B337" s="139"/>
      <c r="C337" s="141"/>
      <c r="D337" s="141"/>
      <c r="E337" s="141"/>
      <c r="F337" s="141"/>
      <c r="G337" s="143"/>
      <c r="H337" s="26"/>
    </row>
    <row r="338" spans="1:8" ht="17.25" customHeight="1" x14ac:dyDescent="0.2">
      <c r="A338" s="26"/>
      <c r="B338" s="139"/>
      <c r="C338" s="141"/>
      <c r="D338" s="141"/>
      <c r="E338" s="141"/>
      <c r="F338" s="141"/>
      <c r="G338" s="143"/>
      <c r="H338" s="26"/>
    </row>
    <row r="339" spans="1:8" ht="17.25" customHeight="1" x14ac:dyDescent="0.2">
      <c r="A339" s="26"/>
      <c r="B339" s="139"/>
      <c r="C339" s="141"/>
      <c r="D339" s="141"/>
      <c r="E339" s="141"/>
      <c r="F339" s="141"/>
      <c r="G339" s="143"/>
      <c r="H339" s="26"/>
    </row>
    <row r="340" spans="1:8" ht="17.25" customHeight="1" x14ac:dyDescent="0.2">
      <c r="A340" s="26"/>
      <c r="B340" s="139"/>
      <c r="C340" s="141"/>
      <c r="D340" s="141"/>
      <c r="E340" s="141"/>
      <c r="F340" s="141"/>
      <c r="G340" s="143"/>
      <c r="H340" s="26"/>
    </row>
    <row r="341" spans="1:8" ht="17.25" customHeight="1" x14ac:dyDescent="0.2">
      <c r="A341" s="26"/>
      <c r="B341" s="139"/>
      <c r="C341" s="141"/>
      <c r="D341" s="141"/>
      <c r="E341" s="141"/>
      <c r="F341" s="141"/>
      <c r="G341" s="143"/>
      <c r="H341" s="26"/>
    </row>
    <row r="342" spans="1:8" ht="17.25" customHeight="1" x14ac:dyDescent="0.2">
      <c r="A342" s="26"/>
      <c r="B342" s="139"/>
      <c r="C342" s="141"/>
      <c r="D342" s="141"/>
      <c r="E342" s="141"/>
      <c r="F342" s="141"/>
      <c r="G342" s="143"/>
      <c r="H342" s="26"/>
    </row>
    <row r="343" spans="1:8" ht="17.25" customHeight="1" x14ac:dyDescent="0.2">
      <c r="A343" s="26"/>
      <c r="B343" s="139"/>
      <c r="C343" s="141"/>
      <c r="D343" s="141"/>
      <c r="E343" s="141"/>
      <c r="F343" s="141"/>
      <c r="G343" s="143"/>
      <c r="H343" s="26"/>
    </row>
    <row r="344" spans="1:8" ht="17.25" customHeight="1" x14ac:dyDescent="0.2">
      <c r="A344" s="26"/>
      <c r="B344" s="139"/>
      <c r="C344" s="141"/>
      <c r="D344" s="141"/>
      <c r="E344" s="141"/>
      <c r="F344" s="141"/>
      <c r="G344" s="143"/>
      <c r="H344" s="26"/>
    </row>
    <row r="345" spans="1:8" ht="17.25" customHeight="1" x14ac:dyDescent="0.2">
      <c r="A345" s="26"/>
      <c r="B345" s="139"/>
      <c r="C345" s="141"/>
      <c r="D345" s="141"/>
      <c r="E345" s="141"/>
      <c r="F345" s="141"/>
      <c r="G345" s="143"/>
      <c r="H345" s="26"/>
    </row>
    <row r="346" spans="1:8" ht="17.25" customHeight="1" x14ac:dyDescent="0.2">
      <c r="A346" s="26"/>
      <c r="B346" s="139"/>
      <c r="C346" s="141"/>
      <c r="D346" s="141"/>
      <c r="E346" s="141"/>
      <c r="F346" s="141"/>
      <c r="G346" s="143"/>
      <c r="H346" s="26"/>
    </row>
    <row r="347" spans="1:8" ht="17.25" customHeight="1" x14ac:dyDescent="0.2">
      <c r="A347" s="26"/>
      <c r="B347" s="139"/>
      <c r="C347" s="141"/>
      <c r="D347" s="141"/>
      <c r="E347" s="141"/>
      <c r="F347" s="141"/>
      <c r="G347" s="143"/>
      <c r="H347" s="26"/>
    </row>
    <row r="348" spans="1:8" ht="17.25" customHeight="1" x14ac:dyDescent="0.2">
      <c r="A348" s="26"/>
      <c r="B348" s="139"/>
      <c r="C348" s="141"/>
      <c r="D348" s="141"/>
      <c r="E348" s="141"/>
      <c r="F348" s="141"/>
      <c r="G348" s="143"/>
      <c r="H348" s="26"/>
    </row>
    <row r="349" spans="1:8" ht="17.25" customHeight="1" x14ac:dyDescent="0.2">
      <c r="A349" s="26"/>
      <c r="B349" s="139"/>
      <c r="C349" s="141"/>
      <c r="D349" s="141"/>
      <c r="E349" s="141"/>
      <c r="F349" s="141"/>
      <c r="G349" s="143"/>
      <c r="H349" s="26"/>
    </row>
    <row r="350" spans="1:8" ht="17.25" customHeight="1" x14ac:dyDescent="0.2">
      <c r="A350" s="26"/>
      <c r="B350" s="139"/>
      <c r="C350" s="141"/>
      <c r="D350" s="141"/>
      <c r="E350" s="141"/>
      <c r="F350" s="141"/>
      <c r="G350" s="143"/>
      <c r="H350" s="26"/>
    </row>
    <row r="351" spans="1:8" ht="17.25" customHeight="1" x14ac:dyDescent="0.2">
      <c r="A351" s="26"/>
      <c r="B351" s="139"/>
      <c r="C351" s="141"/>
      <c r="D351" s="141"/>
      <c r="E351" s="141"/>
      <c r="F351" s="141"/>
      <c r="G351" s="143"/>
      <c r="H351" s="26"/>
    </row>
    <row r="352" spans="1:8" ht="17.25" customHeight="1" x14ac:dyDescent="0.2">
      <c r="A352" s="26"/>
      <c r="B352" s="139"/>
      <c r="C352" s="141"/>
      <c r="D352" s="141"/>
      <c r="E352" s="141"/>
      <c r="F352" s="141"/>
      <c r="G352" s="143"/>
      <c r="H352" s="26"/>
    </row>
    <row r="353" spans="1:8" ht="17.25" customHeight="1" x14ac:dyDescent="0.2">
      <c r="A353" s="26"/>
      <c r="B353" s="139"/>
      <c r="C353" s="141"/>
      <c r="D353" s="141"/>
      <c r="E353" s="141"/>
      <c r="F353" s="141"/>
      <c r="G353" s="143"/>
      <c r="H353" s="26"/>
    </row>
    <row r="354" spans="1:8" ht="17.25" customHeight="1" x14ac:dyDescent="0.2">
      <c r="A354" s="26"/>
      <c r="B354" s="139"/>
      <c r="C354" s="141"/>
      <c r="D354" s="141"/>
      <c r="E354" s="141"/>
      <c r="F354" s="141"/>
      <c r="G354" s="143"/>
      <c r="H354" s="26"/>
    </row>
    <row r="355" spans="1:8" ht="17.25" customHeight="1" x14ac:dyDescent="0.2">
      <c r="A355" s="26"/>
      <c r="B355" s="139"/>
      <c r="C355" s="141"/>
      <c r="D355" s="141"/>
      <c r="E355" s="141"/>
      <c r="F355" s="141"/>
      <c r="G355" s="143"/>
      <c r="H355" s="26"/>
    </row>
    <row r="356" spans="1:8" ht="17.25" customHeight="1" x14ac:dyDescent="0.2">
      <c r="A356" s="26"/>
      <c r="B356" s="139"/>
      <c r="C356" s="141"/>
      <c r="D356" s="141"/>
      <c r="E356" s="141"/>
      <c r="F356" s="141"/>
      <c r="G356" s="143"/>
      <c r="H356" s="26"/>
    </row>
    <row r="357" spans="1:8" ht="17.25" customHeight="1" x14ac:dyDescent="0.2">
      <c r="A357" s="26"/>
      <c r="B357" s="139"/>
      <c r="C357" s="141"/>
      <c r="D357" s="141"/>
      <c r="E357" s="141"/>
      <c r="F357" s="141"/>
      <c r="G357" s="143"/>
      <c r="H357" s="26"/>
    </row>
    <row r="358" spans="1:8" ht="17.25" customHeight="1" x14ac:dyDescent="0.2">
      <c r="A358" s="26"/>
      <c r="B358" s="139"/>
      <c r="C358" s="141"/>
      <c r="D358" s="141"/>
      <c r="E358" s="141"/>
      <c r="F358" s="141"/>
      <c r="G358" s="143"/>
      <c r="H358" s="26"/>
    </row>
    <row r="359" spans="1:8" ht="17.25" customHeight="1" x14ac:dyDescent="0.2">
      <c r="A359" s="26"/>
      <c r="B359" s="139"/>
      <c r="C359" s="141"/>
      <c r="D359" s="141"/>
      <c r="E359" s="141"/>
      <c r="F359" s="141"/>
      <c r="G359" s="143"/>
      <c r="H359" s="26"/>
    </row>
    <row r="360" spans="1:8" ht="17.25" customHeight="1" x14ac:dyDescent="0.2">
      <c r="A360" s="26"/>
      <c r="B360" s="139"/>
      <c r="C360" s="141"/>
      <c r="D360" s="141"/>
      <c r="E360" s="141"/>
      <c r="F360" s="141"/>
      <c r="G360" s="143"/>
      <c r="H360" s="26"/>
    </row>
    <row r="361" spans="1:8" ht="17.25" customHeight="1" x14ac:dyDescent="0.2">
      <c r="A361" s="26"/>
      <c r="B361" s="139"/>
      <c r="C361" s="141"/>
      <c r="D361" s="141"/>
      <c r="E361" s="141"/>
      <c r="F361" s="141"/>
      <c r="G361" s="143"/>
      <c r="H361" s="26"/>
    </row>
    <row r="362" spans="1:8" ht="17.25" customHeight="1" x14ac:dyDescent="0.2">
      <c r="A362" s="26"/>
      <c r="B362" s="139"/>
      <c r="C362" s="141"/>
      <c r="D362" s="141"/>
      <c r="E362" s="141"/>
      <c r="F362" s="141"/>
      <c r="G362" s="143"/>
      <c r="H362" s="26"/>
    </row>
    <row r="363" spans="1:8" ht="17.25" customHeight="1" x14ac:dyDescent="0.2">
      <c r="A363" s="26"/>
      <c r="B363" s="139"/>
      <c r="C363" s="141"/>
      <c r="D363" s="141"/>
      <c r="E363" s="141"/>
      <c r="F363" s="141"/>
      <c r="G363" s="143"/>
      <c r="H363" s="26"/>
    </row>
    <row r="364" spans="1:8" ht="17.25" customHeight="1" x14ac:dyDescent="0.2">
      <c r="A364" s="26"/>
      <c r="B364" s="139"/>
      <c r="C364" s="141"/>
      <c r="D364" s="141"/>
      <c r="E364" s="141"/>
      <c r="F364" s="141"/>
      <c r="G364" s="143"/>
      <c r="H364" s="26"/>
    </row>
    <row r="365" spans="1:8" ht="17.25" customHeight="1" x14ac:dyDescent="0.2">
      <c r="A365" s="26"/>
      <c r="B365" s="139"/>
      <c r="C365" s="141"/>
      <c r="D365" s="141"/>
      <c r="E365" s="141"/>
      <c r="F365" s="141"/>
      <c r="G365" s="143"/>
      <c r="H365" s="26"/>
    </row>
    <row r="366" spans="1:8" ht="17.25" customHeight="1" x14ac:dyDescent="0.2">
      <c r="A366" s="26"/>
      <c r="B366" s="139"/>
      <c r="C366" s="141"/>
      <c r="D366" s="141"/>
      <c r="E366" s="141"/>
      <c r="F366" s="141"/>
      <c r="G366" s="143"/>
      <c r="H366" s="26"/>
    </row>
    <row r="367" spans="1:8" ht="17.25" customHeight="1" x14ac:dyDescent="0.2">
      <c r="A367" s="26"/>
      <c r="B367" s="139"/>
      <c r="C367" s="141"/>
      <c r="D367" s="141"/>
      <c r="E367" s="141"/>
      <c r="F367" s="141"/>
      <c r="G367" s="143"/>
      <c r="H367" s="26"/>
    </row>
    <row r="368" spans="1:8" ht="17.25" customHeight="1" x14ac:dyDescent="0.2">
      <c r="A368" s="26"/>
      <c r="B368" s="139"/>
      <c r="C368" s="141"/>
      <c r="D368" s="141"/>
      <c r="E368" s="141"/>
      <c r="F368" s="141"/>
      <c r="G368" s="143"/>
      <c r="H368" s="26"/>
    </row>
    <row r="369" spans="1:8" ht="17.25" customHeight="1" x14ac:dyDescent="0.2">
      <c r="A369" s="26"/>
      <c r="B369" s="139"/>
      <c r="C369" s="141"/>
      <c r="D369" s="141"/>
      <c r="E369" s="141"/>
      <c r="F369" s="141"/>
      <c r="G369" s="143"/>
      <c r="H369" s="26"/>
    </row>
    <row r="370" spans="1:8" ht="17.25" customHeight="1" x14ac:dyDescent="0.2">
      <c r="A370" s="26"/>
      <c r="B370" s="139"/>
      <c r="C370" s="141"/>
      <c r="D370" s="141"/>
      <c r="E370" s="141"/>
      <c r="F370" s="141"/>
      <c r="G370" s="143"/>
      <c r="H370" s="26"/>
    </row>
    <row r="371" spans="1:8" ht="17.25" customHeight="1" x14ac:dyDescent="0.2">
      <c r="A371" s="26"/>
      <c r="B371" s="139"/>
      <c r="C371" s="141"/>
      <c r="D371" s="141"/>
      <c r="E371" s="141"/>
      <c r="F371" s="141"/>
      <c r="G371" s="143"/>
      <c r="H371" s="26"/>
    </row>
    <row r="372" spans="1:8" ht="17.25" customHeight="1" x14ac:dyDescent="0.2">
      <c r="A372" s="26"/>
      <c r="B372" s="139"/>
      <c r="C372" s="141"/>
      <c r="D372" s="141"/>
      <c r="E372" s="141"/>
      <c r="F372" s="141"/>
      <c r="G372" s="143"/>
      <c r="H372" s="26"/>
    </row>
    <row r="373" spans="1:8" ht="17.25" customHeight="1" x14ac:dyDescent="0.2">
      <c r="A373" s="26"/>
      <c r="B373" s="139"/>
      <c r="C373" s="141"/>
      <c r="D373" s="141"/>
      <c r="E373" s="141"/>
      <c r="F373" s="141"/>
      <c r="G373" s="143"/>
      <c r="H373" s="26"/>
    </row>
    <row r="374" spans="1:8" ht="17.25" customHeight="1" x14ac:dyDescent="0.2">
      <c r="A374" s="26"/>
      <c r="B374" s="139"/>
      <c r="C374" s="141"/>
      <c r="D374" s="141"/>
      <c r="E374" s="141"/>
      <c r="F374" s="141"/>
      <c r="G374" s="143"/>
      <c r="H374" s="26"/>
    </row>
    <row r="375" spans="1:8" ht="17.25" customHeight="1" x14ac:dyDescent="0.2">
      <c r="A375" s="26"/>
      <c r="B375" s="139"/>
      <c r="C375" s="141"/>
      <c r="D375" s="141"/>
      <c r="E375" s="141"/>
      <c r="F375" s="141"/>
      <c r="G375" s="143"/>
      <c r="H375" s="26"/>
    </row>
    <row r="376" spans="1:8" ht="17.25" customHeight="1" x14ac:dyDescent="0.2">
      <c r="A376" s="26"/>
      <c r="B376" s="139"/>
      <c r="C376" s="141"/>
      <c r="D376" s="141"/>
      <c r="E376" s="141"/>
      <c r="F376" s="141"/>
      <c r="G376" s="143"/>
      <c r="H376" s="26"/>
    </row>
    <row r="377" spans="1:8" ht="17.25" customHeight="1" x14ac:dyDescent="0.2">
      <c r="A377" s="26"/>
      <c r="B377" s="139"/>
      <c r="C377" s="141"/>
      <c r="D377" s="141"/>
      <c r="E377" s="141"/>
      <c r="F377" s="141"/>
      <c r="G377" s="143"/>
      <c r="H377" s="26"/>
    </row>
    <row r="378" spans="1:8" ht="17.25" customHeight="1" x14ac:dyDescent="0.2">
      <c r="A378" s="26"/>
      <c r="B378" s="139"/>
      <c r="C378" s="141"/>
      <c r="D378" s="141"/>
      <c r="E378" s="141"/>
      <c r="F378" s="141"/>
      <c r="G378" s="143"/>
      <c r="H378" s="26"/>
    </row>
    <row r="379" spans="1:8" ht="17.25" customHeight="1" x14ac:dyDescent="0.2">
      <c r="A379" s="26"/>
      <c r="B379" s="139"/>
      <c r="C379" s="141"/>
      <c r="D379" s="141"/>
      <c r="E379" s="141"/>
      <c r="F379" s="141"/>
      <c r="G379" s="143"/>
      <c r="H379" s="26"/>
    </row>
    <row r="380" spans="1:8" ht="17.25" customHeight="1" x14ac:dyDescent="0.2">
      <c r="A380" s="26"/>
      <c r="B380" s="139"/>
      <c r="C380" s="141"/>
      <c r="D380" s="141"/>
      <c r="E380" s="141"/>
      <c r="F380" s="141"/>
      <c r="G380" s="143"/>
      <c r="H380" s="26"/>
    </row>
    <row r="381" spans="1:8" ht="17.25" customHeight="1" x14ac:dyDescent="0.2">
      <c r="A381" s="26"/>
      <c r="B381" s="139"/>
      <c r="C381" s="141"/>
      <c r="D381" s="141"/>
      <c r="E381" s="141"/>
      <c r="F381" s="141"/>
      <c r="G381" s="143"/>
      <c r="H381" s="26"/>
    </row>
    <row r="382" spans="1:8" ht="17.25" customHeight="1" x14ac:dyDescent="0.2">
      <c r="A382" s="26"/>
      <c r="B382" s="139"/>
      <c r="C382" s="141"/>
      <c r="D382" s="141"/>
      <c r="E382" s="141"/>
      <c r="F382" s="141"/>
      <c r="G382" s="143"/>
      <c r="H382" s="26"/>
    </row>
    <row r="383" spans="1:8" ht="17.25" customHeight="1" x14ac:dyDescent="0.2">
      <c r="A383" s="26"/>
      <c r="B383" s="139"/>
      <c r="C383" s="141"/>
      <c r="D383" s="141"/>
      <c r="E383" s="141"/>
      <c r="F383" s="141"/>
      <c r="G383" s="143"/>
      <c r="H383" s="26"/>
    </row>
    <row r="384" spans="1:8" ht="17.25" customHeight="1" x14ac:dyDescent="0.2">
      <c r="A384" s="26"/>
      <c r="B384" s="139"/>
      <c r="C384" s="141"/>
      <c r="D384" s="141"/>
      <c r="E384" s="141"/>
      <c r="F384" s="141"/>
      <c r="G384" s="143"/>
      <c r="H384" s="26"/>
    </row>
    <row r="385" spans="1:8" ht="17.25" customHeight="1" x14ac:dyDescent="0.2">
      <c r="A385" s="26"/>
      <c r="B385" s="139"/>
      <c r="C385" s="141"/>
      <c r="D385" s="141"/>
      <c r="E385" s="141"/>
      <c r="F385" s="141"/>
      <c r="G385" s="143"/>
      <c r="H385" s="26"/>
    </row>
    <row r="386" spans="1:8" ht="17.25" customHeight="1" x14ac:dyDescent="0.2">
      <c r="A386" s="26"/>
      <c r="B386" s="139"/>
      <c r="C386" s="141"/>
      <c r="D386" s="141"/>
      <c r="E386" s="141"/>
      <c r="F386" s="141"/>
      <c r="G386" s="143"/>
      <c r="H386" s="26"/>
    </row>
    <row r="387" spans="1:8" ht="17.25" customHeight="1" x14ac:dyDescent="0.2">
      <c r="A387" s="26"/>
      <c r="B387" s="139"/>
      <c r="C387" s="141"/>
      <c r="D387" s="141"/>
      <c r="E387" s="141"/>
      <c r="F387" s="141"/>
      <c r="G387" s="143"/>
      <c r="H387" s="26"/>
    </row>
    <row r="388" spans="1:8" ht="17.25" customHeight="1" x14ac:dyDescent="0.2">
      <c r="A388" s="26"/>
      <c r="B388" s="139"/>
      <c r="C388" s="141"/>
      <c r="D388" s="141"/>
      <c r="E388" s="141"/>
      <c r="F388" s="141"/>
      <c r="G388" s="143"/>
      <c r="H388" s="26"/>
    </row>
    <row r="389" spans="1:8" ht="17.25" customHeight="1" x14ac:dyDescent="0.2">
      <c r="A389" s="26"/>
      <c r="B389" s="139"/>
      <c r="C389" s="141"/>
      <c r="D389" s="141"/>
      <c r="E389" s="141"/>
      <c r="F389" s="141"/>
      <c r="G389" s="143"/>
      <c r="H389" s="26"/>
    </row>
    <row r="390" spans="1:8" ht="17.25" customHeight="1" x14ac:dyDescent="0.2">
      <c r="A390" s="26"/>
      <c r="B390" s="139"/>
      <c r="C390" s="141"/>
      <c r="D390" s="141"/>
      <c r="E390" s="141"/>
      <c r="F390" s="141"/>
      <c r="G390" s="143"/>
      <c r="H390" s="26"/>
    </row>
    <row r="391" spans="1:8" ht="17.25" customHeight="1" x14ac:dyDescent="0.2">
      <c r="A391" s="26"/>
      <c r="B391" s="139"/>
      <c r="C391" s="141"/>
      <c r="D391" s="141"/>
      <c r="E391" s="141"/>
      <c r="F391" s="141"/>
      <c r="G391" s="143"/>
      <c r="H391" s="26"/>
    </row>
    <row r="392" spans="1:8" ht="17.25" customHeight="1" x14ac:dyDescent="0.2">
      <c r="A392" s="26"/>
      <c r="B392" s="139"/>
      <c r="C392" s="141"/>
      <c r="D392" s="141"/>
      <c r="E392" s="141"/>
      <c r="F392" s="141"/>
      <c r="G392" s="143"/>
      <c r="H392" s="26"/>
    </row>
    <row r="393" spans="1:8" ht="17.25" customHeight="1" x14ac:dyDescent="0.2">
      <c r="A393" s="26"/>
      <c r="B393" s="139"/>
      <c r="C393" s="141"/>
      <c r="D393" s="141"/>
      <c r="E393" s="141"/>
      <c r="F393" s="141"/>
      <c r="G393" s="143"/>
      <c r="H393" s="26"/>
    </row>
    <row r="394" spans="1:8" ht="17.25" customHeight="1" x14ac:dyDescent="0.2">
      <c r="A394" s="26"/>
      <c r="B394" s="139"/>
      <c r="C394" s="141"/>
      <c r="D394" s="141"/>
      <c r="E394" s="141"/>
      <c r="F394" s="141"/>
      <c r="G394" s="143"/>
      <c r="H394" s="26"/>
    </row>
    <row r="395" spans="1:8" ht="17.25" customHeight="1" x14ac:dyDescent="0.2">
      <c r="A395" s="26"/>
      <c r="B395" s="139"/>
      <c r="C395" s="141"/>
      <c r="D395" s="141"/>
      <c r="E395" s="141"/>
      <c r="F395" s="141"/>
      <c r="G395" s="143"/>
      <c r="H395" s="26"/>
    </row>
    <row r="396" spans="1:8" ht="17.25" customHeight="1" x14ac:dyDescent="0.2">
      <c r="A396" s="26"/>
      <c r="B396" s="139"/>
      <c r="C396" s="141"/>
      <c r="D396" s="141"/>
      <c r="E396" s="141"/>
      <c r="F396" s="141"/>
      <c r="G396" s="143"/>
      <c r="H396" s="26"/>
    </row>
    <row r="397" spans="1:8" ht="17.25" customHeight="1" x14ac:dyDescent="0.2">
      <c r="A397" s="26"/>
      <c r="B397" s="139"/>
      <c r="C397" s="141"/>
      <c r="D397" s="141"/>
      <c r="E397" s="141"/>
      <c r="F397" s="141"/>
      <c r="G397" s="143"/>
      <c r="H397" s="26"/>
    </row>
    <row r="398" spans="1:8" ht="17.25" customHeight="1" x14ac:dyDescent="0.2">
      <c r="A398" s="26"/>
      <c r="B398" s="139"/>
      <c r="C398" s="141"/>
      <c r="D398" s="141"/>
      <c r="E398" s="141"/>
      <c r="F398" s="141"/>
      <c r="G398" s="143"/>
      <c r="H398" s="26"/>
    </row>
    <row r="399" spans="1:8" ht="17.25" customHeight="1" x14ac:dyDescent="0.2">
      <c r="A399" s="26"/>
      <c r="B399" s="139"/>
      <c r="C399" s="141"/>
      <c r="D399" s="141"/>
      <c r="E399" s="141"/>
      <c r="F399" s="141"/>
      <c r="G399" s="143"/>
      <c r="H399" s="26"/>
    </row>
    <row r="400" spans="1:8" ht="17.25" customHeight="1" x14ac:dyDescent="0.2">
      <c r="A400" s="26"/>
      <c r="B400" s="139"/>
      <c r="C400" s="141"/>
      <c r="D400" s="141"/>
      <c r="E400" s="141"/>
      <c r="F400" s="141"/>
      <c r="G400" s="143"/>
      <c r="H400" s="26"/>
    </row>
    <row r="401" spans="1:8" ht="17.25" customHeight="1" x14ac:dyDescent="0.2">
      <c r="A401" s="26"/>
      <c r="B401" s="139"/>
      <c r="C401" s="141"/>
      <c r="D401" s="141"/>
      <c r="E401" s="141"/>
      <c r="F401" s="141"/>
      <c r="G401" s="143"/>
      <c r="H401" s="26"/>
    </row>
    <row r="402" spans="1:8" ht="17.25" customHeight="1" x14ac:dyDescent="0.2">
      <c r="A402" s="26"/>
      <c r="B402" s="139"/>
      <c r="C402" s="141"/>
      <c r="D402" s="141"/>
      <c r="E402" s="141"/>
      <c r="F402" s="141"/>
      <c r="G402" s="143"/>
      <c r="H402" s="26"/>
    </row>
    <row r="403" spans="1:8" ht="17.25" customHeight="1" x14ac:dyDescent="0.2">
      <c r="A403" s="26"/>
      <c r="B403" s="139"/>
      <c r="C403" s="141"/>
      <c r="D403" s="141"/>
      <c r="E403" s="141"/>
      <c r="F403" s="141"/>
      <c r="G403" s="143"/>
      <c r="H403" s="26"/>
    </row>
    <row r="404" spans="1:8" ht="17.25" customHeight="1" x14ac:dyDescent="0.2">
      <c r="A404" s="26"/>
      <c r="B404" s="139"/>
      <c r="C404" s="141"/>
      <c r="D404" s="141"/>
      <c r="E404" s="141"/>
      <c r="F404" s="141"/>
      <c r="G404" s="143"/>
      <c r="H404" s="26"/>
    </row>
    <row r="405" spans="1:8" ht="17.25" customHeight="1" x14ac:dyDescent="0.2">
      <c r="A405" s="26"/>
      <c r="B405" s="139"/>
      <c r="C405" s="141"/>
      <c r="D405" s="141"/>
      <c r="E405" s="141"/>
      <c r="F405" s="141"/>
      <c r="G405" s="143"/>
      <c r="H405" s="26"/>
    </row>
    <row r="406" spans="1:8" ht="17.25" customHeight="1" x14ac:dyDescent="0.2">
      <c r="A406" s="26"/>
      <c r="B406" s="139"/>
      <c r="C406" s="141"/>
      <c r="D406" s="141"/>
      <c r="E406" s="141"/>
      <c r="F406" s="141"/>
      <c r="G406" s="143"/>
      <c r="H406" s="26"/>
    </row>
    <row r="407" spans="1:8" ht="17.25" customHeight="1" x14ac:dyDescent="0.2">
      <c r="A407" s="26"/>
      <c r="B407" s="139"/>
      <c r="C407" s="141"/>
      <c r="D407" s="141"/>
      <c r="E407" s="141"/>
      <c r="F407" s="141"/>
      <c r="G407" s="143"/>
      <c r="H407" s="26"/>
    </row>
    <row r="408" spans="1:8" ht="17.25" customHeight="1" x14ac:dyDescent="0.2">
      <c r="A408" s="26"/>
      <c r="B408" s="139"/>
      <c r="C408" s="141"/>
      <c r="D408" s="141"/>
      <c r="E408" s="141"/>
      <c r="F408" s="141"/>
      <c r="G408" s="143"/>
      <c r="H408" s="26"/>
    </row>
    <row r="409" spans="1:8" ht="17.25" customHeight="1" x14ac:dyDescent="0.2">
      <c r="A409" s="26"/>
      <c r="B409" s="139"/>
      <c r="C409" s="141"/>
      <c r="D409" s="141"/>
      <c r="E409" s="141"/>
      <c r="F409" s="141"/>
      <c r="G409" s="143"/>
      <c r="H409" s="26"/>
    </row>
    <row r="410" spans="1:8" ht="17.25" customHeight="1" x14ac:dyDescent="0.2">
      <c r="A410" s="26"/>
      <c r="B410" s="139"/>
      <c r="C410" s="141"/>
      <c r="D410" s="141"/>
      <c r="E410" s="141"/>
      <c r="F410" s="141"/>
      <c r="G410" s="143"/>
      <c r="H410" s="26"/>
    </row>
    <row r="411" spans="1:8" ht="17.25" customHeight="1" x14ac:dyDescent="0.2">
      <c r="A411" s="26"/>
      <c r="B411" s="139"/>
      <c r="C411" s="141"/>
      <c r="D411" s="141"/>
      <c r="E411" s="141"/>
      <c r="F411" s="141"/>
      <c r="G411" s="143"/>
      <c r="H411" s="26"/>
    </row>
    <row r="412" spans="1:8" ht="17.25" customHeight="1" x14ac:dyDescent="0.2">
      <c r="A412" s="26"/>
      <c r="B412" s="139"/>
      <c r="C412" s="141"/>
      <c r="D412" s="141"/>
      <c r="E412" s="141"/>
      <c r="F412" s="141"/>
      <c r="G412" s="143"/>
      <c r="H412" s="26"/>
    </row>
    <row r="413" spans="1:8" ht="17.25" customHeight="1" x14ac:dyDescent="0.2">
      <c r="A413" s="26"/>
      <c r="B413" s="139"/>
      <c r="C413" s="141"/>
      <c r="D413" s="141"/>
      <c r="E413" s="141"/>
      <c r="F413" s="141"/>
      <c r="G413" s="143"/>
      <c r="H413" s="26"/>
    </row>
    <row r="414" spans="1:8" ht="17.25" customHeight="1" x14ac:dyDescent="0.2">
      <c r="A414" s="26"/>
      <c r="B414" s="139"/>
      <c r="C414" s="141"/>
      <c r="D414" s="141"/>
      <c r="E414" s="141"/>
      <c r="F414" s="141"/>
      <c r="G414" s="143"/>
      <c r="H414" s="26"/>
    </row>
    <row r="415" spans="1:8" ht="17.25" customHeight="1" x14ac:dyDescent="0.2">
      <c r="A415" s="26"/>
      <c r="B415" s="139"/>
      <c r="C415" s="141"/>
      <c r="D415" s="141"/>
      <c r="E415" s="141"/>
      <c r="F415" s="141"/>
      <c r="G415" s="143"/>
      <c r="H415" s="26"/>
    </row>
    <row r="416" spans="1:8" ht="17.25" customHeight="1" x14ac:dyDescent="0.2">
      <c r="A416" s="26"/>
      <c r="B416" s="139"/>
      <c r="C416" s="141"/>
      <c r="D416" s="141"/>
      <c r="E416" s="141"/>
      <c r="F416" s="141"/>
      <c r="G416" s="143"/>
      <c r="H416" s="26"/>
    </row>
    <row r="417" spans="1:8" ht="17.25" customHeight="1" x14ac:dyDescent="0.2">
      <c r="A417" s="26"/>
      <c r="B417" s="139"/>
      <c r="C417" s="141"/>
      <c r="D417" s="141"/>
      <c r="E417" s="141"/>
      <c r="F417" s="141"/>
      <c r="G417" s="143"/>
      <c r="H417" s="26"/>
    </row>
    <row r="418" spans="1:8" ht="17.25" customHeight="1" x14ac:dyDescent="0.2">
      <c r="A418" s="26"/>
      <c r="B418" s="139"/>
      <c r="C418" s="141"/>
      <c r="D418" s="141"/>
      <c r="E418" s="141"/>
      <c r="F418" s="141"/>
      <c r="G418" s="143"/>
      <c r="H418" s="26"/>
    </row>
    <row r="419" spans="1:8" ht="17.25" customHeight="1" x14ac:dyDescent="0.2">
      <c r="A419" s="26"/>
      <c r="B419" s="139"/>
      <c r="C419" s="141"/>
      <c r="D419" s="141"/>
      <c r="E419" s="141"/>
      <c r="F419" s="141"/>
      <c r="G419" s="143"/>
      <c r="H419" s="26"/>
    </row>
    <row r="420" spans="1:8" ht="17.25" customHeight="1" x14ac:dyDescent="0.2">
      <c r="A420" s="26"/>
      <c r="B420" s="139"/>
      <c r="C420" s="141"/>
      <c r="D420" s="141"/>
      <c r="E420" s="141"/>
      <c r="F420" s="141"/>
      <c r="G420" s="143"/>
      <c r="H420" s="26"/>
    </row>
    <row r="421" spans="1:8" ht="17.25" customHeight="1" x14ac:dyDescent="0.2">
      <c r="A421" s="26"/>
      <c r="B421" s="139"/>
      <c r="C421" s="141"/>
      <c r="D421" s="141"/>
      <c r="E421" s="141"/>
      <c r="F421" s="141"/>
      <c r="G421" s="143"/>
      <c r="H421" s="26"/>
    </row>
    <row r="422" spans="1:8" ht="17.25" customHeight="1" x14ac:dyDescent="0.2">
      <c r="A422" s="26"/>
      <c r="B422" s="139"/>
      <c r="C422" s="141"/>
      <c r="D422" s="141"/>
      <c r="E422" s="141"/>
      <c r="F422" s="141"/>
      <c r="G422" s="143"/>
      <c r="H422" s="26"/>
    </row>
    <row r="423" spans="1:8" ht="17.25" customHeight="1" x14ac:dyDescent="0.2">
      <c r="A423" s="26"/>
      <c r="B423" s="139"/>
      <c r="C423" s="141"/>
      <c r="D423" s="141"/>
      <c r="E423" s="141"/>
      <c r="F423" s="141"/>
      <c r="G423" s="143"/>
      <c r="H423" s="26"/>
    </row>
    <row r="424" spans="1:8" ht="17.25" customHeight="1" x14ac:dyDescent="0.2">
      <c r="A424" s="26"/>
      <c r="B424" s="139"/>
      <c r="C424" s="141"/>
      <c r="D424" s="141"/>
      <c r="E424" s="141"/>
      <c r="F424" s="141"/>
      <c r="G424" s="143"/>
      <c r="H424" s="26"/>
    </row>
    <row r="425" spans="1:8" ht="17.25" customHeight="1" x14ac:dyDescent="0.2">
      <c r="A425" s="26"/>
      <c r="B425" s="139"/>
      <c r="C425" s="141"/>
      <c r="D425" s="141"/>
      <c r="E425" s="141"/>
      <c r="F425" s="141"/>
      <c r="G425" s="143"/>
      <c r="H425" s="26"/>
    </row>
    <row r="426" spans="1:8" ht="17.25" customHeight="1" x14ac:dyDescent="0.2">
      <c r="A426" s="26"/>
      <c r="B426" s="139"/>
      <c r="C426" s="141"/>
      <c r="D426" s="141"/>
      <c r="E426" s="141"/>
      <c r="F426" s="141"/>
      <c r="G426" s="143"/>
      <c r="H426" s="26"/>
    </row>
    <row r="427" spans="1:8" ht="17.25" customHeight="1" x14ac:dyDescent="0.2">
      <c r="A427" s="26"/>
      <c r="B427" s="139"/>
      <c r="C427" s="141"/>
      <c r="D427" s="141"/>
      <c r="E427" s="141"/>
      <c r="F427" s="141"/>
      <c r="G427" s="143"/>
      <c r="H427" s="26"/>
    </row>
    <row r="428" spans="1:8" ht="17.25" customHeight="1" x14ac:dyDescent="0.2">
      <c r="A428" s="26"/>
      <c r="B428" s="139"/>
      <c r="C428" s="141"/>
      <c r="D428" s="141"/>
      <c r="E428" s="141"/>
      <c r="F428" s="141"/>
      <c r="G428" s="143"/>
      <c r="H428" s="26"/>
    </row>
    <row r="429" spans="1:8" ht="17.25" customHeight="1" x14ac:dyDescent="0.2">
      <c r="A429" s="26"/>
      <c r="B429" s="139"/>
      <c r="C429" s="141"/>
      <c r="D429" s="141"/>
      <c r="E429" s="141"/>
      <c r="F429" s="141"/>
      <c r="G429" s="143"/>
      <c r="H429" s="26"/>
    </row>
    <row r="430" spans="1:8" ht="17.25" customHeight="1" x14ac:dyDescent="0.2">
      <c r="A430" s="26"/>
      <c r="B430" s="139"/>
      <c r="C430" s="141"/>
      <c r="D430" s="141"/>
      <c r="E430" s="141"/>
      <c r="F430" s="141"/>
      <c r="G430" s="143"/>
      <c r="H430" s="26"/>
    </row>
    <row r="431" spans="1:8" ht="17.25" customHeight="1" x14ac:dyDescent="0.2">
      <c r="A431" s="26"/>
      <c r="B431" s="139"/>
      <c r="C431" s="141"/>
      <c r="D431" s="141"/>
      <c r="E431" s="141"/>
      <c r="F431" s="141"/>
      <c r="G431" s="143"/>
      <c r="H431" s="26"/>
    </row>
    <row r="432" spans="1:8" ht="17.25" customHeight="1" x14ac:dyDescent="0.2">
      <c r="A432" s="26"/>
      <c r="B432" s="139"/>
      <c r="C432" s="141"/>
      <c r="D432" s="141"/>
      <c r="E432" s="141"/>
      <c r="F432" s="141"/>
      <c r="G432" s="143"/>
      <c r="H432" s="26"/>
    </row>
    <row r="433" spans="1:8" ht="17.25" customHeight="1" x14ac:dyDescent="0.2">
      <c r="A433" s="26"/>
      <c r="B433" s="139"/>
      <c r="C433" s="141"/>
      <c r="D433" s="141"/>
      <c r="E433" s="141"/>
      <c r="F433" s="141"/>
      <c r="G433" s="143"/>
      <c r="H433" s="26"/>
    </row>
    <row r="434" spans="1:8" ht="17.25" customHeight="1" x14ac:dyDescent="0.2">
      <c r="A434" s="26"/>
      <c r="B434" s="139"/>
      <c r="C434" s="141"/>
      <c r="D434" s="141"/>
      <c r="E434" s="141"/>
      <c r="F434" s="141"/>
      <c r="G434" s="143"/>
      <c r="H434" s="26"/>
    </row>
    <row r="435" spans="1:8" ht="17.25" customHeight="1" x14ac:dyDescent="0.2">
      <c r="A435" s="26"/>
      <c r="B435" s="139"/>
      <c r="C435" s="141"/>
      <c r="D435" s="141"/>
      <c r="E435" s="141"/>
      <c r="F435" s="141"/>
      <c r="G435" s="143"/>
      <c r="H435" s="26"/>
    </row>
    <row r="436" spans="1:8" ht="17.25" customHeight="1" x14ac:dyDescent="0.2">
      <c r="A436" s="26"/>
      <c r="B436" s="139"/>
      <c r="C436" s="141"/>
      <c r="D436" s="141"/>
      <c r="E436" s="141"/>
      <c r="F436" s="141"/>
      <c r="G436" s="143"/>
      <c r="H436" s="26"/>
    </row>
    <row r="437" spans="1:8" ht="17.25" customHeight="1" x14ac:dyDescent="0.2">
      <c r="A437" s="26"/>
      <c r="B437" s="139"/>
      <c r="C437" s="141"/>
      <c r="D437" s="141"/>
      <c r="E437" s="141"/>
      <c r="F437" s="141"/>
      <c r="G437" s="143"/>
      <c r="H437" s="26"/>
    </row>
    <row r="438" spans="1:8" ht="17.25" customHeight="1" x14ac:dyDescent="0.2">
      <c r="A438" s="26"/>
      <c r="B438" s="139"/>
      <c r="C438" s="141"/>
      <c r="D438" s="141"/>
      <c r="E438" s="141"/>
      <c r="F438" s="141"/>
      <c r="G438" s="143"/>
      <c r="H438" s="26"/>
    </row>
    <row r="439" spans="1:8" ht="17.25" customHeight="1" x14ac:dyDescent="0.2">
      <c r="A439" s="26"/>
      <c r="B439" s="139"/>
      <c r="C439" s="141"/>
      <c r="D439" s="141"/>
      <c r="E439" s="141"/>
      <c r="F439" s="141"/>
      <c r="G439" s="143"/>
      <c r="H439" s="26"/>
    </row>
    <row r="440" spans="1:8" ht="17.25" customHeight="1" x14ac:dyDescent="0.2">
      <c r="A440" s="26"/>
      <c r="B440" s="139"/>
      <c r="C440" s="141"/>
      <c r="D440" s="141"/>
      <c r="E440" s="141"/>
      <c r="F440" s="141"/>
      <c r="G440" s="143"/>
      <c r="H440" s="26"/>
    </row>
    <row r="441" spans="1:8" ht="17.25" customHeight="1" x14ac:dyDescent="0.2">
      <c r="A441" s="26"/>
      <c r="B441" s="139"/>
      <c r="C441" s="141"/>
      <c r="D441" s="141"/>
      <c r="E441" s="141"/>
      <c r="F441" s="141"/>
      <c r="G441" s="143"/>
      <c r="H441" s="26"/>
    </row>
    <row r="442" spans="1:8" ht="17.25" customHeight="1" x14ac:dyDescent="0.2">
      <c r="A442" s="26"/>
      <c r="B442" s="139"/>
      <c r="C442" s="141"/>
      <c r="D442" s="141"/>
      <c r="E442" s="141"/>
      <c r="F442" s="141"/>
      <c r="G442" s="143"/>
      <c r="H442" s="26"/>
    </row>
    <row r="443" spans="1:8" ht="17.25" customHeight="1" x14ac:dyDescent="0.2">
      <c r="A443" s="26"/>
      <c r="B443" s="139"/>
      <c r="C443" s="141"/>
      <c r="D443" s="141"/>
      <c r="E443" s="141"/>
      <c r="F443" s="141"/>
      <c r="G443" s="143"/>
      <c r="H443" s="26"/>
    </row>
    <row r="444" spans="1:8" ht="17.25" customHeight="1" x14ac:dyDescent="0.2">
      <c r="A444" s="26"/>
      <c r="B444" s="139"/>
      <c r="C444" s="141"/>
      <c r="D444" s="141"/>
      <c r="E444" s="141"/>
      <c r="F444" s="141"/>
      <c r="G444" s="143"/>
      <c r="H444" s="26"/>
    </row>
    <row r="445" spans="1:8" ht="17.25" customHeight="1" x14ac:dyDescent="0.2">
      <c r="A445" s="26"/>
      <c r="B445" s="139"/>
      <c r="C445" s="141"/>
      <c r="D445" s="141"/>
      <c r="E445" s="141"/>
      <c r="F445" s="141"/>
      <c r="G445" s="143"/>
      <c r="H445" s="26"/>
    </row>
    <row r="446" spans="1:8" ht="17.25" customHeight="1" x14ac:dyDescent="0.2">
      <c r="A446" s="26"/>
      <c r="B446" s="139"/>
      <c r="C446" s="141"/>
      <c r="D446" s="141"/>
      <c r="E446" s="141"/>
      <c r="F446" s="141"/>
      <c r="G446" s="143"/>
      <c r="H446" s="26"/>
    </row>
    <row r="447" spans="1:8" ht="17.25" customHeight="1" x14ac:dyDescent="0.2">
      <c r="A447" s="26"/>
      <c r="B447" s="139"/>
      <c r="C447" s="141"/>
      <c r="D447" s="141"/>
      <c r="E447" s="141"/>
      <c r="F447" s="141"/>
      <c r="G447" s="143"/>
      <c r="H447" s="26"/>
    </row>
    <row r="448" spans="1:8" ht="17.25" customHeight="1" x14ac:dyDescent="0.2">
      <c r="A448" s="26"/>
      <c r="B448" s="139"/>
      <c r="C448" s="141"/>
      <c r="D448" s="141"/>
      <c r="E448" s="141"/>
      <c r="F448" s="141"/>
      <c r="G448" s="143"/>
      <c r="H448" s="26"/>
    </row>
    <row r="449" spans="1:8" ht="17.25" customHeight="1" x14ac:dyDescent="0.2">
      <c r="A449" s="26"/>
      <c r="B449" s="139"/>
      <c r="C449" s="141"/>
      <c r="D449" s="141"/>
      <c r="E449" s="141"/>
      <c r="F449" s="141"/>
      <c r="G449" s="143"/>
      <c r="H449" s="26"/>
    </row>
    <row r="450" spans="1:8" ht="17.25" customHeight="1" x14ac:dyDescent="0.2">
      <c r="A450" s="26"/>
      <c r="B450" s="139"/>
      <c r="C450" s="141"/>
      <c r="D450" s="141"/>
      <c r="E450" s="141"/>
      <c r="F450" s="141"/>
      <c r="G450" s="143"/>
      <c r="H450" s="26"/>
    </row>
    <row r="451" spans="1:8" ht="17.25" customHeight="1" x14ac:dyDescent="0.2">
      <c r="A451" s="26"/>
      <c r="B451" s="139"/>
      <c r="C451" s="141"/>
      <c r="D451" s="141"/>
      <c r="E451" s="141"/>
      <c r="F451" s="141"/>
      <c r="G451" s="143"/>
      <c r="H451" s="26"/>
    </row>
    <row r="452" spans="1:8" ht="17.25" customHeight="1" x14ac:dyDescent="0.2">
      <c r="A452" s="26"/>
      <c r="B452" s="139"/>
      <c r="C452" s="141"/>
      <c r="D452" s="141"/>
      <c r="E452" s="141"/>
      <c r="F452" s="141"/>
      <c r="G452" s="143"/>
      <c r="H452" s="26"/>
    </row>
    <row r="453" spans="1:8" ht="17.25" customHeight="1" x14ac:dyDescent="0.2">
      <c r="A453" s="26"/>
      <c r="B453" s="139"/>
      <c r="C453" s="141"/>
      <c r="D453" s="141"/>
      <c r="E453" s="141"/>
      <c r="F453" s="141"/>
      <c r="G453" s="143"/>
      <c r="H453" s="26"/>
    </row>
    <row r="454" spans="1:8" ht="17.25" customHeight="1" x14ac:dyDescent="0.2">
      <c r="A454" s="26"/>
      <c r="B454" s="139"/>
      <c r="C454" s="141"/>
      <c r="D454" s="141"/>
      <c r="E454" s="141"/>
      <c r="F454" s="141"/>
      <c r="G454" s="143"/>
      <c r="H454" s="26"/>
    </row>
    <row r="455" spans="1:8" ht="17.25" customHeight="1" x14ac:dyDescent="0.2">
      <c r="A455" s="26"/>
      <c r="B455" s="139"/>
      <c r="C455" s="141"/>
      <c r="D455" s="141"/>
      <c r="E455" s="141"/>
      <c r="F455" s="141"/>
      <c r="G455" s="143"/>
      <c r="H455" s="26"/>
    </row>
    <row r="456" spans="1:8" ht="17.25" customHeight="1" x14ac:dyDescent="0.2">
      <c r="A456" s="26"/>
      <c r="B456" s="139"/>
      <c r="C456" s="141"/>
      <c r="D456" s="141"/>
      <c r="E456" s="141"/>
      <c r="F456" s="141"/>
      <c r="G456" s="143"/>
      <c r="H456" s="26"/>
    </row>
    <row r="457" spans="1:8" ht="17.25" customHeight="1" x14ac:dyDescent="0.2">
      <c r="A457" s="26"/>
      <c r="B457" s="139"/>
      <c r="C457" s="141"/>
      <c r="D457" s="141"/>
      <c r="E457" s="141"/>
      <c r="F457" s="141"/>
      <c r="G457" s="143"/>
      <c r="H457" s="26"/>
    </row>
    <row r="458" spans="1:8" ht="17.25" customHeight="1" x14ac:dyDescent="0.2">
      <c r="A458" s="26"/>
      <c r="B458" s="139"/>
      <c r="C458" s="141"/>
      <c r="D458" s="141"/>
      <c r="E458" s="141"/>
      <c r="F458" s="141"/>
      <c r="G458" s="143"/>
      <c r="H458" s="26"/>
    </row>
    <row r="459" spans="1:8" ht="17.25" customHeight="1" x14ac:dyDescent="0.2">
      <c r="A459" s="26"/>
      <c r="B459" s="139"/>
      <c r="C459" s="141"/>
      <c r="D459" s="141"/>
      <c r="E459" s="141"/>
      <c r="F459" s="141"/>
      <c r="G459" s="143"/>
      <c r="H459" s="26"/>
    </row>
    <row r="460" spans="1:8" ht="17.25" customHeight="1" x14ac:dyDescent="0.2">
      <c r="A460" s="26"/>
      <c r="B460" s="139"/>
      <c r="C460" s="141"/>
      <c r="D460" s="141"/>
      <c r="E460" s="141"/>
      <c r="F460" s="141"/>
      <c r="G460" s="143"/>
      <c r="H460" s="26"/>
    </row>
    <row r="461" spans="1:8" ht="17.25" customHeight="1" x14ac:dyDescent="0.2">
      <c r="A461" s="26"/>
      <c r="B461" s="139"/>
      <c r="C461" s="141"/>
      <c r="D461" s="141"/>
      <c r="E461" s="141"/>
      <c r="F461" s="141"/>
      <c r="G461" s="143"/>
      <c r="H461" s="26"/>
    </row>
    <row r="462" spans="1:8" ht="17.25" customHeight="1" x14ac:dyDescent="0.2">
      <c r="A462" s="26"/>
      <c r="B462" s="139"/>
      <c r="C462" s="141"/>
      <c r="D462" s="141"/>
      <c r="E462" s="141"/>
      <c r="F462" s="141"/>
      <c r="G462" s="143"/>
      <c r="H462" s="26"/>
    </row>
    <row r="463" spans="1:8" ht="17.25" customHeight="1" x14ac:dyDescent="0.2">
      <c r="A463" s="26"/>
      <c r="B463" s="139"/>
      <c r="C463" s="141"/>
      <c r="D463" s="141"/>
      <c r="E463" s="141"/>
      <c r="F463" s="141"/>
      <c r="G463" s="143"/>
      <c r="H463" s="26"/>
    </row>
    <row r="464" spans="1:8" ht="17.25" customHeight="1" x14ac:dyDescent="0.2">
      <c r="A464" s="26"/>
      <c r="B464" s="139"/>
      <c r="C464" s="141"/>
      <c r="D464" s="141"/>
      <c r="E464" s="141"/>
      <c r="F464" s="141"/>
      <c r="G464" s="143"/>
      <c r="H464" s="26"/>
    </row>
    <row r="465" spans="1:8" ht="17.25" customHeight="1" x14ac:dyDescent="0.2">
      <c r="A465" s="26"/>
      <c r="B465" s="139"/>
      <c r="C465" s="141"/>
      <c r="D465" s="141"/>
      <c r="E465" s="141"/>
      <c r="F465" s="141"/>
      <c r="G465" s="143"/>
      <c r="H465" s="26"/>
    </row>
    <row r="466" spans="1:8" ht="17.25" customHeight="1" x14ac:dyDescent="0.2">
      <c r="A466" s="26"/>
      <c r="B466" s="139"/>
      <c r="C466" s="141"/>
      <c r="D466" s="141"/>
      <c r="E466" s="141"/>
      <c r="F466" s="141"/>
      <c r="G466" s="143"/>
      <c r="H466" s="26"/>
    </row>
    <row r="467" spans="1:8" ht="17.25" customHeight="1" x14ac:dyDescent="0.2">
      <c r="A467" s="26"/>
      <c r="B467" s="139"/>
      <c r="C467" s="141"/>
      <c r="D467" s="141"/>
      <c r="E467" s="141"/>
      <c r="F467" s="141"/>
      <c r="G467" s="143"/>
      <c r="H467" s="26"/>
    </row>
    <row r="468" spans="1:8" ht="17.25" customHeight="1" x14ac:dyDescent="0.2">
      <c r="A468" s="26"/>
      <c r="B468" s="139"/>
      <c r="C468" s="141"/>
      <c r="D468" s="141"/>
      <c r="E468" s="141"/>
      <c r="F468" s="141"/>
      <c r="G468" s="143"/>
      <c r="H468" s="26"/>
    </row>
    <row r="469" spans="1:8" ht="17.25" customHeight="1" x14ac:dyDescent="0.2">
      <c r="A469" s="26"/>
      <c r="B469" s="139"/>
      <c r="C469" s="141"/>
      <c r="D469" s="141"/>
      <c r="E469" s="141"/>
      <c r="F469" s="141"/>
      <c r="G469" s="143"/>
      <c r="H469" s="26"/>
    </row>
    <row r="470" spans="1:8" ht="17.25" customHeight="1" x14ac:dyDescent="0.2">
      <c r="A470" s="26"/>
      <c r="B470" s="139"/>
      <c r="C470" s="141"/>
      <c r="D470" s="141"/>
      <c r="E470" s="141"/>
      <c r="F470" s="141"/>
      <c r="G470" s="143"/>
      <c r="H470" s="26"/>
    </row>
    <row r="471" spans="1:8" ht="17.25" customHeight="1" x14ac:dyDescent="0.2">
      <c r="A471" s="26"/>
      <c r="B471" s="139"/>
      <c r="C471" s="141"/>
      <c r="D471" s="141"/>
      <c r="E471" s="141"/>
      <c r="F471" s="141"/>
      <c r="G471" s="143"/>
      <c r="H471" s="26"/>
    </row>
    <row r="472" spans="1:8" ht="17.25" customHeight="1" x14ac:dyDescent="0.2">
      <c r="A472" s="26"/>
      <c r="B472" s="139"/>
      <c r="C472" s="141"/>
      <c r="D472" s="141"/>
      <c r="E472" s="141"/>
      <c r="F472" s="141"/>
      <c r="G472" s="143"/>
      <c r="H472" s="26"/>
    </row>
    <row r="473" spans="1:8" ht="17.25" customHeight="1" x14ac:dyDescent="0.2">
      <c r="A473" s="26"/>
      <c r="B473" s="139"/>
      <c r="C473" s="141"/>
      <c r="D473" s="141"/>
      <c r="E473" s="141"/>
      <c r="F473" s="141"/>
      <c r="G473" s="143"/>
      <c r="H473" s="26"/>
    </row>
    <row r="474" spans="1:8" ht="17.25" customHeight="1" x14ac:dyDescent="0.2">
      <c r="A474" s="26"/>
      <c r="B474" s="139"/>
      <c r="C474" s="141"/>
      <c r="D474" s="141"/>
      <c r="E474" s="141"/>
      <c r="F474" s="141"/>
      <c r="G474" s="143"/>
      <c r="H474" s="26"/>
    </row>
    <row r="475" spans="1:8" ht="17.25" customHeight="1" x14ac:dyDescent="0.2">
      <c r="A475" s="26"/>
      <c r="B475" s="139"/>
      <c r="C475" s="141"/>
      <c r="D475" s="141"/>
      <c r="E475" s="141"/>
      <c r="F475" s="141"/>
      <c r="G475" s="143"/>
      <c r="H475" s="26"/>
    </row>
    <row r="476" spans="1:8" ht="17.25" customHeight="1" x14ac:dyDescent="0.2">
      <c r="A476" s="26"/>
      <c r="B476" s="139"/>
      <c r="C476" s="141"/>
      <c r="D476" s="141"/>
      <c r="E476" s="141"/>
      <c r="F476" s="141"/>
      <c r="G476" s="143"/>
      <c r="H476" s="26"/>
    </row>
    <row r="477" spans="1:8" ht="17.25" customHeight="1" x14ac:dyDescent="0.2">
      <c r="A477" s="26"/>
      <c r="B477" s="139"/>
      <c r="C477" s="141"/>
      <c r="D477" s="141"/>
      <c r="E477" s="141"/>
      <c r="F477" s="141"/>
      <c r="G477" s="143"/>
      <c r="H477" s="26"/>
    </row>
    <row r="478" spans="1:8" ht="17.25" customHeight="1" x14ac:dyDescent="0.2">
      <c r="A478" s="26"/>
      <c r="B478" s="139"/>
      <c r="C478" s="141"/>
      <c r="D478" s="141"/>
      <c r="E478" s="141"/>
      <c r="F478" s="141"/>
      <c r="G478" s="143"/>
      <c r="H478" s="26"/>
    </row>
    <row r="479" spans="1:8" ht="17.25" customHeight="1" x14ac:dyDescent="0.2">
      <c r="A479" s="26"/>
      <c r="B479" s="139"/>
      <c r="C479" s="141"/>
      <c r="D479" s="141"/>
      <c r="E479" s="141"/>
      <c r="F479" s="141"/>
      <c r="G479" s="143"/>
      <c r="H479" s="26"/>
    </row>
    <row r="480" spans="1:8" ht="17.25" customHeight="1" x14ac:dyDescent="0.2">
      <c r="A480" s="26"/>
      <c r="B480" s="139"/>
      <c r="C480" s="141"/>
      <c r="D480" s="141"/>
      <c r="E480" s="141"/>
      <c r="F480" s="141"/>
      <c r="G480" s="143"/>
      <c r="H480" s="26"/>
    </row>
    <row r="481" spans="1:8" ht="17.25" customHeight="1" x14ac:dyDescent="0.2">
      <c r="A481" s="26"/>
      <c r="B481" s="139"/>
      <c r="C481" s="141"/>
      <c r="D481" s="141"/>
      <c r="E481" s="141"/>
      <c r="F481" s="141"/>
      <c r="G481" s="143"/>
      <c r="H481" s="26"/>
    </row>
    <row r="482" spans="1:8" ht="17.25" customHeight="1" x14ac:dyDescent="0.2">
      <c r="A482" s="26"/>
      <c r="B482" s="139"/>
      <c r="C482" s="141"/>
      <c r="D482" s="141"/>
      <c r="E482" s="141"/>
      <c r="F482" s="141"/>
      <c r="G482" s="143"/>
      <c r="H482" s="26"/>
    </row>
    <row r="483" spans="1:8" ht="17.25" customHeight="1" x14ac:dyDescent="0.2">
      <c r="A483" s="26"/>
      <c r="B483" s="139"/>
      <c r="C483" s="141"/>
      <c r="D483" s="141"/>
      <c r="E483" s="141"/>
      <c r="F483" s="141"/>
      <c r="G483" s="143"/>
      <c r="H483" s="26"/>
    </row>
    <row r="484" spans="1:8" ht="17.25" customHeight="1" x14ac:dyDescent="0.2">
      <c r="A484" s="26"/>
      <c r="B484" s="139"/>
      <c r="C484" s="141"/>
      <c r="D484" s="141"/>
      <c r="E484" s="141"/>
      <c r="F484" s="141"/>
      <c r="G484" s="143"/>
      <c r="H484" s="26"/>
    </row>
    <row r="485" spans="1:8" ht="17.25" customHeight="1" x14ac:dyDescent="0.2">
      <c r="A485" s="26"/>
      <c r="B485" s="139"/>
      <c r="C485" s="141"/>
      <c r="D485" s="141"/>
      <c r="E485" s="141"/>
      <c r="F485" s="141"/>
      <c r="G485" s="143"/>
      <c r="H485" s="26"/>
    </row>
    <row r="486" spans="1:8" ht="17.25" customHeight="1" x14ac:dyDescent="0.2">
      <c r="A486" s="26"/>
      <c r="B486" s="139"/>
      <c r="C486" s="141"/>
      <c r="D486" s="141"/>
      <c r="E486" s="141"/>
      <c r="F486" s="141"/>
      <c r="G486" s="143"/>
      <c r="H486" s="26"/>
    </row>
    <row r="487" spans="1:8" ht="17.25" customHeight="1" x14ac:dyDescent="0.2">
      <c r="A487" s="26"/>
      <c r="B487" s="139"/>
      <c r="C487" s="141"/>
      <c r="D487" s="141"/>
      <c r="E487" s="141"/>
      <c r="F487" s="141"/>
      <c r="G487" s="143"/>
      <c r="H487" s="26"/>
    </row>
    <row r="488" spans="1:8" ht="17.25" customHeight="1" x14ac:dyDescent="0.2">
      <c r="A488" s="26"/>
      <c r="B488" s="139"/>
      <c r="C488" s="141"/>
      <c r="D488" s="141"/>
      <c r="E488" s="141"/>
      <c r="F488" s="141"/>
      <c r="G488" s="143"/>
      <c r="H488" s="26"/>
    </row>
    <row r="489" spans="1:8" ht="17.25" customHeight="1" x14ac:dyDescent="0.2">
      <c r="A489" s="26"/>
      <c r="B489" s="139"/>
      <c r="C489" s="141"/>
      <c r="D489" s="141"/>
      <c r="E489" s="141"/>
      <c r="F489" s="141"/>
      <c r="G489" s="143"/>
      <c r="H489" s="26"/>
    </row>
    <row r="490" spans="1:8" ht="17.25" customHeight="1" x14ac:dyDescent="0.2">
      <c r="A490" s="26"/>
      <c r="B490" s="139"/>
      <c r="C490" s="141"/>
      <c r="D490" s="141"/>
      <c r="E490" s="141"/>
      <c r="F490" s="141"/>
      <c r="G490" s="143"/>
      <c r="H490" s="26"/>
    </row>
    <row r="491" spans="1:8" ht="17.25" customHeight="1" x14ac:dyDescent="0.2">
      <c r="A491" s="26"/>
      <c r="B491" s="139"/>
      <c r="C491" s="141"/>
      <c r="D491" s="141"/>
      <c r="E491" s="141"/>
      <c r="F491" s="141"/>
      <c r="G491" s="143"/>
      <c r="H491" s="26"/>
    </row>
    <row r="492" spans="1:8" ht="17.25" customHeight="1" x14ac:dyDescent="0.2">
      <c r="A492" s="26"/>
      <c r="B492" s="139"/>
      <c r="C492" s="141"/>
      <c r="D492" s="141"/>
      <c r="E492" s="141"/>
      <c r="F492" s="141"/>
      <c r="G492" s="143"/>
      <c r="H492" s="26"/>
    </row>
    <row r="493" spans="1:8" ht="17.25" customHeight="1" x14ac:dyDescent="0.2">
      <c r="A493" s="26"/>
      <c r="B493" s="139"/>
      <c r="C493" s="141"/>
      <c r="D493" s="141"/>
      <c r="E493" s="141"/>
      <c r="F493" s="141"/>
      <c r="G493" s="143"/>
      <c r="H493" s="26"/>
    </row>
    <row r="494" spans="1:8" ht="17.25" customHeight="1" x14ac:dyDescent="0.2">
      <c r="A494" s="26"/>
      <c r="B494" s="139"/>
      <c r="C494" s="141"/>
      <c r="D494" s="141"/>
      <c r="E494" s="141"/>
      <c r="F494" s="141"/>
      <c r="G494" s="143"/>
      <c r="H494" s="26"/>
    </row>
    <row r="495" spans="1:8" ht="17.25" customHeight="1" x14ac:dyDescent="0.2">
      <c r="A495" s="26"/>
      <c r="B495" s="139"/>
      <c r="C495" s="141"/>
      <c r="D495" s="141"/>
      <c r="E495" s="141"/>
      <c r="F495" s="141"/>
      <c r="G495" s="143"/>
      <c r="H495" s="26"/>
    </row>
    <row r="496" spans="1:8" ht="17.25" customHeight="1" x14ac:dyDescent="0.2">
      <c r="A496" s="26"/>
      <c r="B496" s="139"/>
      <c r="C496" s="141"/>
      <c r="D496" s="141"/>
      <c r="E496" s="141"/>
      <c r="F496" s="141"/>
      <c r="G496" s="143"/>
      <c r="H496" s="26"/>
    </row>
    <row r="497" spans="1:8" ht="17.25" customHeight="1" x14ac:dyDescent="0.2">
      <c r="A497" s="26"/>
      <c r="B497" s="139"/>
      <c r="C497" s="141"/>
      <c r="D497" s="141"/>
      <c r="E497" s="141"/>
      <c r="F497" s="141"/>
      <c r="G497" s="143"/>
      <c r="H497" s="26"/>
    </row>
    <row r="498" spans="1:8" ht="17.25" customHeight="1" x14ac:dyDescent="0.2">
      <c r="A498" s="26"/>
      <c r="B498" s="139"/>
      <c r="C498" s="141"/>
      <c r="D498" s="141"/>
      <c r="E498" s="141"/>
      <c r="F498" s="141"/>
      <c r="G498" s="143"/>
      <c r="H498" s="26"/>
    </row>
    <row r="499" spans="1:8" ht="17.25" customHeight="1" x14ac:dyDescent="0.2">
      <c r="A499" s="26"/>
      <c r="B499" s="139"/>
      <c r="C499" s="141"/>
      <c r="D499" s="141"/>
      <c r="E499" s="141"/>
      <c r="F499" s="141"/>
      <c r="G499" s="143"/>
      <c r="H499" s="26"/>
    </row>
    <row r="500" spans="1:8" ht="17.25" customHeight="1" x14ac:dyDescent="0.2">
      <c r="A500" s="26"/>
      <c r="B500" s="139"/>
      <c r="C500" s="141"/>
      <c r="D500" s="141"/>
      <c r="E500" s="141"/>
      <c r="F500" s="141"/>
      <c r="G500" s="143"/>
      <c r="H500" s="26"/>
    </row>
    <row r="501" spans="1:8" ht="17.25" customHeight="1" x14ac:dyDescent="0.2">
      <c r="A501" s="26"/>
      <c r="B501" s="139"/>
      <c r="C501" s="141"/>
      <c r="D501" s="141"/>
      <c r="E501" s="141"/>
      <c r="F501" s="141"/>
      <c r="G501" s="143"/>
      <c r="H501" s="26"/>
    </row>
    <row r="502" spans="1:8" ht="17.25" customHeight="1" x14ac:dyDescent="0.2">
      <c r="A502" s="26"/>
      <c r="B502" s="139"/>
      <c r="C502" s="141"/>
      <c r="D502" s="141"/>
      <c r="E502" s="141"/>
      <c r="F502" s="141"/>
      <c r="G502" s="143"/>
      <c r="H502" s="26"/>
    </row>
    <row r="503" spans="1:8" ht="17.25" customHeight="1" x14ac:dyDescent="0.2">
      <c r="A503" s="26"/>
      <c r="B503" s="139"/>
      <c r="C503" s="141"/>
      <c r="D503" s="141"/>
      <c r="E503" s="141"/>
      <c r="F503" s="141"/>
      <c r="G503" s="143"/>
      <c r="H503" s="26"/>
    </row>
    <row r="504" spans="1:8" ht="17.25" customHeight="1" x14ac:dyDescent="0.2">
      <c r="A504" s="26"/>
      <c r="B504" s="139"/>
      <c r="C504" s="141"/>
      <c r="D504" s="141"/>
      <c r="E504" s="141"/>
      <c r="F504" s="141"/>
      <c r="G504" s="143"/>
      <c r="H504" s="26"/>
    </row>
    <row r="505" spans="1:8" ht="17.25" customHeight="1" x14ac:dyDescent="0.2">
      <c r="A505" s="26"/>
      <c r="B505" s="139"/>
      <c r="C505" s="141"/>
      <c r="D505" s="141"/>
      <c r="E505" s="141"/>
      <c r="F505" s="141"/>
      <c r="G505" s="143"/>
      <c r="H505" s="26"/>
    </row>
    <row r="506" spans="1:8" ht="17.25" customHeight="1" x14ac:dyDescent="0.2">
      <c r="A506" s="26"/>
      <c r="B506" s="139"/>
      <c r="C506" s="141"/>
      <c r="D506" s="141"/>
      <c r="E506" s="141"/>
      <c r="F506" s="141"/>
      <c r="G506" s="143"/>
      <c r="H506" s="26"/>
    </row>
    <row r="507" spans="1:8" ht="17.25" customHeight="1" x14ac:dyDescent="0.2">
      <c r="A507" s="26"/>
      <c r="B507" s="139"/>
      <c r="C507" s="141"/>
      <c r="D507" s="141"/>
      <c r="E507" s="141"/>
      <c r="F507" s="141"/>
      <c r="G507" s="143"/>
      <c r="H507" s="26"/>
    </row>
    <row r="508" spans="1:8" ht="17.25" customHeight="1" x14ac:dyDescent="0.2">
      <c r="A508" s="26"/>
      <c r="B508" s="139"/>
      <c r="C508" s="141"/>
      <c r="D508" s="141"/>
      <c r="E508" s="141"/>
      <c r="F508" s="141"/>
      <c r="G508" s="143"/>
      <c r="H508" s="26"/>
    </row>
    <row r="509" spans="1:8" ht="17.25" customHeight="1" x14ac:dyDescent="0.2">
      <c r="A509" s="26"/>
      <c r="B509" s="139"/>
      <c r="C509" s="141"/>
      <c r="D509" s="141"/>
      <c r="E509" s="141"/>
      <c r="F509" s="141"/>
      <c r="G509" s="143"/>
      <c r="H509" s="26"/>
    </row>
    <row r="510" spans="1:8" ht="17.25" customHeight="1" x14ac:dyDescent="0.2">
      <c r="A510" s="26"/>
      <c r="B510" s="139"/>
      <c r="C510" s="141"/>
      <c r="D510" s="141"/>
      <c r="E510" s="141"/>
      <c r="F510" s="141"/>
      <c r="G510" s="143"/>
      <c r="H510" s="26"/>
    </row>
    <row r="511" spans="1:8" ht="17.25" customHeight="1" x14ac:dyDescent="0.2">
      <c r="A511" s="26"/>
      <c r="B511" s="139"/>
      <c r="C511" s="141"/>
      <c r="D511" s="141"/>
      <c r="E511" s="141"/>
      <c r="F511" s="141"/>
      <c r="G511" s="143"/>
      <c r="H511" s="26"/>
    </row>
    <row r="512" spans="1:8" ht="17.25" customHeight="1" x14ac:dyDescent="0.2">
      <c r="A512" s="26"/>
      <c r="B512" s="139"/>
      <c r="C512" s="141"/>
      <c r="D512" s="141"/>
      <c r="E512" s="141"/>
      <c r="F512" s="141"/>
      <c r="G512" s="143"/>
      <c r="H512" s="26"/>
    </row>
    <row r="513" spans="1:8" ht="17.25" customHeight="1" x14ac:dyDescent="0.2">
      <c r="A513" s="26"/>
      <c r="B513" s="139"/>
      <c r="C513" s="141"/>
      <c r="D513" s="141"/>
      <c r="E513" s="141"/>
      <c r="F513" s="141"/>
      <c r="G513" s="143"/>
      <c r="H513" s="26"/>
    </row>
    <row r="514" spans="1:8" ht="17.25" customHeight="1" x14ac:dyDescent="0.2">
      <c r="A514" s="26"/>
      <c r="B514" s="139"/>
      <c r="C514" s="141"/>
      <c r="D514" s="141"/>
      <c r="E514" s="141"/>
      <c r="F514" s="141"/>
      <c r="G514" s="143"/>
      <c r="H514" s="26"/>
    </row>
    <row r="515" spans="1:8" ht="17.25" customHeight="1" x14ac:dyDescent="0.2">
      <c r="A515" s="26"/>
      <c r="B515" s="139"/>
      <c r="C515" s="141"/>
      <c r="D515" s="141"/>
      <c r="E515" s="141"/>
      <c r="F515" s="141"/>
      <c r="G515" s="143"/>
      <c r="H515" s="26"/>
    </row>
    <row r="516" spans="1:8" ht="17.25" customHeight="1" x14ac:dyDescent="0.2">
      <c r="A516" s="26"/>
      <c r="B516" s="139"/>
      <c r="C516" s="141"/>
      <c r="D516" s="141"/>
      <c r="E516" s="141"/>
      <c r="F516" s="141"/>
      <c r="G516" s="143"/>
      <c r="H516" s="26"/>
    </row>
    <row r="517" spans="1:8" ht="17.25" customHeight="1" x14ac:dyDescent="0.2">
      <c r="A517" s="26"/>
      <c r="B517" s="139"/>
      <c r="C517" s="141"/>
      <c r="D517" s="141"/>
      <c r="E517" s="141"/>
      <c r="F517" s="141"/>
      <c r="G517" s="143"/>
      <c r="H517" s="26"/>
    </row>
    <row r="518" spans="1:8" ht="17.25" customHeight="1" x14ac:dyDescent="0.2">
      <c r="A518" s="26"/>
      <c r="B518" s="139"/>
      <c r="C518" s="141"/>
      <c r="D518" s="141"/>
      <c r="E518" s="141"/>
      <c r="F518" s="141"/>
      <c r="G518" s="143"/>
      <c r="H518" s="26"/>
    </row>
    <row r="519" spans="1:8" ht="17.25" customHeight="1" x14ac:dyDescent="0.2">
      <c r="A519" s="26"/>
      <c r="B519" s="139"/>
      <c r="C519" s="141"/>
      <c r="D519" s="141"/>
      <c r="E519" s="141"/>
      <c r="F519" s="141"/>
      <c r="G519" s="143"/>
      <c r="H519" s="26"/>
    </row>
    <row r="520" spans="1:8" ht="17.25" customHeight="1" x14ac:dyDescent="0.2">
      <c r="A520" s="26"/>
      <c r="B520" s="139"/>
      <c r="C520" s="141"/>
      <c r="D520" s="141"/>
      <c r="E520" s="141"/>
      <c r="F520" s="141"/>
      <c r="G520" s="143"/>
      <c r="H520" s="26"/>
    </row>
    <row r="521" spans="1:8" ht="17.25" customHeight="1" x14ac:dyDescent="0.2">
      <c r="A521" s="26"/>
      <c r="B521" s="139"/>
      <c r="C521" s="141"/>
      <c r="D521" s="141"/>
      <c r="E521" s="141"/>
      <c r="F521" s="141"/>
      <c r="G521" s="143"/>
      <c r="H521" s="26"/>
    </row>
    <row r="522" spans="1:8" ht="17.25" customHeight="1" x14ac:dyDescent="0.2">
      <c r="A522" s="26"/>
      <c r="B522" s="139"/>
      <c r="C522" s="141"/>
      <c r="D522" s="141"/>
      <c r="E522" s="141"/>
      <c r="F522" s="141"/>
      <c r="G522" s="143"/>
      <c r="H522" s="26"/>
    </row>
    <row r="523" spans="1:8" ht="17.25" customHeight="1" x14ac:dyDescent="0.2">
      <c r="A523" s="26"/>
      <c r="B523" s="139"/>
      <c r="C523" s="141"/>
      <c r="D523" s="141"/>
      <c r="E523" s="141"/>
      <c r="F523" s="141"/>
      <c r="G523" s="143"/>
      <c r="H523" s="26"/>
    </row>
    <row r="524" spans="1:8" ht="17.25" customHeight="1" x14ac:dyDescent="0.2">
      <c r="A524" s="26"/>
      <c r="B524" s="139"/>
      <c r="C524" s="141"/>
      <c r="D524" s="141"/>
      <c r="E524" s="141"/>
      <c r="F524" s="141"/>
      <c r="G524" s="143"/>
      <c r="H524" s="26"/>
    </row>
    <row r="525" spans="1:8" ht="17.25" customHeight="1" x14ac:dyDescent="0.2">
      <c r="A525" s="26"/>
      <c r="B525" s="139"/>
      <c r="C525" s="141"/>
      <c r="D525" s="141"/>
      <c r="E525" s="141"/>
      <c r="F525" s="141"/>
      <c r="G525" s="143"/>
      <c r="H525" s="26"/>
    </row>
    <row r="526" spans="1:8" ht="17.25" customHeight="1" x14ac:dyDescent="0.2">
      <c r="A526" s="26"/>
      <c r="B526" s="139"/>
      <c r="C526" s="141"/>
      <c r="D526" s="141"/>
      <c r="E526" s="141"/>
      <c r="F526" s="141"/>
      <c r="G526" s="143"/>
      <c r="H526" s="26"/>
    </row>
    <row r="527" spans="1:8" ht="17.25" customHeight="1" x14ac:dyDescent="0.2">
      <c r="A527" s="26"/>
      <c r="B527" s="139"/>
      <c r="C527" s="141"/>
      <c r="D527" s="141"/>
      <c r="E527" s="141"/>
      <c r="F527" s="141"/>
      <c r="G527" s="143"/>
      <c r="H527" s="26"/>
    </row>
    <row r="528" spans="1:8" ht="17.25" customHeight="1" x14ac:dyDescent="0.2">
      <c r="A528" s="26"/>
      <c r="B528" s="139"/>
      <c r="C528" s="141"/>
      <c r="D528" s="141"/>
      <c r="E528" s="141"/>
      <c r="F528" s="141"/>
      <c r="G528" s="143"/>
      <c r="H528" s="26"/>
    </row>
    <row r="529" spans="1:8" ht="17.25" customHeight="1" x14ac:dyDescent="0.2">
      <c r="A529" s="26"/>
      <c r="B529" s="139"/>
      <c r="C529" s="141"/>
      <c r="D529" s="141"/>
      <c r="E529" s="141"/>
      <c r="F529" s="141"/>
      <c r="G529" s="143"/>
      <c r="H529" s="26"/>
    </row>
    <row r="530" spans="1:8" ht="17.25" customHeight="1" x14ac:dyDescent="0.2">
      <c r="A530" s="26"/>
      <c r="B530" s="139"/>
      <c r="C530" s="141"/>
      <c r="D530" s="141"/>
      <c r="E530" s="141"/>
      <c r="F530" s="141"/>
      <c r="G530" s="143"/>
      <c r="H530" s="26"/>
    </row>
    <row r="531" spans="1:8" ht="17.25" customHeight="1" x14ac:dyDescent="0.2">
      <c r="A531" s="26"/>
      <c r="B531" s="139"/>
      <c r="C531" s="141"/>
      <c r="D531" s="141"/>
      <c r="E531" s="141"/>
      <c r="F531" s="141"/>
      <c r="G531" s="143"/>
      <c r="H531" s="26"/>
    </row>
    <row r="532" spans="1:8" ht="17.25" customHeight="1" x14ac:dyDescent="0.2">
      <c r="A532" s="26"/>
      <c r="B532" s="139"/>
      <c r="C532" s="141"/>
      <c r="D532" s="141"/>
      <c r="E532" s="141"/>
      <c r="F532" s="141"/>
      <c r="G532" s="143"/>
      <c r="H532" s="26"/>
    </row>
    <row r="533" spans="1:8" ht="17.25" customHeight="1" x14ac:dyDescent="0.2">
      <c r="A533" s="26"/>
      <c r="B533" s="139"/>
      <c r="C533" s="141"/>
      <c r="D533" s="141"/>
      <c r="E533" s="141"/>
      <c r="F533" s="141"/>
      <c r="G533" s="143"/>
      <c r="H533" s="26"/>
    </row>
    <row r="534" spans="1:8" ht="17.25" customHeight="1" x14ac:dyDescent="0.2">
      <c r="A534" s="26"/>
      <c r="B534" s="139"/>
      <c r="C534" s="141"/>
      <c r="D534" s="141"/>
      <c r="E534" s="141"/>
      <c r="F534" s="141"/>
      <c r="G534" s="143"/>
      <c r="H534" s="26"/>
    </row>
    <row r="535" spans="1:8" ht="17.25" customHeight="1" x14ac:dyDescent="0.2">
      <c r="A535" s="26"/>
      <c r="B535" s="139"/>
      <c r="C535" s="141"/>
      <c r="D535" s="141"/>
      <c r="E535" s="141"/>
      <c r="F535" s="141"/>
      <c r="G535" s="143"/>
      <c r="H535" s="26"/>
    </row>
    <row r="536" spans="1:8" ht="17.25" customHeight="1" x14ac:dyDescent="0.2">
      <c r="A536" s="26"/>
      <c r="B536" s="139"/>
      <c r="C536" s="141"/>
      <c r="D536" s="141"/>
      <c r="E536" s="141"/>
      <c r="F536" s="141"/>
      <c r="G536" s="143"/>
      <c r="H536" s="26"/>
    </row>
    <row r="537" spans="1:8" ht="17.25" customHeight="1" x14ac:dyDescent="0.2">
      <c r="A537" s="26"/>
      <c r="B537" s="139"/>
      <c r="C537" s="141"/>
      <c r="D537" s="141"/>
      <c r="E537" s="141"/>
      <c r="F537" s="141"/>
      <c r="G537" s="143"/>
      <c r="H537" s="26"/>
    </row>
    <row r="538" spans="1:8" ht="17.25" customHeight="1" x14ac:dyDescent="0.2">
      <c r="A538" s="26"/>
      <c r="B538" s="139"/>
      <c r="C538" s="141"/>
      <c r="D538" s="141"/>
      <c r="E538" s="141"/>
      <c r="F538" s="141"/>
      <c r="G538" s="143"/>
      <c r="H538" s="26"/>
    </row>
    <row r="539" spans="1:8" ht="17.25" customHeight="1" x14ac:dyDescent="0.2">
      <c r="A539" s="26"/>
      <c r="B539" s="139"/>
      <c r="C539" s="141"/>
      <c r="D539" s="141"/>
      <c r="E539" s="141"/>
      <c r="F539" s="141"/>
      <c r="G539" s="143"/>
      <c r="H539" s="26"/>
    </row>
    <row r="540" spans="1:8" ht="17.25" customHeight="1" x14ac:dyDescent="0.2">
      <c r="A540" s="26"/>
      <c r="B540" s="139"/>
      <c r="C540" s="141"/>
      <c r="D540" s="141"/>
      <c r="E540" s="141"/>
      <c r="F540" s="141"/>
      <c r="G540" s="143"/>
      <c r="H540" s="26"/>
    </row>
    <row r="541" spans="1:8" ht="17.25" customHeight="1" x14ac:dyDescent="0.2">
      <c r="A541" s="26"/>
      <c r="B541" s="139"/>
      <c r="C541" s="141"/>
      <c r="D541" s="141"/>
      <c r="E541" s="141"/>
      <c r="F541" s="141"/>
      <c r="G541" s="143"/>
      <c r="H541" s="26"/>
    </row>
    <row r="542" spans="1:8" ht="17.25" customHeight="1" x14ac:dyDescent="0.2">
      <c r="A542" s="26"/>
      <c r="B542" s="139"/>
      <c r="C542" s="141"/>
      <c r="D542" s="141"/>
      <c r="E542" s="141"/>
      <c r="F542" s="141"/>
      <c r="G542" s="143"/>
      <c r="H542" s="26"/>
    </row>
    <row r="543" spans="1:8" ht="17.25" customHeight="1" x14ac:dyDescent="0.2">
      <c r="A543" s="26"/>
      <c r="B543" s="139"/>
      <c r="C543" s="141"/>
      <c r="D543" s="141"/>
      <c r="E543" s="141"/>
      <c r="F543" s="141"/>
      <c r="G543" s="143"/>
      <c r="H543" s="26"/>
    </row>
    <row r="544" spans="1:8" ht="17.25" customHeight="1" x14ac:dyDescent="0.2">
      <c r="A544" s="26"/>
      <c r="B544" s="139"/>
      <c r="C544" s="141"/>
      <c r="D544" s="141"/>
      <c r="E544" s="141"/>
      <c r="F544" s="141"/>
      <c r="G544" s="143"/>
      <c r="H544" s="26"/>
    </row>
    <row r="545" spans="1:8" ht="17.25" customHeight="1" x14ac:dyDescent="0.2">
      <c r="A545" s="26"/>
      <c r="B545" s="139"/>
      <c r="C545" s="141"/>
      <c r="D545" s="141"/>
      <c r="E545" s="141"/>
      <c r="F545" s="141"/>
      <c r="G545" s="143"/>
      <c r="H545" s="26"/>
    </row>
    <row r="546" spans="1:8" ht="17.25" customHeight="1" x14ac:dyDescent="0.2">
      <c r="A546" s="26"/>
      <c r="B546" s="139"/>
      <c r="C546" s="141"/>
      <c r="D546" s="141"/>
      <c r="E546" s="141"/>
      <c r="F546" s="141"/>
      <c r="G546" s="143"/>
      <c r="H546" s="26"/>
    </row>
    <row r="547" spans="1:8" ht="17.25" customHeight="1" x14ac:dyDescent="0.2">
      <c r="A547" s="26"/>
      <c r="B547" s="139"/>
      <c r="C547" s="141"/>
      <c r="D547" s="141"/>
      <c r="E547" s="141"/>
      <c r="F547" s="141"/>
      <c r="G547" s="143"/>
      <c r="H547" s="26"/>
    </row>
    <row r="548" spans="1:8" ht="17.25" customHeight="1" x14ac:dyDescent="0.2">
      <c r="A548" s="26"/>
      <c r="B548" s="139"/>
      <c r="C548" s="141"/>
      <c r="D548" s="141"/>
      <c r="E548" s="141"/>
      <c r="F548" s="141"/>
      <c r="G548" s="143"/>
      <c r="H548" s="26"/>
    </row>
    <row r="549" spans="1:8" ht="17.25" customHeight="1" x14ac:dyDescent="0.2">
      <c r="A549" s="26"/>
      <c r="B549" s="139"/>
      <c r="C549" s="141"/>
      <c r="D549" s="141"/>
      <c r="E549" s="141"/>
      <c r="F549" s="141"/>
      <c r="G549" s="143"/>
      <c r="H549" s="26"/>
    </row>
    <row r="550" spans="1:8" ht="17.25" customHeight="1" x14ac:dyDescent="0.2">
      <c r="A550" s="26"/>
      <c r="B550" s="139"/>
      <c r="C550" s="141"/>
      <c r="D550" s="141"/>
      <c r="E550" s="141"/>
      <c r="F550" s="141"/>
      <c r="G550" s="143"/>
      <c r="H550" s="26"/>
    </row>
    <row r="551" spans="1:8" ht="17.25" customHeight="1" x14ac:dyDescent="0.2">
      <c r="A551" s="26"/>
      <c r="B551" s="139"/>
      <c r="C551" s="141"/>
      <c r="D551" s="141"/>
      <c r="E551" s="141"/>
      <c r="F551" s="141"/>
      <c r="G551" s="143"/>
      <c r="H551" s="26"/>
    </row>
    <row r="552" spans="1:8" ht="17.25" customHeight="1" x14ac:dyDescent="0.2">
      <c r="A552" s="26"/>
      <c r="B552" s="139"/>
      <c r="C552" s="141"/>
      <c r="D552" s="141"/>
      <c r="E552" s="141"/>
      <c r="F552" s="141"/>
      <c r="G552" s="143"/>
      <c r="H552" s="26"/>
    </row>
    <row r="553" spans="1:8" ht="17.25" customHeight="1" x14ac:dyDescent="0.2">
      <c r="A553" s="26"/>
      <c r="B553" s="139"/>
      <c r="C553" s="141"/>
      <c r="D553" s="141"/>
      <c r="E553" s="141"/>
      <c r="F553" s="141"/>
      <c r="G553" s="143"/>
      <c r="H553" s="26"/>
    </row>
    <row r="554" spans="1:8" ht="17.25" customHeight="1" x14ac:dyDescent="0.2">
      <c r="A554" s="26"/>
      <c r="B554" s="139"/>
      <c r="C554" s="141"/>
      <c r="D554" s="141"/>
      <c r="E554" s="141"/>
      <c r="F554" s="141"/>
      <c r="G554" s="143"/>
      <c r="H554" s="26"/>
    </row>
    <row r="555" spans="1:8" ht="17.25" customHeight="1" x14ac:dyDescent="0.2">
      <c r="A555" s="26"/>
      <c r="B555" s="139"/>
      <c r="C555" s="141"/>
      <c r="D555" s="141"/>
      <c r="E555" s="141"/>
      <c r="F555" s="141"/>
      <c r="G555" s="143"/>
      <c r="H555" s="26"/>
    </row>
    <row r="556" spans="1:8" ht="17.25" customHeight="1" x14ac:dyDescent="0.2">
      <c r="A556" s="26"/>
      <c r="B556" s="139"/>
      <c r="C556" s="141"/>
      <c r="D556" s="141"/>
      <c r="E556" s="141"/>
      <c r="F556" s="141"/>
      <c r="G556" s="143"/>
      <c r="H556" s="26"/>
    </row>
    <row r="557" spans="1:8" ht="17.25" customHeight="1" x14ac:dyDescent="0.2">
      <c r="A557" s="26"/>
      <c r="B557" s="139"/>
      <c r="C557" s="141"/>
      <c r="D557" s="141"/>
      <c r="E557" s="141"/>
      <c r="F557" s="141"/>
      <c r="G557" s="143"/>
      <c r="H557" s="26"/>
    </row>
    <row r="558" spans="1:8" ht="17.25" customHeight="1" x14ac:dyDescent="0.2">
      <c r="A558" s="26"/>
      <c r="B558" s="139"/>
      <c r="C558" s="141"/>
      <c r="D558" s="141"/>
      <c r="E558" s="141"/>
      <c r="F558" s="141"/>
      <c r="G558" s="143"/>
      <c r="H558" s="26"/>
    </row>
    <row r="559" spans="1:8" ht="17.25" customHeight="1" x14ac:dyDescent="0.2">
      <c r="A559" s="26"/>
      <c r="B559" s="139"/>
      <c r="C559" s="141"/>
      <c r="D559" s="141"/>
      <c r="E559" s="141"/>
      <c r="F559" s="141"/>
      <c r="G559" s="143"/>
      <c r="H559" s="26"/>
    </row>
    <row r="560" spans="1:8" ht="17.25" customHeight="1" x14ac:dyDescent="0.2">
      <c r="A560" s="26"/>
      <c r="B560" s="139"/>
      <c r="C560" s="141"/>
      <c r="D560" s="141"/>
      <c r="E560" s="141"/>
      <c r="F560" s="141"/>
      <c r="G560" s="143"/>
      <c r="H560" s="26"/>
    </row>
    <row r="561" spans="1:8" ht="17.25" customHeight="1" x14ac:dyDescent="0.2">
      <c r="A561" s="26"/>
      <c r="B561" s="139"/>
      <c r="C561" s="141"/>
      <c r="D561" s="141"/>
      <c r="E561" s="141"/>
      <c r="F561" s="141"/>
      <c r="G561" s="143"/>
      <c r="H561" s="26"/>
    </row>
    <row r="562" spans="1:8" ht="17.25" customHeight="1" x14ac:dyDescent="0.2">
      <c r="A562" s="26"/>
      <c r="B562" s="139"/>
      <c r="C562" s="141"/>
      <c r="D562" s="141"/>
      <c r="E562" s="141"/>
      <c r="F562" s="141"/>
      <c r="G562" s="143"/>
      <c r="H562" s="26"/>
    </row>
    <row r="563" spans="1:8" ht="17.25" customHeight="1" x14ac:dyDescent="0.2">
      <c r="A563" s="26"/>
      <c r="B563" s="139"/>
      <c r="C563" s="141"/>
      <c r="D563" s="141"/>
      <c r="E563" s="141"/>
      <c r="F563" s="141"/>
      <c r="G563" s="143"/>
      <c r="H563" s="26"/>
    </row>
    <row r="564" spans="1:8" ht="17.25" customHeight="1" x14ac:dyDescent="0.2">
      <c r="A564" s="26"/>
      <c r="B564" s="139"/>
      <c r="C564" s="141"/>
      <c r="D564" s="141"/>
      <c r="E564" s="141"/>
      <c r="F564" s="141"/>
      <c r="G564" s="143"/>
      <c r="H564" s="26"/>
    </row>
    <row r="565" spans="1:8" ht="17.25" customHeight="1" x14ac:dyDescent="0.2">
      <c r="A565" s="26"/>
      <c r="B565" s="139"/>
      <c r="C565" s="141"/>
      <c r="D565" s="141"/>
      <c r="E565" s="141"/>
      <c r="F565" s="141"/>
      <c r="G565" s="143"/>
      <c r="H565" s="26"/>
    </row>
    <row r="566" spans="1:8" ht="17.25" customHeight="1" x14ac:dyDescent="0.2">
      <c r="A566" s="26"/>
      <c r="B566" s="139"/>
      <c r="C566" s="141"/>
      <c r="D566" s="141"/>
      <c r="E566" s="141"/>
      <c r="F566" s="141"/>
      <c r="G566" s="143"/>
      <c r="H566" s="26"/>
    </row>
    <row r="567" spans="1:8" ht="17.25" customHeight="1" x14ac:dyDescent="0.2">
      <c r="A567" s="26"/>
      <c r="B567" s="139"/>
      <c r="C567" s="141"/>
      <c r="D567" s="141"/>
      <c r="E567" s="141"/>
      <c r="F567" s="141"/>
      <c r="G567" s="143"/>
      <c r="H567" s="26"/>
    </row>
    <row r="568" spans="1:8" ht="17.25" customHeight="1" x14ac:dyDescent="0.2">
      <c r="A568" s="26"/>
      <c r="B568" s="139"/>
      <c r="C568" s="141"/>
      <c r="D568" s="141"/>
      <c r="E568" s="141"/>
      <c r="F568" s="141"/>
      <c r="G568" s="143"/>
      <c r="H568" s="26"/>
    </row>
    <row r="569" spans="1:8" ht="17.25" customHeight="1" x14ac:dyDescent="0.2">
      <c r="A569" s="26"/>
      <c r="B569" s="139"/>
      <c r="C569" s="141"/>
      <c r="D569" s="141"/>
      <c r="E569" s="141"/>
      <c r="F569" s="141"/>
      <c r="G569" s="143"/>
      <c r="H569" s="26"/>
    </row>
    <row r="570" spans="1:8" ht="17.25" customHeight="1" x14ac:dyDescent="0.2">
      <c r="A570" s="26"/>
      <c r="B570" s="139"/>
      <c r="C570" s="141"/>
      <c r="D570" s="141"/>
      <c r="E570" s="141"/>
      <c r="F570" s="141"/>
      <c r="G570" s="143"/>
      <c r="H570" s="26"/>
    </row>
    <row r="571" spans="1:8" ht="17.25" customHeight="1" x14ac:dyDescent="0.2">
      <c r="A571" s="26"/>
      <c r="B571" s="139"/>
      <c r="C571" s="141"/>
      <c r="D571" s="141"/>
      <c r="E571" s="141"/>
      <c r="F571" s="141"/>
      <c r="G571" s="143"/>
      <c r="H571" s="26"/>
    </row>
    <row r="572" spans="1:8" ht="17.25" customHeight="1" x14ac:dyDescent="0.2">
      <c r="A572" s="26"/>
      <c r="B572" s="139"/>
      <c r="C572" s="141"/>
      <c r="D572" s="141"/>
      <c r="E572" s="141"/>
      <c r="F572" s="141"/>
      <c r="G572" s="143"/>
      <c r="H572" s="26"/>
    </row>
    <row r="573" spans="1:8" ht="17.25" customHeight="1" x14ac:dyDescent="0.2">
      <c r="A573" s="26"/>
      <c r="B573" s="139"/>
      <c r="C573" s="141"/>
      <c r="D573" s="141"/>
      <c r="E573" s="141"/>
      <c r="F573" s="141"/>
      <c r="G573" s="143"/>
      <c r="H573" s="26"/>
    </row>
    <row r="574" spans="1:8" ht="17.25" customHeight="1" x14ac:dyDescent="0.2">
      <c r="A574" s="26"/>
      <c r="B574" s="139"/>
      <c r="C574" s="141"/>
      <c r="D574" s="141"/>
      <c r="E574" s="141"/>
      <c r="F574" s="141"/>
      <c r="G574" s="143"/>
      <c r="H574" s="26"/>
    </row>
    <row r="575" spans="1:8" ht="17.25" customHeight="1" x14ac:dyDescent="0.2">
      <c r="A575" s="26"/>
      <c r="B575" s="139"/>
      <c r="C575" s="141"/>
      <c r="D575" s="141"/>
      <c r="E575" s="141"/>
      <c r="F575" s="141"/>
      <c r="G575" s="143"/>
      <c r="H575" s="26"/>
    </row>
    <row r="576" spans="1:8" ht="17.25" customHeight="1" x14ac:dyDescent="0.2">
      <c r="A576" s="26"/>
      <c r="B576" s="139"/>
      <c r="C576" s="141"/>
      <c r="D576" s="141"/>
      <c r="E576" s="141"/>
      <c r="F576" s="141"/>
      <c r="G576" s="143"/>
      <c r="H576" s="26"/>
    </row>
    <row r="577" spans="1:8" ht="17.25" customHeight="1" x14ac:dyDescent="0.2">
      <c r="A577" s="26"/>
      <c r="B577" s="139"/>
      <c r="C577" s="141"/>
      <c r="D577" s="141"/>
      <c r="E577" s="141"/>
      <c r="F577" s="141"/>
      <c r="G577" s="143"/>
      <c r="H577" s="26"/>
    </row>
    <row r="578" spans="1:8" ht="17.25" customHeight="1" x14ac:dyDescent="0.2">
      <c r="A578" s="26"/>
      <c r="B578" s="139"/>
      <c r="C578" s="141"/>
      <c r="D578" s="141"/>
      <c r="E578" s="141"/>
      <c r="F578" s="141"/>
      <c r="G578" s="143"/>
      <c r="H578" s="26"/>
    </row>
    <row r="579" spans="1:8" ht="17.25" customHeight="1" x14ac:dyDescent="0.2">
      <c r="A579" s="26"/>
      <c r="B579" s="139"/>
      <c r="C579" s="141"/>
      <c r="D579" s="141"/>
      <c r="E579" s="141"/>
      <c r="F579" s="141"/>
      <c r="G579" s="143"/>
      <c r="H579" s="26"/>
    </row>
    <row r="580" spans="1:8" ht="17.25" customHeight="1" x14ac:dyDescent="0.2">
      <c r="A580" s="26"/>
      <c r="B580" s="139"/>
      <c r="C580" s="141"/>
      <c r="D580" s="141"/>
      <c r="E580" s="141"/>
      <c r="F580" s="141"/>
      <c r="G580" s="143"/>
      <c r="H580" s="26"/>
    </row>
    <row r="581" spans="1:8" ht="17.25" customHeight="1" x14ac:dyDescent="0.2">
      <c r="A581" s="26"/>
      <c r="B581" s="139"/>
      <c r="C581" s="141"/>
      <c r="D581" s="141"/>
      <c r="E581" s="141"/>
      <c r="F581" s="141"/>
      <c r="G581" s="143"/>
      <c r="H581" s="26"/>
    </row>
    <row r="582" spans="1:8" ht="17.25" customHeight="1" x14ac:dyDescent="0.2">
      <c r="A582" s="26"/>
      <c r="B582" s="139"/>
      <c r="C582" s="141"/>
      <c r="D582" s="141"/>
      <c r="E582" s="141"/>
      <c r="F582" s="141"/>
      <c r="G582" s="143"/>
      <c r="H582" s="26"/>
    </row>
    <row r="583" spans="1:8" ht="17.25" customHeight="1" x14ac:dyDescent="0.2">
      <c r="A583" s="26"/>
      <c r="B583" s="139"/>
      <c r="C583" s="141"/>
      <c r="D583" s="141"/>
      <c r="E583" s="141"/>
      <c r="F583" s="141"/>
      <c r="G583" s="143"/>
      <c r="H583" s="26"/>
    </row>
    <row r="584" spans="1:8" ht="17.25" customHeight="1" x14ac:dyDescent="0.2">
      <c r="A584" s="26"/>
      <c r="B584" s="139"/>
      <c r="C584" s="141"/>
      <c r="D584" s="141"/>
      <c r="E584" s="141"/>
      <c r="F584" s="141"/>
      <c r="G584" s="143"/>
      <c r="H584" s="26"/>
    </row>
    <row r="585" spans="1:8" ht="17.25" customHeight="1" x14ac:dyDescent="0.2">
      <c r="A585" s="26"/>
      <c r="B585" s="139"/>
      <c r="C585" s="141"/>
      <c r="D585" s="141"/>
      <c r="E585" s="141"/>
      <c r="F585" s="141"/>
      <c r="G585" s="143"/>
      <c r="H585" s="26"/>
    </row>
    <row r="586" spans="1:8" ht="17.25" customHeight="1" x14ac:dyDescent="0.2">
      <c r="A586" s="26"/>
      <c r="B586" s="139"/>
      <c r="C586" s="141"/>
      <c r="D586" s="141"/>
      <c r="E586" s="141"/>
      <c r="F586" s="141"/>
      <c r="G586" s="143"/>
      <c r="H586" s="26"/>
    </row>
    <row r="587" spans="1:8" ht="17.25" customHeight="1" x14ac:dyDescent="0.2">
      <c r="A587" s="26"/>
      <c r="B587" s="139"/>
      <c r="C587" s="141"/>
      <c r="D587" s="141"/>
      <c r="E587" s="141"/>
      <c r="F587" s="141"/>
      <c r="G587" s="143"/>
      <c r="H587" s="26"/>
    </row>
    <row r="588" spans="1:8" ht="17.25" customHeight="1" x14ac:dyDescent="0.2">
      <c r="A588" s="26"/>
      <c r="B588" s="139"/>
      <c r="C588" s="141"/>
      <c r="D588" s="141"/>
      <c r="E588" s="141"/>
      <c r="F588" s="141"/>
      <c r="G588" s="143"/>
      <c r="H588" s="26"/>
    </row>
    <row r="589" spans="1:8" ht="17.25" customHeight="1" x14ac:dyDescent="0.2">
      <c r="A589" s="26"/>
      <c r="B589" s="139"/>
      <c r="C589" s="141"/>
      <c r="D589" s="141"/>
      <c r="E589" s="141"/>
      <c r="F589" s="141"/>
      <c r="G589" s="143"/>
      <c r="H589" s="26"/>
    </row>
    <row r="590" spans="1:8" ht="17.25" customHeight="1" x14ac:dyDescent="0.2">
      <c r="A590" s="26"/>
      <c r="B590" s="139"/>
      <c r="C590" s="141"/>
      <c r="D590" s="141"/>
      <c r="E590" s="141"/>
      <c r="F590" s="141"/>
      <c r="G590" s="143"/>
      <c r="H590" s="26"/>
    </row>
    <row r="591" spans="1:8" ht="17.25" customHeight="1" x14ac:dyDescent="0.2">
      <c r="A591" s="26"/>
      <c r="B591" s="139"/>
      <c r="C591" s="141"/>
      <c r="D591" s="141"/>
      <c r="E591" s="141"/>
      <c r="F591" s="141"/>
      <c r="G591" s="143"/>
      <c r="H591" s="26"/>
    </row>
    <row r="592" spans="1:8" ht="17.25" customHeight="1" x14ac:dyDescent="0.2">
      <c r="A592" s="26"/>
      <c r="B592" s="139"/>
      <c r="C592" s="141"/>
      <c r="D592" s="141"/>
      <c r="E592" s="141"/>
      <c r="F592" s="141"/>
      <c r="G592" s="143"/>
      <c r="H592" s="26"/>
    </row>
    <row r="593" spans="1:8" ht="17.25" customHeight="1" x14ac:dyDescent="0.2">
      <c r="A593" s="26"/>
      <c r="B593" s="139"/>
      <c r="C593" s="141"/>
      <c r="D593" s="141"/>
      <c r="E593" s="141"/>
      <c r="F593" s="141"/>
      <c r="G593" s="143"/>
      <c r="H593" s="26"/>
    </row>
    <row r="594" spans="1:8" ht="17.25" customHeight="1" x14ac:dyDescent="0.2">
      <c r="A594" s="26"/>
      <c r="B594" s="139"/>
      <c r="C594" s="141"/>
      <c r="D594" s="141"/>
      <c r="E594" s="141"/>
      <c r="F594" s="141"/>
      <c r="G594" s="143"/>
      <c r="H594" s="26"/>
    </row>
    <row r="595" spans="1:8" ht="17.25" customHeight="1" x14ac:dyDescent="0.2">
      <c r="A595" s="26"/>
      <c r="B595" s="139"/>
      <c r="C595" s="141"/>
      <c r="D595" s="141"/>
      <c r="E595" s="141"/>
      <c r="F595" s="141"/>
      <c r="G595" s="143"/>
      <c r="H595" s="26"/>
    </row>
    <row r="596" spans="1:8" ht="17.25" customHeight="1" x14ac:dyDescent="0.2">
      <c r="A596" s="26"/>
      <c r="B596" s="139"/>
      <c r="C596" s="141"/>
      <c r="D596" s="141"/>
      <c r="E596" s="141"/>
      <c r="F596" s="141"/>
      <c r="G596" s="143"/>
      <c r="H596" s="26"/>
    </row>
    <row r="597" spans="1:8" ht="17.25" customHeight="1" x14ac:dyDescent="0.2">
      <c r="A597" s="26"/>
      <c r="B597" s="139"/>
      <c r="C597" s="141"/>
      <c r="D597" s="141"/>
      <c r="E597" s="141"/>
      <c r="F597" s="141"/>
      <c r="G597" s="143"/>
      <c r="H597" s="26"/>
    </row>
    <row r="598" spans="1:8" ht="17.25" customHeight="1" x14ac:dyDescent="0.2">
      <c r="A598" s="26"/>
      <c r="B598" s="139"/>
      <c r="C598" s="141"/>
      <c r="D598" s="141"/>
      <c r="E598" s="141"/>
      <c r="F598" s="141"/>
      <c r="G598" s="143"/>
      <c r="H598" s="26"/>
    </row>
    <row r="599" spans="1:8" ht="17.25" customHeight="1" x14ac:dyDescent="0.2">
      <c r="A599" s="26"/>
      <c r="B599" s="139"/>
      <c r="C599" s="141"/>
      <c r="D599" s="141"/>
      <c r="E599" s="141"/>
      <c r="F599" s="141"/>
      <c r="G599" s="143"/>
      <c r="H599" s="26"/>
    </row>
    <row r="600" spans="1:8" ht="17.25" customHeight="1" x14ac:dyDescent="0.2">
      <c r="A600" s="26"/>
      <c r="B600" s="139"/>
      <c r="C600" s="141"/>
      <c r="D600" s="141"/>
      <c r="E600" s="141"/>
      <c r="F600" s="141"/>
      <c r="G600" s="143"/>
      <c r="H600" s="26"/>
    </row>
    <row r="601" spans="1:8" ht="17.25" customHeight="1" x14ac:dyDescent="0.2">
      <c r="A601" s="26"/>
      <c r="B601" s="139"/>
      <c r="C601" s="141"/>
      <c r="D601" s="141"/>
      <c r="E601" s="141"/>
      <c r="F601" s="141"/>
      <c r="G601" s="143"/>
      <c r="H601" s="26"/>
    </row>
    <row r="602" spans="1:8" ht="17.25" customHeight="1" x14ac:dyDescent="0.2">
      <c r="A602" s="26"/>
      <c r="B602" s="139"/>
      <c r="C602" s="141"/>
      <c r="D602" s="141"/>
      <c r="E602" s="141"/>
      <c r="F602" s="141"/>
      <c r="G602" s="143"/>
      <c r="H602" s="26"/>
    </row>
    <row r="603" spans="1:8" ht="17.25" customHeight="1" x14ac:dyDescent="0.2">
      <c r="A603" s="26"/>
      <c r="B603" s="139"/>
      <c r="C603" s="141"/>
      <c r="D603" s="141"/>
      <c r="E603" s="141"/>
      <c r="F603" s="141"/>
      <c r="G603" s="143"/>
      <c r="H603" s="26"/>
    </row>
    <row r="604" spans="1:8" ht="17.25" customHeight="1" x14ac:dyDescent="0.2">
      <c r="A604" s="26"/>
      <c r="B604" s="139"/>
      <c r="C604" s="141"/>
      <c r="D604" s="141"/>
      <c r="E604" s="141"/>
      <c r="F604" s="141"/>
      <c r="G604" s="143"/>
      <c r="H604" s="26"/>
    </row>
    <row r="605" spans="1:8" ht="17.25" customHeight="1" x14ac:dyDescent="0.2">
      <c r="A605" s="26"/>
      <c r="B605" s="139"/>
      <c r="C605" s="141"/>
      <c r="D605" s="141"/>
      <c r="E605" s="141"/>
      <c r="F605" s="141"/>
      <c r="G605" s="143"/>
      <c r="H605" s="26"/>
    </row>
    <row r="606" spans="1:8" ht="17.25" customHeight="1" x14ac:dyDescent="0.2">
      <c r="A606" s="26"/>
      <c r="B606" s="139"/>
      <c r="C606" s="141"/>
      <c r="D606" s="141"/>
      <c r="E606" s="141"/>
      <c r="F606" s="141"/>
      <c r="G606" s="143"/>
      <c r="H606" s="26"/>
    </row>
    <row r="607" spans="1:8" ht="17.25" customHeight="1" x14ac:dyDescent="0.2">
      <c r="A607" s="26"/>
      <c r="B607" s="139"/>
      <c r="C607" s="141"/>
      <c r="D607" s="141"/>
      <c r="E607" s="141"/>
      <c r="F607" s="141"/>
      <c r="G607" s="143"/>
      <c r="H607" s="26"/>
    </row>
    <row r="608" spans="1:8" ht="17.25" customHeight="1" x14ac:dyDescent="0.2">
      <c r="A608" s="26"/>
      <c r="B608" s="139"/>
      <c r="C608" s="141"/>
      <c r="D608" s="141"/>
      <c r="E608" s="141"/>
      <c r="F608" s="141"/>
      <c r="G608" s="143"/>
      <c r="H608" s="26"/>
    </row>
    <row r="609" spans="1:8" ht="17.25" customHeight="1" x14ac:dyDescent="0.2">
      <c r="A609" s="26"/>
      <c r="B609" s="139"/>
      <c r="C609" s="141"/>
      <c r="D609" s="141"/>
      <c r="E609" s="141"/>
      <c r="F609" s="141"/>
      <c r="G609" s="143"/>
      <c r="H609" s="26"/>
    </row>
    <row r="610" spans="1:8" ht="17.25" customHeight="1" x14ac:dyDescent="0.2">
      <c r="A610" s="26"/>
      <c r="B610" s="139"/>
      <c r="C610" s="141"/>
      <c r="D610" s="141"/>
      <c r="E610" s="141"/>
      <c r="F610" s="141"/>
      <c r="G610" s="143"/>
      <c r="H610" s="26"/>
    </row>
    <row r="611" spans="1:8" ht="17.25" customHeight="1" x14ac:dyDescent="0.2">
      <c r="A611" s="26"/>
      <c r="B611" s="139"/>
      <c r="C611" s="141"/>
      <c r="D611" s="141"/>
      <c r="E611" s="141"/>
      <c r="F611" s="141"/>
      <c r="G611" s="143"/>
      <c r="H611" s="26"/>
    </row>
    <row r="612" spans="1:8" ht="17.25" customHeight="1" x14ac:dyDescent="0.2">
      <c r="A612" s="26"/>
      <c r="B612" s="139"/>
      <c r="C612" s="141"/>
      <c r="D612" s="141"/>
      <c r="E612" s="141"/>
      <c r="F612" s="141"/>
      <c r="G612" s="143"/>
      <c r="H612" s="26"/>
    </row>
    <row r="613" spans="1:8" ht="17.25" customHeight="1" x14ac:dyDescent="0.2">
      <c r="A613" s="26"/>
      <c r="B613" s="139"/>
      <c r="C613" s="141"/>
      <c r="D613" s="141"/>
      <c r="E613" s="141"/>
      <c r="F613" s="141"/>
      <c r="G613" s="143"/>
      <c r="H613" s="26"/>
    </row>
    <row r="614" spans="1:8" ht="17.25" customHeight="1" x14ac:dyDescent="0.2">
      <c r="A614" s="26"/>
      <c r="B614" s="139"/>
      <c r="C614" s="141"/>
      <c r="D614" s="141"/>
      <c r="E614" s="141"/>
      <c r="F614" s="141"/>
      <c r="G614" s="143"/>
      <c r="H614" s="26"/>
    </row>
    <row r="615" spans="1:8" ht="17.25" customHeight="1" x14ac:dyDescent="0.2">
      <c r="A615" s="26"/>
      <c r="B615" s="139"/>
      <c r="C615" s="141"/>
      <c r="D615" s="141"/>
      <c r="E615" s="141"/>
      <c r="F615" s="141"/>
      <c r="G615" s="143"/>
      <c r="H615" s="26"/>
    </row>
    <row r="616" spans="1:8" ht="17.25" customHeight="1" x14ac:dyDescent="0.2">
      <c r="A616" s="26"/>
      <c r="B616" s="139"/>
      <c r="C616" s="141"/>
      <c r="D616" s="141"/>
      <c r="E616" s="141"/>
      <c r="F616" s="141"/>
      <c r="G616" s="143"/>
      <c r="H616" s="26"/>
    </row>
    <row r="617" spans="1:8" ht="17.25" customHeight="1" x14ac:dyDescent="0.2">
      <c r="A617" s="26"/>
      <c r="B617" s="139"/>
      <c r="C617" s="141"/>
      <c r="D617" s="141"/>
      <c r="E617" s="141"/>
      <c r="F617" s="141"/>
      <c r="G617" s="143"/>
      <c r="H617" s="26"/>
    </row>
    <row r="618" spans="1:8" ht="17.25" customHeight="1" x14ac:dyDescent="0.2">
      <c r="A618" s="26"/>
      <c r="B618" s="139"/>
      <c r="C618" s="141"/>
      <c r="D618" s="141"/>
      <c r="E618" s="141"/>
      <c r="F618" s="141"/>
      <c r="G618" s="143"/>
      <c r="H618" s="26"/>
    </row>
    <row r="619" spans="1:8" ht="17.25" customHeight="1" x14ac:dyDescent="0.2">
      <c r="A619" s="26"/>
      <c r="B619" s="139"/>
      <c r="C619" s="141"/>
      <c r="D619" s="141"/>
      <c r="E619" s="141"/>
      <c r="F619" s="141"/>
      <c r="G619" s="143"/>
      <c r="H619" s="26"/>
    </row>
    <row r="620" spans="1:8" ht="17.25" customHeight="1" x14ac:dyDescent="0.2">
      <c r="A620" s="26"/>
      <c r="B620" s="139"/>
      <c r="C620" s="141"/>
      <c r="D620" s="141"/>
      <c r="E620" s="141"/>
      <c r="F620" s="141"/>
      <c r="G620" s="143"/>
      <c r="H620" s="26"/>
    </row>
    <row r="621" spans="1:8" ht="17.25" customHeight="1" x14ac:dyDescent="0.2">
      <c r="A621" s="26"/>
      <c r="B621" s="139"/>
      <c r="C621" s="141"/>
      <c r="D621" s="141"/>
      <c r="E621" s="141"/>
      <c r="F621" s="141"/>
      <c r="G621" s="143"/>
      <c r="H621" s="26"/>
    </row>
    <row r="622" spans="1:8" ht="17.25" customHeight="1" x14ac:dyDescent="0.2">
      <c r="A622" s="26"/>
      <c r="B622" s="139"/>
      <c r="C622" s="141"/>
      <c r="D622" s="141"/>
      <c r="E622" s="141"/>
      <c r="F622" s="141"/>
      <c r="G622" s="143"/>
      <c r="H622" s="26"/>
    </row>
    <row r="623" spans="1:8" ht="17.25" customHeight="1" x14ac:dyDescent="0.2">
      <c r="A623" s="26"/>
      <c r="B623" s="139"/>
      <c r="C623" s="141"/>
      <c r="D623" s="141"/>
      <c r="E623" s="141"/>
      <c r="F623" s="141"/>
      <c r="G623" s="143"/>
      <c r="H623" s="26"/>
    </row>
    <row r="624" spans="1:8" ht="17.25" customHeight="1" x14ac:dyDescent="0.2">
      <c r="A624" s="26"/>
      <c r="B624" s="139"/>
      <c r="C624" s="141"/>
      <c r="D624" s="141"/>
      <c r="E624" s="141"/>
      <c r="F624" s="141"/>
      <c r="G624" s="143"/>
      <c r="H624" s="26"/>
    </row>
    <row r="625" spans="1:8" ht="17.25" customHeight="1" x14ac:dyDescent="0.2">
      <c r="A625" s="26"/>
      <c r="B625" s="139"/>
      <c r="C625" s="141"/>
      <c r="D625" s="141"/>
      <c r="E625" s="141"/>
      <c r="F625" s="141"/>
      <c r="G625" s="143"/>
      <c r="H625" s="26"/>
    </row>
    <row r="626" spans="1:8" ht="17.25" customHeight="1" x14ac:dyDescent="0.2">
      <c r="A626" s="26"/>
      <c r="B626" s="139"/>
      <c r="C626" s="141"/>
      <c r="D626" s="141"/>
      <c r="E626" s="141"/>
      <c r="F626" s="141"/>
      <c r="G626" s="143"/>
      <c r="H626" s="26"/>
    </row>
    <row r="627" spans="1:8" ht="17.25" customHeight="1" x14ac:dyDescent="0.2">
      <c r="A627" s="26"/>
      <c r="B627" s="139"/>
      <c r="C627" s="141"/>
      <c r="D627" s="141"/>
      <c r="E627" s="141"/>
      <c r="F627" s="141"/>
      <c r="G627" s="143"/>
      <c r="H627" s="26"/>
    </row>
    <row r="628" spans="1:8" ht="17.25" customHeight="1" x14ac:dyDescent="0.2">
      <c r="A628" s="26"/>
      <c r="B628" s="139"/>
      <c r="C628" s="141"/>
      <c r="D628" s="141"/>
      <c r="E628" s="141"/>
      <c r="F628" s="141"/>
      <c r="G628" s="143"/>
      <c r="H628" s="26"/>
    </row>
    <row r="629" spans="1:8" ht="17.25" customHeight="1" x14ac:dyDescent="0.2">
      <c r="A629" s="26"/>
      <c r="B629" s="139"/>
      <c r="C629" s="141"/>
      <c r="D629" s="141"/>
      <c r="E629" s="141"/>
      <c r="F629" s="141"/>
      <c r="G629" s="143"/>
      <c r="H629" s="26"/>
    </row>
    <row r="630" spans="1:8" ht="17.25" customHeight="1" x14ac:dyDescent="0.2">
      <c r="A630" s="26"/>
      <c r="B630" s="139"/>
      <c r="C630" s="141"/>
      <c r="D630" s="141"/>
      <c r="E630" s="141"/>
      <c r="F630" s="141"/>
      <c r="G630" s="143"/>
      <c r="H630" s="26"/>
    </row>
    <row r="631" spans="1:8" ht="17.25" customHeight="1" x14ac:dyDescent="0.2">
      <c r="A631" s="26"/>
      <c r="B631" s="139"/>
      <c r="C631" s="141"/>
      <c r="D631" s="141"/>
      <c r="E631" s="141"/>
      <c r="F631" s="141"/>
      <c r="G631" s="143"/>
      <c r="H631" s="26"/>
    </row>
    <row r="632" spans="1:8" ht="17.25" customHeight="1" x14ac:dyDescent="0.2">
      <c r="A632" s="26"/>
      <c r="B632" s="139"/>
      <c r="C632" s="141"/>
      <c r="D632" s="141"/>
      <c r="E632" s="141"/>
      <c r="F632" s="141"/>
      <c r="G632" s="143"/>
      <c r="H632" s="26"/>
    </row>
    <row r="633" spans="1:8" ht="17.25" customHeight="1" x14ac:dyDescent="0.2">
      <c r="A633" s="26"/>
      <c r="B633" s="139"/>
      <c r="C633" s="141"/>
      <c r="D633" s="141"/>
      <c r="E633" s="141"/>
      <c r="F633" s="141"/>
      <c r="G633" s="143"/>
      <c r="H633" s="26"/>
    </row>
    <row r="634" spans="1:8" ht="17.25" customHeight="1" x14ac:dyDescent="0.2">
      <c r="A634" s="26"/>
      <c r="B634" s="139"/>
      <c r="C634" s="141"/>
      <c r="D634" s="141"/>
      <c r="E634" s="141"/>
      <c r="F634" s="141"/>
      <c r="G634" s="143"/>
      <c r="H634" s="26"/>
    </row>
    <row r="635" spans="1:8" ht="17.25" customHeight="1" x14ac:dyDescent="0.2">
      <c r="A635" s="26"/>
      <c r="B635" s="139"/>
      <c r="C635" s="141"/>
      <c r="D635" s="141"/>
      <c r="E635" s="141"/>
      <c r="F635" s="141"/>
      <c r="G635" s="143"/>
      <c r="H635" s="26"/>
    </row>
    <row r="636" spans="1:8" ht="17.25" customHeight="1" x14ac:dyDescent="0.2">
      <c r="A636" s="26"/>
      <c r="B636" s="139"/>
      <c r="C636" s="141"/>
      <c r="D636" s="141"/>
      <c r="E636" s="141"/>
      <c r="F636" s="141"/>
      <c r="G636" s="143"/>
      <c r="H636" s="26"/>
    </row>
    <row r="637" spans="1:8" ht="17.25" customHeight="1" x14ac:dyDescent="0.2">
      <c r="A637" s="26"/>
      <c r="B637" s="139"/>
      <c r="C637" s="141"/>
      <c r="D637" s="141"/>
      <c r="E637" s="141"/>
      <c r="F637" s="141"/>
      <c r="G637" s="143"/>
      <c r="H637" s="26"/>
    </row>
    <row r="638" spans="1:8" ht="17.25" customHeight="1" x14ac:dyDescent="0.2">
      <c r="A638" s="26"/>
      <c r="B638" s="139"/>
      <c r="C638" s="141"/>
      <c r="D638" s="141"/>
      <c r="E638" s="141"/>
      <c r="F638" s="141"/>
      <c r="G638" s="143"/>
      <c r="H638" s="26"/>
    </row>
    <row r="639" spans="1:8" ht="17.25" customHeight="1" x14ac:dyDescent="0.2">
      <c r="A639" s="26"/>
      <c r="B639" s="139"/>
      <c r="C639" s="141"/>
      <c r="D639" s="141"/>
      <c r="E639" s="141"/>
      <c r="F639" s="141"/>
      <c r="G639" s="143"/>
      <c r="H639" s="26"/>
    </row>
    <row r="640" spans="1:8" ht="17.25" customHeight="1" x14ac:dyDescent="0.2">
      <c r="A640" s="26"/>
      <c r="B640" s="139"/>
      <c r="C640" s="141"/>
      <c r="D640" s="141"/>
      <c r="E640" s="141"/>
      <c r="F640" s="141"/>
      <c r="G640" s="143"/>
      <c r="H640" s="26"/>
    </row>
    <row r="641" spans="1:8" ht="17.25" customHeight="1" x14ac:dyDescent="0.2">
      <c r="A641" s="26"/>
      <c r="B641" s="139"/>
      <c r="C641" s="141"/>
      <c r="D641" s="141"/>
      <c r="E641" s="141"/>
      <c r="F641" s="141"/>
      <c r="G641" s="143"/>
      <c r="H641" s="26"/>
    </row>
    <row r="642" spans="1:8" ht="17.25" customHeight="1" x14ac:dyDescent="0.2">
      <c r="A642" s="26"/>
      <c r="B642" s="139"/>
      <c r="C642" s="141"/>
      <c r="D642" s="141"/>
      <c r="E642" s="141"/>
      <c r="F642" s="141"/>
      <c r="G642" s="143"/>
      <c r="H642" s="26"/>
    </row>
    <row r="643" spans="1:8" ht="17.25" customHeight="1" x14ac:dyDescent="0.2">
      <c r="A643" s="26"/>
      <c r="B643" s="139"/>
      <c r="C643" s="141"/>
      <c r="D643" s="141"/>
      <c r="E643" s="141"/>
      <c r="F643" s="141"/>
      <c r="G643" s="143"/>
      <c r="H643" s="26"/>
    </row>
    <row r="644" spans="1:8" ht="17.25" customHeight="1" x14ac:dyDescent="0.2">
      <c r="A644" s="26"/>
      <c r="B644" s="139"/>
      <c r="C644" s="141"/>
      <c r="D644" s="141"/>
      <c r="E644" s="141"/>
      <c r="F644" s="141"/>
      <c r="G644" s="143"/>
      <c r="H644" s="26"/>
    </row>
    <row r="645" spans="1:8" ht="17.25" customHeight="1" x14ac:dyDescent="0.2">
      <c r="A645" s="26"/>
      <c r="B645" s="139"/>
      <c r="C645" s="141"/>
      <c r="D645" s="141"/>
      <c r="E645" s="141"/>
      <c r="F645" s="141"/>
      <c r="G645" s="143"/>
      <c r="H645" s="26"/>
    </row>
    <row r="646" spans="1:8" ht="17.25" customHeight="1" x14ac:dyDescent="0.2">
      <c r="A646" s="26"/>
      <c r="B646" s="139"/>
      <c r="C646" s="141"/>
      <c r="D646" s="141"/>
      <c r="E646" s="141"/>
      <c r="F646" s="141"/>
      <c r="G646" s="143"/>
      <c r="H646" s="26"/>
    </row>
    <row r="647" spans="1:8" ht="17.25" customHeight="1" x14ac:dyDescent="0.2">
      <c r="A647" s="26"/>
      <c r="B647" s="139"/>
      <c r="C647" s="141"/>
      <c r="D647" s="141"/>
      <c r="E647" s="141"/>
      <c r="F647" s="141"/>
      <c r="G647" s="143"/>
      <c r="H647" s="26"/>
    </row>
    <row r="648" spans="1:8" ht="17.25" customHeight="1" x14ac:dyDescent="0.2">
      <c r="A648" s="26"/>
      <c r="B648" s="139"/>
      <c r="C648" s="141"/>
      <c r="D648" s="141"/>
      <c r="E648" s="141"/>
      <c r="F648" s="141"/>
      <c r="G648" s="143"/>
      <c r="H648" s="26"/>
    </row>
    <row r="649" spans="1:8" ht="17.25" customHeight="1" x14ac:dyDescent="0.2">
      <c r="A649" s="26"/>
      <c r="B649" s="139"/>
      <c r="C649" s="141"/>
      <c r="D649" s="141"/>
      <c r="E649" s="141"/>
      <c r="F649" s="141"/>
      <c r="G649" s="143"/>
      <c r="H649" s="26"/>
    </row>
    <row r="650" spans="1:8" ht="17.25" customHeight="1" x14ac:dyDescent="0.2">
      <c r="A650" s="26"/>
      <c r="B650" s="139"/>
      <c r="C650" s="141"/>
      <c r="D650" s="141"/>
      <c r="E650" s="141"/>
      <c r="F650" s="141"/>
      <c r="G650" s="143"/>
      <c r="H650" s="26"/>
    </row>
    <row r="651" spans="1:8" ht="17.25" customHeight="1" x14ac:dyDescent="0.2">
      <c r="A651" s="26"/>
      <c r="B651" s="139"/>
      <c r="C651" s="141"/>
      <c r="D651" s="141"/>
      <c r="E651" s="141"/>
      <c r="F651" s="141"/>
      <c r="G651" s="143"/>
      <c r="H651" s="26"/>
    </row>
    <row r="652" spans="1:8" ht="17.25" customHeight="1" x14ac:dyDescent="0.2">
      <c r="A652" s="26"/>
      <c r="B652" s="139"/>
      <c r="C652" s="141"/>
      <c r="D652" s="141"/>
      <c r="E652" s="141"/>
      <c r="F652" s="141"/>
      <c r="G652" s="143"/>
      <c r="H652" s="26"/>
    </row>
    <row r="653" spans="1:8" ht="17.25" customHeight="1" x14ac:dyDescent="0.2">
      <c r="A653" s="26"/>
      <c r="B653" s="139"/>
      <c r="C653" s="141"/>
      <c r="D653" s="141"/>
      <c r="E653" s="141"/>
      <c r="F653" s="141"/>
      <c r="G653" s="143"/>
      <c r="H653" s="26"/>
    </row>
    <row r="654" spans="1:8" ht="17.25" customHeight="1" x14ac:dyDescent="0.2">
      <c r="A654" s="26"/>
      <c r="B654" s="139"/>
      <c r="C654" s="141"/>
      <c r="D654" s="141"/>
      <c r="E654" s="141"/>
      <c r="F654" s="141"/>
      <c r="G654" s="143"/>
      <c r="H654" s="26"/>
    </row>
    <row r="655" spans="1:8" ht="17.25" customHeight="1" x14ac:dyDescent="0.2">
      <c r="A655" s="26"/>
      <c r="B655" s="139"/>
      <c r="C655" s="141"/>
      <c r="D655" s="141"/>
      <c r="E655" s="141"/>
      <c r="F655" s="141"/>
      <c r="G655" s="143"/>
      <c r="H655" s="26"/>
    </row>
    <row r="656" spans="1:8" ht="17.25" customHeight="1" x14ac:dyDescent="0.2">
      <c r="A656" s="26"/>
      <c r="B656" s="139"/>
      <c r="C656" s="141"/>
      <c r="D656" s="141"/>
      <c r="E656" s="141"/>
      <c r="F656" s="141"/>
      <c r="G656" s="143"/>
      <c r="H656" s="26"/>
    </row>
    <row r="657" spans="1:8" ht="17.25" customHeight="1" x14ac:dyDescent="0.2">
      <c r="A657" s="26"/>
      <c r="B657" s="139"/>
      <c r="C657" s="141"/>
      <c r="D657" s="141"/>
      <c r="E657" s="141"/>
      <c r="F657" s="141"/>
      <c r="G657" s="143"/>
      <c r="H657" s="26"/>
    </row>
    <row r="658" spans="1:8" ht="17.25" customHeight="1" x14ac:dyDescent="0.2">
      <c r="A658" s="26"/>
      <c r="B658" s="139"/>
      <c r="C658" s="141"/>
      <c r="D658" s="141"/>
      <c r="E658" s="141"/>
      <c r="F658" s="141"/>
      <c r="G658" s="143"/>
      <c r="H658" s="26"/>
    </row>
    <row r="659" spans="1:8" ht="17.25" customHeight="1" x14ac:dyDescent="0.2">
      <c r="A659" s="26"/>
      <c r="B659" s="139"/>
      <c r="C659" s="141"/>
      <c r="D659" s="141"/>
      <c r="E659" s="141"/>
      <c r="F659" s="141"/>
      <c r="G659" s="143"/>
      <c r="H659" s="26"/>
    </row>
    <row r="660" spans="1:8" ht="17.25" customHeight="1" x14ac:dyDescent="0.2">
      <c r="A660" s="26"/>
      <c r="B660" s="139"/>
      <c r="C660" s="141"/>
      <c r="D660" s="141"/>
      <c r="E660" s="141"/>
      <c r="F660" s="141"/>
      <c r="G660" s="143"/>
      <c r="H660" s="26"/>
    </row>
    <row r="661" spans="1:8" ht="17.25" customHeight="1" x14ac:dyDescent="0.2">
      <c r="A661" s="26"/>
      <c r="B661" s="139"/>
      <c r="C661" s="141"/>
      <c r="D661" s="141"/>
      <c r="E661" s="141"/>
      <c r="F661" s="141"/>
      <c r="G661" s="143"/>
      <c r="H661" s="26"/>
    </row>
    <row r="662" spans="1:8" ht="17.25" customHeight="1" x14ac:dyDescent="0.2">
      <c r="A662" s="26"/>
      <c r="B662" s="139"/>
      <c r="C662" s="141"/>
      <c r="D662" s="141"/>
      <c r="E662" s="141"/>
      <c r="F662" s="141"/>
      <c r="G662" s="143"/>
      <c r="H662" s="26"/>
    </row>
    <row r="663" spans="1:8" ht="17.25" customHeight="1" x14ac:dyDescent="0.2">
      <c r="A663" s="26"/>
      <c r="B663" s="139"/>
      <c r="C663" s="141"/>
      <c r="D663" s="141"/>
      <c r="E663" s="141"/>
      <c r="F663" s="141"/>
      <c r="G663" s="143"/>
      <c r="H663" s="26"/>
    </row>
    <row r="664" spans="1:8" ht="17.25" customHeight="1" x14ac:dyDescent="0.2">
      <c r="A664" s="26"/>
      <c r="B664" s="139"/>
      <c r="C664" s="141"/>
      <c r="D664" s="141"/>
      <c r="E664" s="141"/>
      <c r="F664" s="141"/>
      <c r="G664" s="143"/>
      <c r="H664" s="26"/>
    </row>
    <row r="665" spans="1:8" ht="17.25" customHeight="1" x14ac:dyDescent="0.2">
      <c r="A665" s="26"/>
      <c r="B665" s="139"/>
      <c r="C665" s="141"/>
      <c r="D665" s="141"/>
      <c r="E665" s="141"/>
      <c r="F665" s="141"/>
      <c r="G665" s="143"/>
      <c r="H665" s="26"/>
    </row>
    <row r="666" spans="1:8" ht="17.25" customHeight="1" x14ac:dyDescent="0.2">
      <c r="A666" s="26"/>
      <c r="B666" s="139"/>
      <c r="C666" s="141"/>
      <c r="D666" s="141"/>
      <c r="E666" s="141"/>
      <c r="F666" s="141"/>
      <c r="G666" s="143"/>
      <c r="H666" s="26"/>
    </row>
    <row r="667" spans="1:8" ht="17.25" customHeight="1" x14ac:dyDescent="0.2">
      <c r="A667" s="26"/>
      <c r="B667" s="139"/>
      <c r="C667" s="141"/>
      <c r="D667" s="141"/>
      <c r="E667" s="141"/>
      <c r="F667" s="141"/>
      <c r="G667" s="143"/>
      <c r="H667" s="26"/>
    </row>
    <row r="668" spans="1:8" ht="17.25" customHeight="1" x14ac:dyDescent="0.2">
      <c r="A668" s="26"/>
      <c r="B668" s="139"/>
      <c r="C668" s="141"/>
      <c r="D668" s="141"/>
      <c r="E668" s="141"/>
      <c r="F668" s="141"/>
      <c r="G668" s="143"/>
      <c r="H668" s="26"/>
    </row>
    <row r="669" spans="1:8" ht="17.25" customHeight="1" x14ac:dyDescent="0.2">
      <c r="A669" s="26"/>
      <c r="B669" s="139"/>
      <c r="C669" s="141"/>
      <c r="D669" s="141"/>
      <c r="E669" s="141"/>
      <c r="F669" s="141"/>
      <c r="G669" s="143"/>
      <c r="H669" s="26"/>
    </row>
    <row r="670" spans="1:8" ht="17.25" customHeight="1" x14ac:dyDescent="0.2">
      <c r="A670" s="26"/>
      <c r="B670" s="139"/>
      <c r="C670" s="141"/>
      <c r="D670" s="141"/>
      <c r="E670" s="141"/>
      <c r="F670" s="141"/>
      <c r="G670" s="143"/>
      <c r="H670" s="26"/>
    </row>
    <row r="671" spans="1:8" ht="17.25" customHeight="1" x14ac:dyDescent="0.2">
      <c r="A671" s="26"/>
      <c r="B671" s="139"/>
      <c r="C671" s="141"/>
      <c r="D671" s="141"/>
      <c r="E671" s="141"/>
      <c r="F671" s="141"/>
      <c r="G671" s="143"/>
      <c r="H671" s="26"/>
    </row>
    <row r="672" spans="1:8" ht="17.25" customHeight="1" x14ac:dyDescent="0.2">
      <c r="A672" s="26"/>
      <c r="B672" s="139"/>
      <c r="C672" s="141"/>
      <c r="D672" s="141"/>
      <c r="E672" s="141"/>
      <c r="F672" s="141"/>
      <c r="G672" s="143"/>
      <c r="H672" s="26"/>
    </row>
    <row r="673" spans="1:8" ht="17.25" customHeight="1" x14ac:dyDescent="0.2">
      <c r="A673" s="26"/>
      <c r="B673" s="139"/>
      <c r="C673" s="141"/>
      <c r="D673" s="141"/>
      <c r="E673" s="141"/>
      <c r="F673" s="141"/>
      <c r="G673" s="143"/>
      <c r="H673" s="26"/>
    </row>
    <row r="674" spans="1:8" ht="17.25" customHeight="1" x14ac:dyDescent="0.2">
      <c r="A674" s="26"/>
      <c r="B674" s="139"/>
      <c r="C674" s="141"/>
      <c r="D674" s="141"/>
      <c r="E674" s="141"/>
      <c r="F674" s="141"/>
      <c r="G674" s="143"/>
      <c r="H674" s="26"/>
    </row>
    <row r="675" spans="1:8" ht="17.25" customHeight="1" x14ac:dyDescent="0.2">
      <c r="A675" s="26"/>
      <c r="B675" s="139"/>
      <c r="C675" s="141"/>
      <c r="D675" s="141"/>
      <c r="E675" s="141"/>
      <c r="F675" s="141"/>
      <c r="G675" s="143"/>
      <c r="H675" s="26"/>
    </row>
    <row r="676" spans="1:8" ht="17.25" customHeight="1" x14ac:dyDescent="0.2">
      <c r="A676" s="26"/>
      <c r="B676" s="139"/>
      <c r="C676" s="141"/>
      <c r="D676" s="141"/>
      <c r="E676" s="141"/>
      <c r="F676" s="141"/>
      <c r="G676" s="143"/>
      <c r="H676" s="26"/>
    </row>
    <row r="677" spans="1:8" ht="17.25" customHeight="1" x14ac:dyDescent="0.2">
      <c r="A677" s="26"/>
      <c r="B677" s="139"/>
      <c r="C677" s="141"/>
      <c r="D677" s="141"/>
      <c r="E677" s="141"/>
      <c r="F677" s="141"/>
      <c r="G677" s="143"/>
      <c r="H677" s="26"/>
    </row>
    <row r="678" spans="1:8" ht="17.25" customHeight="1" x14ac:dyDescent="0.2">
      <c r="A678" s="26"/>
      <c r="B678" s="139"/>
      <c r="C678" s="141"/>
      <c r="D678" s="141"/>
      <c r="E678" s="141"/>
      <c r="F678" s="141"/>
      <c r="G678" s="143"/>
      <c r="H678" s="26"/>
    </row>
    <row r="679" spans="1:8" ht="17.25" customHeight="1" x14ac:dyDescent="0.2">
      <c r="A679" s="26"/>
      <c r="B679" s="139"/>
      <c r="C679" s="141"/>
      <c r="D679" s="141"/>
      <c r="E679" s="141"/>
      <c r="F679" s="141"/>
      <c r="G679" s="143"/>
      <c r="H679" s="26"/>
    </row>
    <row r="680" spans="1:8" ht="17.25" customHeight="1" x14ac:dyDescent="0.2">
      <c r="A680" s="26"/>
      <c r="B680" s="139"/>
      <c r="C680" s="141"/>
      <c r="D680" s="141"/>
      <c r="E680" s="141"/>
      <c r="F680" s="141"/>
      <c r="G680" s="143"/>
      <c r="H680" s="26"/>
    </row>
    <row r="681" spans="1:8" ht="17.25" customHeight="1" x14ac:dyDescent="0.2">
      <c r="A681" s="26"/>
      <c r="B681" s="139"/>
      <c r="C681" s="141"/>
      <c r="D681" s="141"/>
      <c r="E681" s="141"/>
      <c r="F681" s="141"/>
      <c r="G681" s="143"/>
      <c r="H681" s="26"/>
    </row>
    <row r="682" spans="1:8" ht="17.25" customHeight="1" x14ac:dyDescent="0.2">
      <c r="A682" s="26"/>
      <c r="B682" s="139"/>
      <c r="C682" s="141"/>
      <c r="D682" s="141"/>
      <c r="E682" s="141"/>
      <c r="F682" s="141"/>
      <c r="G682" s="143"/>
      <c r="H682" s="26"/>
    </row>
    <row r="683" spans="1:8" ht="17.25" customHeight="1" x14ac:dyDescent="0.2">
      <c r="A683" s="26"/>
      <c r="B683" s="139"/>
      <c r="C683" s="141"/>
      <c r="D683" s="141"/>
      <c r="E683" s="141"/>
      <c r="F683" s="141"/>
      <c r="G683" s="143"/>
      <c r="H683" s="26"/>
    </row>
    <row r="684" spans="1:8" ht="17.25" customHeight="1" x14ac:dyDescent="0.2">
      <c r="A684" s="26"/>
      <c r="B684" s="139"/>
      <c r="C684" s="141"/>
      <c r="D684" s="141"/>
      <c r="E684" s="141"/>
      <c r="F684" s="141"/>
      <c r="G684" s="143"/>
      <c r="H684" s="26"/>
    </row>
    <row r="685" spans="1:8" ht="17.25" customHeight="1" x14ac:dyDescent="0.2">
      <c r="A685" s="26"/>
      <c r="B685" s="139"/>
      <c r="C685" s="141"/>
      <c r="D685" s="141"/>
      <c r="E685" s="141"/>
      <c r="F685" s="141"/>
      <c r="G685" s="143"/>
      <c r="H685" s="26"/>
    </row>
    <row r="686" spans="1:8" ht="17.25" customHeight="1" x14ac:dyDescent="0.2">
      <c r="A686" s="26"/>
      <c r="B686" s="139"/>
      <c r="C686" s="141"/>
      <c r="D686" s="141"/>
      <c r="E686" s="141"/>
      <c r="F686" s="141"/>
      <c r="G686" s="143"/>
      <c r="H686" s="26"/>
    </row>
    <row r="687" spans="1:8" ht="17.25" customHeight="1" x14ac:dyDescent="0.2">
      <c r="A687" s="26"/>
      <c r="B687" s="139"/>
      <c r="C687" s="141"/>
      <c r="D687" s="141"/>
      <c r="E687" s="141"/>
      <c r="F687" s="141"/>
      <c r="G687" s="143"/>
      <c r="H687" s="26"/>
    </row>
    <row r="688" spans="1:8" ht="17.25" customHeight="1" x14ac:dyDescent="0.2">
      <c r="A688" s="26"/>
      <c r="B688" s="139"/>
      <c r="C688" s="141"/>
      <c r="D688" s="141"/>
      <c r="E688" s="141"/>
      <c r="F688" s="141"/>
      <c r="G688" s="143"/>
      <c r="H688" s="26"/>
    </row>
    <row r="689" spans="1:8" ht="17.25" customHeight="1" x14ac:dyDescent="0.2">
      <c r="A689" s="26"/>
      <c r="B689" s="139"/>
      <c r="C689" s="141"/>
      <c r="D689" s="141"/>
      <c r="E689" s="141"/>
      <c r="F689" s="141"/>
      <c r="G689" s="143"/>
      <c r="H689" s="26"/>
    </row>
    <row r="690" spans="1:8" ht="17.25" customHeight="1" x14ac:dyDescent="0.2">
      <c r="A690" s="26"/>
      <c r="B690" s="139"/>
      <c r="C690" s="141"/>
      <c r="D690" s="141"/>
      <c r="E690" s="141"/>
      <c r="F690" s="141"/>
      <c r="G690" s="143"/>
      <c r="H690" s="26"/>
    </row>
    <row r="691" spans="1:8" ht="17.25" customHeight="1" x14ac:dyDescent="0.2">
      <c r="A691" s="26"/>
      <c r="B691" s="139"/>
      <c r="C691" s="141"/>
      <c r="D691" s="141"/>
      <c r="E691" s="141"/>
      <c r="F691" s="141"/>
      <c r="G691" s="143"/>
      <c r="H691" s="26"/>
    </row>
    <row r="692" spans="1:8" ht="17.25" customHeight="1" x14ac:dyDescent="0.2">
      <c r="A692" s="26"/>
      <c r="B692" s="139"/>
      <c r="C692" s="141"/>
      <c r="D692" s="141"/>
      <c r="E692" s="141"/>
      <c r="F692" s="141"/>
      <c r="G692" s="143"/>
      <c r="H692" s="26"/>
    </row>
    <row r="693" spans="1:8" ht="17.25" customHeight="1" x14ac:dyDescent="0.2">
      <c r="A693" s="26"/>
      <c r="B693" s="139"/>
      <c r="C693" s="141"/>
      <c r="D693" s="141"/>
      <c r="E693" s="141"/>
      <c r="F693" s="141"/>
      <c r="G693" s="143"/>
      <c r="H693" s="26"/>
    </row>
    <row r="694" spans="1:8" ht="17.25" customHeight="1" x14ac:dyDescent="0.2">
      <c r="A694" s="26"/>
      <c r="B694" s="139"/>
      <c r="C694" s="141"/>
      <c r="D694" s="141"/>
      <c r="E694" s="141"/>
      <c r="F694" s="141"/>
      <c r="G694" s="143"/>
      <c r="H694" s="26"/>
    </row>
    <row r="695" spans="1:8" ht="17.25" customHeight="1" x14ac:dyDescent="0.2">
      <c r="A695" s="26"/>
      <c r="B695" s="139"/>
      <c r="C695" s="141"/>
      <c r="D695" s="141"/>
      <c r="E695" s="141"/>
      <c r="F695" s="141"/>
      <c r="G695" s="143"/>
      <c r="H695" s="26"/>
    </row>
    <row r="696" spans="1:8" ht="17.25" customHeight="1" x14ac:dyDescent="0.2">
      <c r="A696" s="26"/>
      <c r="B696" s="139"/>
      <c r="C696" s="141"/>
      <c r="D696" s="141"/>
      <c r="E696" s="141"/>
      <c r="F696" s="141"/>
      <c r="G696" s="143"/>
      <c r="H696" s="26"/>
    </row>
    <row r="697" spans="1:8" ht="17.25" customHeight="1" x14ac:dyDescent="0.2">
      <c r="A697" s="26"/>
      <c r="B697" s="139"/>
      <c r="C697" s="141"/>
      <c r="D697" s="141"/>
      <c r="E697" s="141"/>
      <c r="F697" s="141"/>
      <c r="G697" s="143"/>
      <c r="H697" s="26"/>
    </row>
    <row r="698" spans="1:8" ht="17.25" customHeight="1" x14ac:dyDescent="0.2">
      <c r="A698" s="26"/>
      <c r="B698" s="139"/>
      <c r="C698" s="141"/>
      <c r="D698" s="141"/>
      <c r="E698" s="141"/>
      <c r="F698" s="141"/>
      <c r="G698" s="143"/>
      <c r="H698" s="26"/>
    </row>
    <row r="699" spans="1:8" ht="17.25" customHeight="1" x14ac:dyDescent="0.2">
      <c r="A699" s="26"/>
      <c r="B699" s="139"/>
      <c r="C699" s="141"/>
      <c r="D699" s="141"/>
      <c r="E699" s="141"/>
      <c r="F699" s="141"/>
      <c r="G699" s="143"/>
      <c r="H699" s="26"/>
    </row>
    <row r="700" spans="1:8" ht="17.25" customHeight="1" x14ac:dyDescent="0.2">
      <c r="A700" s="26"/>
      <c r="B700" s="139"/>
      <c r="C700" s="141"/>
      <c r="D700" s="141"/>
      <c r="E700" s="141"/>
      <c r="F700" s="141"/>
      <c r="G700" s="143"/>
      <c r="H700" s="26"/>
    </row>
    <row r="701" spans="1:8" ht="17.25" customHeight="1" x14ac:dyDescent="0.2">
      <c r="A701" s="26"/>
      <c r="B701" s="139"/>
      <c r="C701" s="141"/>
      <c r="D701" s="141"/>
      <c r="E701" s="141"/>
      <c r="F701" s="141"/>
      <c r="G701" s="143"/>
      <c r="H701" s="26"/>
    </row>
    <row r="702" spans="1:8" ht="17.25" customHeight="1" x14ac:dyDescent="0.2">
      <c r="A702" s="26"/>
      <c r="B702" s="139"/>
      <c r="C702" s="141"/>
      <c r="D702" s="141"/>
      <c r="E702" s="141"/>
      <c r="F702" s="141"/>
      <c r="G702" s="143"/>
      <c r="H702" s="26"/>
    </row>
    <row r="703" spans="1:8" ht="17.25" customHeight="1" x14ac:dyDescent="0.2">
      <c r="A703" s="26"/>
      <c r="B703" s="139"/>
      <c r="C703" s="141"/>
      <c r="D703" s="141"/>
      <c r="E703" s="141"/>
      <c r="F703" s="141"/>
      <c r="G703" s="143"/>
      <c r="H703" s="26"/>
    </row>
    <row r="704" spans="1:8" ht="17.25" customHeight="1" x14ac:dyDescent="0.2">
      <c r="A704" s="26"/>
      <c r="B704" s="139"/>
      <c r="C704" s="141"/>
      <c r="D704" s="141"/>
      <c r="E704" s="141"/>
      <c r="F704" s="141"/>
      <c r="G704" s="143"/>
      <c r="H704" s="26"/>
    </row>
    <row r="705" spans="1:8" ht="17.25" customHeight="1" x14ac:dyDescent="0.2">
      <c r="A705" s="26"/>
      <c r="B705" s="139"/>
      <c r="C705" s="141"/>
      <c r="D705" s="141"/>
      <c r="E705" s="141"/>
      <c r="F705" s="141"/>
      <c r="G705" s="143"/>
      <c r="H705" s="26"/>
    </row>
    <row r="706" spans="1:8" ht="17.25" customHeight="1" x14ac:dyDescent="0.2">
      <c r="A706" s="26"/>
      <c r="B706" s="139"/>
      <c r="C706" s="141"/>
      <c r="D706" s="141"/>
      <c r="E706" s="141"/>
      <c r="F706" s="141"/>
      <c r="G706" s="143"/>
      <c r="H706" s="26"/>
    </row>
    <row r="707" spans="1:8" ht="17.25" customHeight="1" x14ac:dyDescent="0.2">
      <c r="A707" s="26"/>
      <c r="B707" s="139"/>
      <c r="C707" s="141"/>
      <c r="D707" s="141"/>
      <c r="E707" s="141"/>
      <c r="F707" s="141"/>
      <c r="G707" s="143"/>
      <c r="H707" s="26"/>
    </row>
    <row r="708" spans="1:8" ht="17.25" customHeight="1" x14ac:dyDescent="0.2">
      <c r="A708" s="26"/>
      <c r="B708" s="139"/>
      <c r="C708" s="141"/>
      <c r="D708" s="141"/>
      <c r="E708" s="141"/>
      <c r="F708" s="141"/>
      <c r="G708" s="143"/>
      <c r="H708" s="26"/>
    </row>
    <row r="709" spans="1:8" ht="17.25" customHeight="1" x14ac:dyDescent="0.2">
      <c r="A709" s="26"/>
      <c r="B709" s="139"/>
      <c r="C709" s="141"/>
      <c r="D709" s="141"/>
      <c r="E709" s="141"/>
      <c r="F709" s="141"/>
      <c r="G709" s="143"/>
      <c r="H709" s="26"/>
    </row>
    <row r="710" spans="1:8" ht="17.25" customHeight="1" x14ac:dyDescent="0.2">
      <c r="A710" s="26"/>
      <c r="B710" s="139"/>
      <c r="C710" s="141"/>
      <c r="D710" s="141"/>
      <c r="E710" s="141"/>
      <c r="F710" s="141"/>
      <c r="G710" s="143"/>
      <c r="H710" s="26"/>
    </row>
    <row r="711" spans="1:8" ht="17.25" customHeight="1" x14ac:dyDescent="0.2">
      <c r="A711" s="26"/>
      <c r="B711" s="139"/>
      <c r="C711" s="141"/>
      <c r="D711" s="141"/>
      <c r="E711" s="141"/>
      <c r="F711" s="141"/>
      <c r="G711" s="143"/>
      <c r="H711" s="26"/>
    </row>
    <row r="712" spans="1:8" ht="17.25" customHeight="1" x14ac:dyDescent="0.2">
      <c r="A712" s="26"/>
      <c r="B712" s="139"/>
      <c r="C712" s="141"/>
      <c r="D712" s="141"/>
      <c r="E712" s="141"/>
      <c r="F712" s="141"/>
      <c r="G712" s="143"/>
      <c r="H712" s="26"/>
    </row>
    <row r="713" spans="1:8" ht="17.25" customHeight="1" x14ac:dyDescent="0.2">
      <c r="A713" s="26"/>
      <c r="B713" s="139"/>
      <c r="C713" s="141"/>
      <c r="D713" s="141"/>
      <c r="E713" s="141"/>
      <c r="F713" s="141"/>
      <c r="G713" s="143"/>
      <c r="H713" s="26"/>
    </row>
    <row r="714" spans="1:8" ht="17.25" customHeight="1" x14ac:dyDescent="0.2">
      <c r="A714" s="26"/>
      <c r="B714" s="139"/>
      <c r="C714" s="141"/>
      <c r="D714" s="141"/>
      <c r="E714" s="141"/>
      <c r="F714" s="141"/>
      <c r="G714" s="143"/>
      <c r="H714" s="26"/>
    </row>
    <row r="715" spans="1:8" ht="17.25" customHeight="1" x14ac:dyDescent="0.2">
      <c r="A715" s="26"/>
      <c r="B715" s="139"/>
      <c r="C715" s="141"/>
      <c r="D715" s="141"/>
      <c r="E715" s="141"/>
      <c r="F715" s="141"/>
      <c r="G715" s="143"/>
      <c r="H715" s="26"/>
    </row>
    <row r="716" spans="1:8" ht="17.25" customHeight="1" x14ac:dyDescent="0.2">
      <c r="A716" s="26"/>
      <c r="B716" s="139"/>
      <c r="C716" s="141"/>
      <c r="D716" s="141"/>
      <c r="E716" s="141"/>
      <c r="F716" s="141"/>
      <c r="G716" s="143"/>
      <c r="H716" s="26"/>
    </row>
    <row r="717" spans="1:8" ht="17.25" customHeight="1" x14ac:dyDescent="0.2">
      <c r="A717" s="26"/>
      <c r="B717" s="139"/>
      <c r="C717" s="141"/>
      <c r="D717" s="141"/>
      <c r="E717" s="141"/>
      <c r="F717" s="141"/>
      <c r="G717" s="143"/>
      <c r="H717" s="26"/>
    </row>
    <row r="718" spans="1:8" ht="17.25" customHeight="1" x14ac:dyDescent="0.2">
      <c r="A718" s="26"/>
      <c r="B718" s="139"/>
      <c r="C718" s="141"/>
      <c r="D718" s="141"/>
      <c r="E718" s="141"/>
      <c r="F718" s="141"/>
      <c r="G718" s="143"/>
      <c r="H718" s="26"/>
    </row>
    <row r="719" spans="1:8" ht="17.25" customHeight="1" x14ac:dyDescent="0.2">
      <c r="A719" s="26"/>
      <c r="B719" s="139"/>
      <c r="C719" s="141"/>
      <c r="D719" s="141"/>
      <c r="E719" s="141"/>
      <c r="F719" s="141"/>
      <c r="G719" s="143"/>
      <c r="H719" s="26"/>
    </row>
    <row r="720" spans="1:8" ht="17.25" customHeight="1" x14ac:dyDescent="0.2">
      <c r="A720" s="26"/>
      <c r="B720" s="139"/>
      <c r="C720" s="141"/>
      <c r="D720" s="141"/>
      <c r="E720" s="141"/>
      <c r="F720" s="141"/>
      <c r="G720" s="143"/>
      <c r="H720" s="26"/>
    </row>
    <row r="721" spans="1:8" ht="17.25" customHeight="1" x14ac:dyDescent="0.2">
      <c r="A721" s="26"/>
      <c r="B721" s="139"/>
      <c r="C721" s="141"/>
      <c r="D721" s="141"/>
      <c r="E721" s="141"/>
      <c r="F721" s="141"/>
      <c r="G721" s="143"/>
      <c r="H721" s="26"/>
    </row>
    <row r="722" spans="1:8" ht="17.25" customHeight="1" x14ac:dyDescent="0.2">
      <c r="A722" s="26"/>
      <c r="B722" s="139"/>
      <c r="C722" s="141"/>
      <c r="D722" s="141"/>
      <c r="E722" s="141"/>
      <c r="F722" s="141"/>
      <c r="G722" s="143"/>
      <c r="H722" s="26"/>
    </row>
    <row r="723" spans="1:8" ht="17.25" customHeight="1" x14ac:dyDescent="0.2">
      <c r="A723" s="26"/>
      <c r="B723" s="139"/>
      <c r="C723" s="141"/>
      <c r="D723" s="141"/>
      <c r="E723" s="141"/>
      <c r="F723" s="141"/>
      <c r="G723" s="143"/>
      <c r="H723" s="26"/>
    </row>
    <row r="724" spans="1:8" ht="17.25" customHeight="1" x14ac:dyDescent="0.2">
      <c r="A724" s="26"/>
      <c r="B724" s="139"/>
      <c r="C724" s="141"/>
      <c r="D724" s="141"/>
      <c r="E724" s="141"/>
      <c r="F724" s="141"/>
      <c r="G724" s="143"/>
      <c r="H724" s="26"/>
    </row>
    <row r="725" spans="1:8" ht="17.25" customHeight="1" x14ac:dyDescent="0.2">
      <c r="A725" s="26"/>
      <c r="B725" s="139"/>
      <c r="C725" s="141"/>
      <c r="D725" s="141"/>
      <c r="E725" s="141"/>
      <c r="F725" s="141"/>
      <c r="G725" s="143"/>
      <c r="H725" s="26"/>
    </row>
    <row r="726" spans="1:8" ht="17.25" customHeight="1" x14ac:dyDescent="0.2">
      <c r="A726" s="26"/>
      <c r="B726" s="139"/>
      <c r="C726" s="141"/>
      <c r="D726" s="141"/>
      <c r="E726" s="141"/>
      <c r="F726" s="141"/>
      <c r="G726" s="143"/>
      <c r="H726" s="26"/>
    </row>
    <row r="727" spans="1:8" ht="17.25" customHeight="1" x14ac:dyDescent="0.2">
      <c r="A727" s="26"/>
      <c r="B727" s="139"/>
      <c r="C727" s="141"/>
      <c r="D727" s="141"/>
      <c r="E727" s="141"/>
      <c r="F727" s="141"/>
      <c r="G727" s="143"/>
      <c r="H727" s="26"/>
    </row>
    <row r="728" spans="1:8" ht="17.25" customHeight="1" x14ac:dyDescent="0.2">
      <c r="A728" s="26"/>
      <c r="B728" s="139"/>
      <c r="C728" s="141"/>
      <c r="D728" s="141"/>
      <c r="E728" s="141"/>
      <c r="F728" s="141"/>
      <c r="G728" s="143"/>
      <c r="H728" s="26"/>
    </row>
    <row r="729" spans="1:8" ht="17.25" customHeight="1" x14ac:dyDescent="0.2">
      <c r="A729" s="26"/>
      <c r="B729" s="139"/>
      <c r="C729" s="141"/>
      <c r="D729" s="141"/>
      <c r="E729" s="141"/>
      <c r="F729" s="141"/>
      <c r="G729" s="143"/>
      <c r="H729" s="26"/>
    </row>
    <row r="730" spans="1:8" ht="17.25" customHeight="1" x14ac:dyDescent="0.2">
      <c r="A730" s="26"/>
      <c r="B730" s="139"/>
      <c r="C730" s="141"/>
      <c r="D730" s="141"/>
      <c r="E730" s="141"/>
      <c r="F730" s="141"/>
      <c r="G730" s="143"/>
      <c r="H730" s="26"/>
    </row>
    <row r="731" spans="1:8" ht="17.25" customHeight="1" x14ac:dyDescent="0.2">
      <c r="A731" s="26"/>
      <c r="B731" s="139"/>
      <c r="C731" s="141"/>
      <c r="D731" s="141"/>
      <c r="E731" s="141"/>
      <c r="F731" s="141"/>
      <c r="G731" s="143"/>
      <c r="H731" s="26"/>
    </row>
    <row r="732" spans="1:8" ht="17.25" customHeight="1" x14ac:dyDescent="0.2">
      <c r="A732" s="26"/>
      <c r="B732" s="139"/>
      <c r="C732" s="141"/>
      <c r="D732" s="141"/>
      <c r="E732" s="141"/>
      <c r="F732" s="141"/>
      <c r="G732" s="143"/>
      <c r="H732" s="26"/>
    </row>
    <row r="733" spans="1:8" ht="17.25" customHeight="1" x14ac:dyDescent="0.2">
      <c r="A733" s="26"/>
      <c r="B733" s="139"/>
      <c r="C733" s="141"/>
      <c r="D733" s="141"/>
      <c r="E733" s="141"/>
      <c r="F733" s="141"/>
      <c r="G733" s="143"/>
      <c r="H733" s="26"/>
    </row>
    <row r="734" spans="1:8" ht="17.25" customHeight="1" x14ac:dyDescent="0.2">
      <c r="A734" s="26"/>
      <c r="B734" s="139"/>
      <c r="C734" s="141"/>
      <c r="D734" s="141"/>
      <c r="E734" s="141"/>
      <c r="F734" s="141"/>
      <c r="G734" s="143"/>
      <c r="H734" s="26"/>
    </row>
    <row r="735" spans="1:8" ht="17.25" customHeight="1" x14ac:dyDescent="0.2">
      <c r="A735" s="26"/>
      <c r="B735" s="139"/>
      <c r="C735" s="141"/>
      <c r="D735" s="141"/>
      <c r="E735" s="141"/>
      <c r="F735" s="141"/>
      <c r="G735" s="143"/>
      <c r="H735" s="26"/>
    </row>
    <row r="736" spans="1:8" ht="17.25" customHeight="1" x14ac:dyDescent="0.2">
      <c r="A736" s="26"/>
      <c r="B736" s="139"/>
      <c r="C736" s="141"/>
      <c r="D736" s="141"/>
      <c r="E736" s="141"/>
      <c r="F736" s="141"/>
      <c r="G736" s="143"/>
      <c r="H736" s="26"/>
    </row>
    <row r="737" spans="1:8" ht="17.25" customHeight="1" x14ac:dyDescent="0.2">
      <c r="A737" s="26"/>
      <c r="B737" s="139"/>
      <c r="C737" s="141"/>
      <c r="D737" s="141"/>
      <c r="E737" s="141"/>
      <c r="F737" s="141"/>
      <c r="G737" s="143"/>
      <c r="H737" s="26"/>
    </row>
    <row r="738" spans="1:8" ht="17.25" customHeight="1" x14ac:dyDescent="0.2">
      <c r="A738" s="26"/>
      <c r="B738" s="139"/>
      <c r="C738" s="141"/>
      <c r="D738" s="141"/>
      <c r="E738" s="141"/>
      <c r="F738" s="141"/>
      <c r="G738" s="143"/>
      <c r="H738" s="26"/>
    </row>
    <row r="739" spans="1:8" ht="17.25" customHeight="1" x14ac:dyDescent="0.2">
      <c r="A739" s="26"/>
      <c r="B739" s="139"/>
      <c r="C739" s="141"/>
      <c r="D739" s="141"/>
      <c r="E739" s="141"/>
      <c r="F739" s="141"/>
      <c r="G739" s="143"/>
      <c r="H739" s="26"/>
    </row>
    <row r="740" spans="1:8" ht="17.25" customHeight="1" x14ac:dyDescent="0.2">
      <c r="A740" s="26"/>
      <c r="B740" s="139"/>
      <c r="C740" s="141"/>
      <c r="D740" s="141"/>
      <c r="E740" s="141"/>
      <c r="F740" s="141"/>
      <c r="G740" s="143"/>
      <c r="H740" s="26"/>
    </row>
    <row r="741" spans="1:8" ht="17.25" customHeight="1" x14ac:dyDescent="0.2">
      <c r="A741" s="26"/>
      <c r="B741" s="139"/>
      <c r="C741" s="141"/>
      <c r="D741" s="141"/>
      <c r="E741" s="141"/>
      <c r="F741" s="141"/>
      <c r="G741" s="143"/>
      <c r="H741" s="26"/>
    </row>
    <row r="742" spans="1:8" ht="17.25" customHeight="1" x14ac:dyDescent="0.2">
      <c r="A742" s="26"/>
      <c r="B742" s="139"/>
      <c r="C742" s="141"/>
      <c r="D742" s="141"/>
      <c r="E742" s="141"/>
      <c r="F742" s="141"/>
      <c r="G742" s="143"/>
      <c r="H742" s="26"/>
    </row>
    <row r="743" spans="1:8" ht="17.25" customHeight="1" x14ac:dyDescent="0.2">
      <c r="A743" s="26"/>
      <c r="B743" s="139"/>
      <c r="C743" s="141"/>
      <c r="D743" s="141"/>
      <c r="E743" s="141"/>
      <c r="F743" s="141"/>
      <c r="G743" s="143"/>
      <c r="H743" s="26"/>
    </row>
    <row r="744" spans="1:8" ht="17.25" customHeight="1" x14ac:dyDescent="0.2">
      <c r="A744" s="26"/>
      <c r="B744" s="139"/>
      <c r="C744" s="141"/>
      <c r="D744" s="141"/>
      <c r="E744" s="141"/>
      <c r="F744" s="141"/>
      <c r="G744" s="143"/>
      <c r="H744" s="26"/>
    </row>
    <row r="745" spans="1:8" ht="17.25" customHeight="1" x14ac:dyDescent="0.2">
      <c r="A745" s="26"/>
      <c r="B745" s="139"/>
      <c r="C745" s="141"/>
      <c r="D745" s="141"/>
      <c r="E745" s="141"/>
      <c r="F745" s="141"/>
      <c r="G745" s="143"/>
      <c r="H745" s="26"/>
    </row>
    <row r="746" spans="1:8" ht="17.25" customHeight="1" x14ac:dyDescent="0.2">
      <c r="A746" s="26"/>
      <c r="B746" s="139"/>
      <c r="C746" s="141"/>
      <c r="D746" s="141"/>
      <c r="E746" s="141"/>
      <c r="F746" s="141"/>
      <c r="G746" s="143"/>
      <c r="H746" s="26"/>
    </row>
    <row r="747" spans="1:8" ht="17.25" customHeight="1" x14ac:dyDescent="0.2">
      <c r="A747" s="26"/>
      <c r="B747" s="139"/>
      <c r="C747" s="141"/>
      <c r="D747" s="141"/>
      <c r="E747" s="141"/>
      <c r="F747" s="141"/>
      <c r="G747" s="143"/>
      <c r="H747" s="26"/>
    </row>
    <row r="748" spans="1:8" ht="17.25" customHeight="1" x14ac:dyDescent="0.2">
      <c r="A748" s="26"/>
      <c r="B748" s="139"/>
      <c r="C748" s="141"/>
      <c r="D748" s="141"/>
      <c r="E748" s="141"/>
      <c r="F748" s="141"/>
      <c r="G748" s="143"/>
      <c r="H748" s="26"/>
    </row>
    <row r="749" spans="1:8" ht="17.25" customHeight="1" x14ac:dyDescent="0.2">
      <c r="A749" s="26"/>
      <c r="B749" s="139"/>
      <c r="C749" s="141"/>
      <c r="D749" s="141"/>
      <c r="E749" s="141"/>
      <c r="F749" s="141"/>
      <c r="G749" s="143"/>
      <c r="H749" s="26"/>
    </row>
    <row r="750" spans="1:8" ht="17.25" customHeight="1" x14ac:dyDescent="0.2">
      <c r="A750" s="26"/>
      <c r="B750" s="139"/>
      <c r="C750" s="141"/>
      <c r="D750" s="141"/>
      <c r="E750" s="141"/>
      <c r="F750" s="141"/>
      <c r="G750" s="143"/>
      <c r="H750" s="26"/>
    </row>
    <row r="751" spans="1:8" ht="17.25" customHeight="1" x14ac:dyDescent="0.2">
      <c r="A751" s="26"/>
      <c r="B751" s="139"/>
      <c r="C751" s="141"/>
      <c r="D751" s="141"/>
      <c r="E751" s="141"/>
      <c r="F751" s="141"/>
      <c r="G751" s="143"/>
      <c r="H751" s="26"/>
    </row>
    <row r="752" spans="1:8" ht="17.25" customHeight="1" x14ac:dyDescent="0.2">
      <c r="A752" s="26"/>
      <c r="B752" s="139"/>
      <c r="C752" s="141"/>
      <c r="D752" s="141"/>
      <c r="E752" s="141"/>
      <c r="F752" s="141"/>
      <c r="G752" s="143"/>
      <c r="H752" s="26"/>
    </row>
    <row r="753" spans="1:8" ht="17.25" customHeight="1" x14ac:dyDescent="0.2">
      <c r="A753" s="26"/>
      <c r="B753" s="139"/>
      <c r="C753" s="141"/>
      <c r="D753" s="141"/>
      <c r="E753" s="141"/>
      <c r="F753" s="141"/>
      <c r="G753" s="143"/>
      <c r="H753" s="26"/>
    </row>
    <row r="754" spans="1:8" ht="17.25" customHeight="1" x14ac:dyDescent="0.2">
      <c r="A754" s="26"/>
      <c r="B754" s="139"/>
      <c r="C754" s="141"/>
      <c r="D754" s="141"/>
      <c r="E754" s="141"/>
      <c r="F754" s="141"/>
      <c r="G754" s="143"/>
      <c r="H754" s="26"/>
    </row>
    <row r="755" spans="1:8" ht="17.25" customHeight="1" x14ac:dyDescent="0.2">
      <c r="A755" s="26"/>
      <c r="B755" s="139"/>
      <c r="C755" s="141"/>
      <c r="D755" s="141"/>
      <c r="E755" s="141"/>
      <c r="F755" s="141"/>
      <c r="G755" s="143"/>
      <c r="H755" s="26"/>
    </row>
    <row r="756" spans="1:8" ht="17.25" customHeight="1" x14ac:dyDescent="0.2">
      <c r="A756" s="26"/>
      <c r="B756" s="139"/>
      <c r="C756" s="141"/>
      <c r="D756" s="141"/>
      <c r="E756" s="141"/>
      <c r="F756" s="141"/>
      <c r="G756" s="143"/>
      <c r="H756" s="26"/>
    </row>
    <row r="757" spans="1:8" ht="17.25" customHeight="1" x14ac:dyDescent="0.2">
      <c r="A757" s="26"/>
      <c r="B757" s="139"/>
      <c r="C757" s="141"/>
      <c r="D757" s="141"/>
      <c r="E757" s="141"/>
      <c r="F757" s="141"/>
      <c r="G757" s="143"/>
      <c r="H757" s="26"/>
    </row>
    <row r="758" spans="1:8" ht="17.25" customHeight="1" x14ac:dyDescent="0.2">
      <c r="A758" s="26"/>
      <c r="B758" s="139"/>
      <c r="C758" s="141"/>
      <c r="D758" s="141"/>
      <c r="E758" s="141"/>
      <c r="F758" s="141"/>
      <c r="G758" s="143"/>
      <c r="H758" s="26"/>
    </row>
    <row r="759" spans="1:8" ht="17.25" customHeight="1" x14ac:dyDescent="0.2">
      <c r="A759" s="26"/>
      <c r="B759" s="139"/>
      <c r="C759" s="141"/>
      <c r="D759" s="141"/>
      <c r="E759" s="141"/>
      <c r="F759" s="141"/>
      <c r="G759" s="143"/>
      <c r="H759" s="26"/>
    </row>
    <row r="760" spans="1:8" ht="17.25" customHeight="1" x14ac:dyDescent="0.2">
      <c r="A760" s="26"/>
      <c r="B760" s="139"/>
      <c r="C760" s="141"/>
      <c r="D760" s="141"/>
      <c r="E760" s="141"/>
      <c r="F760" s="141"/>
      <c r="G760" s="143"/>
      <c r="H760" s="26"/>
    </row>
    <row r="761" spans="1:8" ht="17.25" customHeight="1" x14ac:dyDescent="0.2">
      <c r="A761" s="26"/>
      <c r="B761" s="139"/>
      <c r="C761" s="141"/>
      <c r="D761" s="141"/>
      <c r="E761" s="141"/>
      <c r="F761" s="141"/>
      <c r="G761" s="143"/>
      <c r="H761" s="26"/>
    </row>
    <row r="762" spans="1:8" ht="17.25" customHeight="1" x14ac:dyDescent="0.2">
      <c r="A762" s="26"/>
      <c r="B762" s="139"/>
      <c r="C762" s="141"/>
      <c r="D762" s="141"/>
      <c r="E762" s="141"/>
      <c r="F762" s="141"/>
      <c r="G762" s="143"/>
      <c r="H762" s="26"/>
    </row>
    <row r="763" spans="1:8" ht="17.25" customHeight="1" x14ac:dyDescent="0.2">
      <c r="A763" s="26"/>
      <c r="B763" s="139"/>
      <c r="C763" s="141"/>
      <c r="D763" s="141"/>
      <c r="E763" s="141"/>
      <c r="F763" s="141"/>
      <c r="G763" s="143"/>
      <c r="H763" s="26"/>
    </row>
    <row r="764" spans="1:8" ht="17.25" customHeight="1" x14ac:dyDescent="0.2">
      <c r="A764" s="26"/>
      <c r="B764" s="139"/>
      <c r="C764" s="141"/>
      <c r="D764" s="141"/>
      <c r="E764" s="141"/>
      <c r="F764" s="141"/>
      <c r="G764" s="143"/>
      <c r="H764" s="26"/>
    </row>
    <row r="765" spans="1:8" ht="17.25" customHeight="1" x14ac:dyDescent="0.2">
      <c r="A765" s="26"/>
      <c r="B765" s="139"/>
      <c r="C765" s="141"/>
      <c r="D765" s="141"/>
      <c r="E765" s="141"/>
      <c r="F765" s="141"/>
      <c r="G765" s="143"/>
      <c r="H765" s="26"/>
    </row>
    <row r="766" spans="1:8" ht="17.25" customHeight="1" x14ac:dyDescent="0.2">
      <c r="A766" s="26"/>
      <c r="B766" s="139"/>
      <c r="C766" s="141"/>
      <c r="D766" s="141"/>
      <c r="E766" s="141"/>
      <c r="F766" s="141"/>
      <c r="G766" s="143"/>
      <c r="H766" s="26"/>
    </row>
    <row r="767" spans="1:8" ht="17.25" customHeight="1" x14ac:dyDescent="0.2">
      <c r="A767" s="26"/>
      <c r="B767" s="139"/>
      <c r="C767" s="141"/>
      <c r="D767" s="141"/>
      <c r="E767" s="141"/>
      <c r="F767" s="141"/>
      <c r="G767" s="143"/>
      <c r="H767" s="26"/>
    </row>
    <row r="768" spans="1:8" ht="17.25" customHeight="1" x14ac:dyDescent="0.2">
      <c r="A768" s="26"/>
      <c r="B768" s="139"/>
      <c r="C768" s="141"/>
      <c r="D768" s="141"/>
      <c r="E768" s="141"/>
      <c r="F768" s="141"/>
      <c r="G768" s="143"/>
      <c r="H768" s="26"/>
    </row>
    <row r="769" spans="1:8" ht="17.25" customHeight="1" x14ac:dyDescent="0.2">
      <c r="A769" s="26"/>
      <c r="B769" s="139"/>
      <c r="C769" s="141"/>
      <c r="D769" s="141"/>
      <c r="E769" s="141"/>
      <c r="F769" s="141"/>
      <c r="G769" s="143"/>
      <c r="H769" s="26"/>
    </row>
    <row r="770" spans="1:8" ht="17.25" customHeight="1" x14ac:dyDescent="0.2">
      <c r="A770" s="26"/>
      <c r="B770" s="139"/>
      <c r="C770" s="141"/>
      <c r="D770" s="141"/>
      <c r="E770" s="141"/>
      <c r="F770" s="141"/>
      <c r="G770" s="143"/>
      <c r="H770" s="26"/>
    </row>
    <row r="771" spans="1:8" ht="17.25" customHeight="1" x14ac:dyDescent="0.2">
      <c r="A771" s="26"/>
      <c r="B771" s="139"/>
      <c r="C771" s="141"/>
      <c r="D771" s="141"/>
      <c r="E771" s="141"/>
      <c r="F771" s="141"/>
      <c r="G771" s="143"/>
      <c r="H771" s="26"/>
    </row>
    <row r="772" spans="1:8" ht="17.25" customHeight="1" x14ac:dyDescent="0.2">
      <c r="A772" s="26"/>
      <c r="B772" s="139"/>
      <c r="C772" s="141"/>
      <c r="D772" s="141"/>
      <c r="E772" s="141"/>
      <c r="F772" s="141"/>
      <c r="G772" s="143"/>
      <c r="H772" s="26"/>
    </row>
    <row r="773" spans="1:8" ht="17.25" customHeight="1" x14ac:dyDescent="0.2">
      <c r="A773" s="26"/>
      <c r="B773" s="139"/>
      <c r="C773" s="141"/>
      <c r="D773" s="141"/>
      <c r="E773" s="141"/>
      <c r="F773" s="141"/>
      <c r="G773" s="143"/>
      <c r="H773" s="26"/>
    </row>
    <row r="774" spans="1:8" ht="17.25" customHeight="1" x14ac:dyDescent="0.2">
      <c r="A774" s="26"/>
      <c r="B774" s="139"/>
      <c r="C774" s="141"/>
      <c r="D774" s="141"/>
      <c r="E774" s="141"/>
      <c r="F774" s="141"/>
      <c r="G774" s="143"/>
      <c r="H774" s="26"/>
    </row>
    <row r="775" spans="1:8" ht="17.25" customHeight="1" x14ac:dyDescent="0.2">
      <c r="A775" s="26"/>
      <c r="B775" s="139"/>
      <c r="C775" s="141"/>
      <c r="D775" s="141"/>
      <c r="E775" s="141"/>
      <c r="F775" s="141"/>
      <c r="G775" s="143"/>
      <c r="H775" s="26"/>
    </row>
    <row r="776" spans="1:8" ht="17.25" customHeight="1" x14ac:dyDescent="0.2">
      <c r="A776" s="26"/>
      <c r="B776" s="139"/>
      <c r="C776" s="141"/>
      <c r="D776" s="141"/>
      <c r="E776" s="141"/>
      <c r="F776" s="141"/>
      <c r="G776" s="143"/>
      <c r="H776" s="26"/>
    </row>
    <row r="777" spans="1:8" ht="17.25" customHeight="1" x14ac:dyDescent="0.2">
      <c r="A777" s="26"/>
      <c r="B777" s="139"/>
      <c r="C777" s="141"/>
      <c r="D777" s="141"/>
      <c r="E777" s="141"/>
      <c r="F777" s="141"/>
      <c r="G777" s="143"/>
      <c r="H777" s="26"/>
    </row>
    <row r="778" spans="1:8" ht="17.25" customHeight="1" x14ac:dyDescent="0.2">
      <c r="A778" s="26"/>
      <c r="B778" s="139"/>
      <c r="C778" s="141"/>
      <c r="D778" s="141"/>
      <c r="E778" s="141"/>
      <c r="F778" s="141"/>
      <c r="G778" s="143"/>
      <c r="H778" s="26"/>
    </row>
    <row r="779" spans="1:8" ht="17.25" customHeight="1" x14ac:dyDescent="0.2">
      <c r="A779" s="26"/>
      <c r="B779" s="139"/>
      <c r="C779" s="141"/>
      <c r="D779" s="141"/>
      <c r="E779" s="141"/>
      <c r="F779" s="141"/>
      <c r="G779" s="143"/>
      <c r="H779" s="26"/>
    </row>
    <row r="780" spans="1:8" ht="17.25" customHeight="1" x14ac:dyDescent="0.2">
      <c r="A780" s="26"/>
      <c r="B780" s="139"/>
      <c r="C780" s="141"/>
      <c r="D780" s="141"/>
      <c r="E780" s="141"/>
      <c r="F780" s="141"/>
      <c r="G780" s="143"/>
      <c r="H780" s="26"/>
    </row>
    <row r="781" spans="1:8" ht="17.25" customHeight="1" x14ac:dyDescent="0.2">
      <c r="A781" s="26"/>
      <c r="B781" s="139"/>
      <c r="C781" s="141"/>
      <c r="D781" s="141"/>
      <c r="E781" s="141"/>
      <c r="F781" s="141"/>
      <c r="G781" s="143"/>
      <c r="H781" s="26"/>
    </row>
    <row r="782" spans="1:8" ht="17.25" customHeight="1" x14ac:dyDescent="0.2">
      <c r="A782" s="26"/>
      <c r="B782" s="139"/>
      <c r="C782" s="141"/>
      <c r="D782" s="141"/>
      <c r="E782" s="141"/>
      <c r="F782" s="141"/>
      <c r="G782" s="143"/>
      <c r="H782" s="26"/>
    </row>
    <row r="783" spans="1:8" ht="17.25" customHeight="1" x14ac:dyDescent="0.2">
      <c r="A783" s="26"/>
      <c r="B783" s="139"/>
      <c r="C783" s="141"/>
      <c r="D783" s="141"/>
      <c r="E783" s="141"/>
      <c r="F783" s="141"/>
      <c r="G783" s="143"/>
      <c r="H783" s="26"/>
    </row>
    <row r="784" spans="1:8" ht="17.25" customHeight="1" x14ac:dyDescent="0.2">
      <c r="A784" s="26"/>
      <c r="B784" s="139"/>
      <c r="C784" s="141"/>
      <c r="D784" s="141"/>
      <c r="E784" s="141"/>
      <c r="F784" s="141"/>
      <c r="G784" s="143"/>
      <c r="H784" s="26"/>
    </row>
    <row r="785" spans="1:8" ht="17.25" customHeight="1" x14ac:dyDescent="0.2">
      <c r="A785" s="26"/>
      <c r="B785" s="139"/>
      <c r="C785" s="141"/>
      <c r="D785" s="141"/>
      <c r="E785" s="141"/>
      <c r="F785" s="141"/>
      <c r="G785" s="143"/>
      <c r="H785" s="26"/>
    </row>
    <row r="786" spans="1:8" ht="17.25" customHeight="1" x14ac:dyDescent="0.2">
      <c r="A786" s="26"/>
      <c r="B786" s="139"/>
      <c r="C786" s="141"/>
      <c r="D786" s="141"/>
      <c r="E786" s="141"/>
      <c r="F786" s="141"/>
      <c r="G786" s="143"/>
      <c r="H786" s="26"/>
    </row>
    <row r="787" spans="1:8" ht="17.25" customHeight="1" x14ac:dyDescent="0.2">
      <c r="A787" s="26"/>
      <c r="B787" s="139"/>
      <c r="C787" s="141"/>
      <c r="D787" s="141"/>
      <c r="E787" s="141"/>
      <c r="F787" s="141"/>
      <c r="G787" s="143"/>
      <c r="H787" s="26"/>
    </row>
    <row r="788" spans="1:8" ht="17.25" customHeight="1" x14ac:dyDescent="0.2">
      <c r="A788" s="26"/>
      <c r="B788" s="139"/>
      <c r="C788" s="141"/>
      <c r="D788" s="141"/>
      <c r="E788" s="141"/>
      <c r="F788" s="141"/>
      <c r="G788" s="143"/>
      <c r="H788" s="26"/>
    </row>
    <row r="789" spans="1:8" ht="17.25" customHeight="1" x14ac:dyDescent="0.2">
      <c r="A789" s="26"/>
      <c r="B789" s="139"/>
      <c r="C789" s="141"/>
      <c r="D789" s="141"/>
      <c r="E789" s="141"/>
      <c r="F789" s="141"/>
      <c r="G789" s="143"/>
      <c r="H789" s="26"/>
    </row>
    <row r="790" spans="1:8" ht="17.25" customHeight="1" x14ac:dyDescent="0.2">
      <c r="A790" s="26"/>
      <c r="B790" s="139"/>
      <c r="C790" s="141"/>
      <c r="D790" s="141"/>
      <c r="E790" s="141"/>
      <c r="F790" s="141"/>
      <c r="G790" s="143"/>
      <c r="H790" s="26"/>
    </row>
    <row r="791" spans="1:8" ht="17.25" customHeight="1" x14ac:dyDescent="0.2">
      <c r="A791" s="26"/>
      <c r="B791" s="139"/>
      <c r="C791" s="141"/>
      <c r="D791" s="141"/>
      <c r="E791" s="141"/>
      <c r="F791" s="141"/>
      <c r="G791" s="143"/>
      <c r="H791" s="26"/>
    </row>
    <row r="792" spans="1:8" ht="17.25" customHeight="1" x14ac:dyDescent="0.2">
      <c r="A792" s="26"/>
      <c r="B792" s="139"/>
      <c r="C792" s="141"/>
      <c r="D792" s="141"/>
      <c r="E792" s="141"/>
      <c r="F792" s="141"/>
      <c r="G792" s="143"/>
      <c r="H792" s="26"/>
    </row>
    <row r="793" spans="1:8" ht="17.25" customHeight="1" x14ac:dyDescent="0.2">
      <c r="A793" s="26"/>
      <c r="B793" s="139"/>
      <c r="C793" s="141"/>
      <c r="D793" s="141"/>
      <c r="E793" s="141"/>
      <c r="F793" s="141"/>
      <c r="G793" s="143"/>
      <c r="H793" s="26"/>
    </row>
    <row r="794" spans="1:8" ht="17.25" customHeight="1" x14ac:dyDescent="0.2">
      <c r="A794" s="26"/>
      <c r="B794" s="139"/>
      <c r="C794" s="141"/>
      <c r="D794" s="141"/>
      <c r="E794" s="141"/>
      <c r="F794" s="141"/>
      <c r="G794" s="143"/>
      <c r="H794" s="26"/>
    </row>
    <row r="795" spans="1:8" ht="17.25" customHeight="1" x14ac:dyDescent="0.2">
      <c r="A795" s="26"/>
      <c r="B795" s="139"/>
      <c r="C795" s="141"/>
      <c r="D795" s="141"/>
      <c r="E795" s="141"/>
      <c r="F795" s="141"/>
      <c r="G795" s="143"/>
      <c r="H795" s="26"/>
    </row>
    <row r="796" spans="1:8" ht="17.25" customHeight="1" x14ac:dyDescent="0.2">
      <c r="A796" s="26"/>
      <c r="B796" s="139"/>
      <c r="C796" s="141"/>
      <c r="D796" s="141"/>
      <c r="E796" s="141"/>
      <c r="F796" s="141"/>
      <c r="G796" s="143"/>
      <c r="H796" s="26"/>
    </row>
    <row r="797" spans="1:8" ht="17.25" customHeight="1" x14ac:dyDescent="0.2">
      <c r="A797" s="26"/>
      <c r="B797" s="139"/>
      <c r="C797" s="141"/>
      <c r="D797" s="141"/>
      <c r="E797" s="141"/>
      <c r="F797" s="141"/>
      <c r="G797" s="143"/>
      <c r="H797" s="26"/>
    </row>
    <row r="798" spans="1:8" ht="17.25" customHeight="1" x14ac:dyDescent="0.2">
      <c r="A798" s="26"/>
      <c r="B798" s="139"/>
      <c r="C798" s="141"/>
      <c r="D798" s="141"/>
      <c r="E798" s="141"/>
      <c r="F798" s="141"/>
      <c r="G798" s="143"/>
      <c r="H798" s="26"/>
    </row>
    <row r="799" spans="1:8" ht="17.25" customHeight="1" x14ac:dyDescent="0.2">
      <c r="A799" s="26"/>
      <c r="B799" s="139"/>
      <c r="C799" s="141"/>
      <c r="D799" s="141"/>
      <c r="E799" s="141"/>
      <c r="F799" s="141"/>
      <c r="G799" s="143"/>
      <c r="H799" s="26"/>
    </row>
    <row r="800" spans="1:8" ht="17.25" customHeight="1" x14ac:dyDescent="0.2">
      <c r="A800" s="26"/>
      <c r="B800" s="139"/>
      <c r="C800" s="141"/>
      <c r="D800" s="141"/>
      <c r="E800" s="141"/>
      <c r="F800" s="141"/>
      <c r="G800" s="143"/>
      <c r="H800" s="26"/>
    </row>
    <row r="801" spans="1:8" ht="17.25" customHeight="1" x14ac:dyDescent="0.2">
      <c r="A801" s="26"/>
      <c r="B801" s="139"/>
      <c r="C801" s="141"/>
      <c r="D801" s="141"/>
      <c r="E801" s="141"/>
      <c r="F801" s="141"/>
      <c r="G801" s="143"/>
      <c r="H801" s="26"/>
    </row>
    <row r="802" spans="1:8" ht="17.25" customHeight="1" x14ac:dyDescent="0.2">
      <c r="A802" s="26"/>
      <c r="B802" s="139"/>
      <c r="C802" s="141"/>
      <c r="D802" s="141"/>
      <c r="E802" s="141"/>
      <c r="F802" s="141"/>
      <c r="G802" s="143"/>
      <c r="H802" s="26"/>
    </row>
    <row r="803" spans="1:8" ht="17.25" customHeight="1" x14ac:dyDescent="0.2">
      <c r="A803" s="26"/>
      <c r="B803" s="139"/>
      <c r="C803" s="141"/>
      <c r="D803" s="141"/>
      <c r="E803" s="141"/>
      <c r="F803" s="141"/>
      <c r="G803" s="143"/>
      <c r="H803" s="26"/>
    </row>
    <row r="804" spans="1:8" ht="17.25" customHeight="1" x14ac:dyDescent="0.2">
      <c r="A804" s="26"/>
      <c r="B804" s="139"/>
      <c r="C804" s="141"/>
      <c r="D804" s="141"/>
      <c r="E804" s="141"/>
      <c r="F804" s="141"/>
      <c r="G804" s="143"/>
      <c r="H804" s="26"/>
    </row>
    <row r="805" spans="1:8" ht="17.25" customHeight="1" x14ac:dyDescent="0.2">
      <c r="A805" s="26"/>
      <c r="B805" s="139"/>
      <c r="C805" s="141"/>
      <c r="D805" s="141"/>
      <c r="E805" s="141"/>
      <c r="F805" s="141"/>
      <c r="G805" s="143"/>
      <c r="H805" s="26"/>
    </row>
    <row r="806" spans="1:8" ht="17.25" customHeight="1" x14ac:dyDescent="0.2">
      <c r="A806" s="26"/>
      <c r="B806" s="139"/>
      <c r="C806" s="141"/>
      <c r="D806" s="141"/>
      <c r="E806" s="141"/>
      <c r="F806" s="141"/>
      <c r="G806" s="143"/>
      <c r="H806" s="26"/>
    </row>
    <row r="807" spans="1:8" ht="17.25" customHeight="1" x14ac:dyDescent="0.2">
      <c r="A807" s="26"/>
      <c r="B807" s="139"/>
      <c r="C807" s="141"/>
      <c r="D807" s="141"/>
      <c r="E807" s="141"/>
      <c r="F807" s="141"/>
      <c r="G807" s="143"/>
      <c r="H807" s="26"/>
    </row>
    <row r="808" spans="1:8" ht="17.25" customHeight="1" x14ac:dyDescent="0.2">
      <c r="A808" s="26"/>
      <c r="B808" s="139"/>
      <c r="C808" s="141"/>
      <c r="D808" s="141"/>
      <c r="E808" s="141"/>
      <c r="F808" s="141"/>
      <c r="G808" s="143"/>
      <c r="H808" s="26"/>
    </row>
    <row r="809" spans="1:8" ht="17.25" customHeight="1" x14ac:dyDescent="0.2">
      <c r="A809" s="26"/>
      <c r="B809" s="139"/>
      <c r="C809" s="141"/>
      <c r="D809" s="141"/>
      <c r="E809" s="141"/>
      <c r="F809" s="141"/>
      <c r="G809" s="143"/>
      <c r="H809" s="26"/>
    </row>
    <row r="810" spans="1:8" ht="17.25" customHeight="1" x14ac:dyDescent="0.2">
      <c r="A810" s="26"/>
      <c r="B810" s="139"/>
      <c r="C810" s="141"/>
      <c r="D810" s="141"/>
      <c r="E810" s="141"/>
      <c r="F810" s="141"/>
      <c r="G810" s="143"/>
      <c r="H810" s="26"/>
    </row>
    <row r="811" spans="1:8" ht="17.25" customHeight="1" x14ac:dyDescent="0.2">
      <c r="A811" s="26"/>
      <c r="B811" s="139"/>
      <c r="C811" s="141"/>
      <c r="D811" s="141"/>
      <c r="E811" s="141"/>
      <c r="F811" s="141"/>
      <c r="G811" s="143"/>
      <c r="H811" s="26"/>
    </row>
    <row r="812" spans="1:8" ht="17.25" customHeight="1" x14ac:dyDescent="0.2">
      <c r="A812" s="26"/>
      <c r="B812" s="139"/>
      <c r="C812" s="141"/>
      <c r="D812" s="141"/>
      <c r="E812" s="141"/>
      <c r="F812" s="141"/>
      <c r="G812" s="143"/>
      <c r="H812" s="26"/>
    </row>
    <row r="813" spans="1:8" ht="17.25" customHeight="1" x14ac:dyDescent="0.2">
      <c r="A813" s="26"/>
      <c r="B813" s="139"/>
      <c r="C813" s="141"/>
      <c r="D813" s="141"/>
      <c r="E813" s="141"/>
      <c r="F813" s="141"/>
      <c r="G813" s="143"/>
      <c r="H813" s="26"/>
    </row>
    <row r="814" spans="1:8" ht="17.25" customHeight="1" x14ac:dyDescent="0.2">
      <c r="A814" s="26"/>
      <c r="B814" s="139"/>
      <c r="C814" s="141"/>
      <c r="D814" s="141"/>
      <c r="E814" s="141"/>
      <c r="F814" s="141"/>
      <c r="G814" s="143"/>
      <c r="H814" s="26"/>
    </row>
    <row r="815" spans="1:8" ht="17.25" customHeight="1" x14ac:dyDescent="0.2">
      <c r="A815" s="26"/>
      <c r="B815" s="139"/>
      <c r="C815" s="141"/>
      <c r="D815" s="141"/>
      <c r="E815" s="141"/>
      <c r="F815" s="141"/>
      <c r="G815" s="143"/>
      <c r="H815" s="26"/>
    </row>
    <row r="816" spans="1:8" ht="17.25" customHeight="1" x14ac:dyDescent="0.2">
      <c r="A816" s="26"/>
      <c r="B816" s="139"/>
      <c r="C816" s="141"/>
      <c r="D816" s="141"/>
      <c r="E816" s="141"/>
      <c r="F816" s="141"/>
      <c r="G816" s="143"/>
      <c r="H816" s="26"/>
    </row>
    <row r="817" spans="1:8" ht="17.25" customHeight="1" x14ac:dyDescent="0.2">
      <c r="A817" s="26"/>
      <c r="B817" s="139"/>
      <c r="C817" s="141"/>
      <c r="D817" s="141"/>
      <c r="E817" s="141"/>
      <c r="F817" s="141"/>
      <c r="G817" s="143"/>
      <c r="H817" s="26"/>
    </row>
    <row r="818" spans="1:8" ht="17.25" customHeight="1" x14ac:dyDescent="0.2">
      <c r="A818" s="26"/>
      <c r="B818" s="139"/>
      <c r="C818" s="141"/>
      <c r="D818" s="141"/>
      <c r="E818" s="141"/>
      <c r="F818" s="141"/>
      <c r="G818" s="143"/>
      <c r="H818" s="26"/>
    </row>
    <row r="819" spans="1:8" ht="17.25" customHeight="1" x14ac:dyDescent="0.2">
      <c r="A819" s="26"/>
      <c r="B819" s="139"/>
      <c r="C819" s="141"/>
      <c r="D819" s="141"/>
      <c r="E819" s="141"/>
      <c r="F819" s="141"/>
      <c r="G819" s="143"/>
      <c r="H819" s="26"/>
    </row>
    <row r="820" spans="1:8" ht="17.25" customHeight="1" x14ac:dyDescent="0.2">
      <c r="A820" s="26"/>
      <c r="B820" s="139"/>
      <c r="C820" s="141"/>
      <c r="D820" s="141"/>
      <c r="E820" s="141"/>
      <c r="F820" s="141"/>
      <c r="G820" s="143"/>
      <c r="H820" s="26"/>
    </row>
    <row r="821" spans="1:8" ht="17.25" customHeight="1" x14ac:dyDescent="0.2">
      <c r="A821" s="26"/>
      <c r="B821" s="139"/>
      <c r="C821" s="141"/>
      <c r="D821" s="141"/>
      <c r="E821" s="141"/>
      <c r="F821" s="141"/>
      <c r="G821" s="143"/>
      <c r="H821" s="26"/>
    </row>
    <row r="822" spans="1:8" ht="17.25" customHeight="1" x14ac:dyDescent="0.2">
      <c r="A822" s="26"/>
      <c r="B822" s="139"/>
      <c r="C822" s="141"/>
      <c r="D822" s="141"/>
      <c r="E822" s="141"/>
      <c r="F822" s="141"/>
      <c r="G822" s="143"/>
      <c r="H822" s="26"/>
    </row>
    <row r="823" spans="1:8" ht="17.25" customHeight="1" x14ac:dyDescent="0.2">
      <c r="A823" s="26"/>
      <c r="B823" s="139"/>
      <c r="C823" s="141"/>
      <c r="D823" s="141"/>
      <c r="E823" s="141"/>
      <c r="F823" s="141"/>
      <c r="G823" s="143"/>
      <c r="H823" s="26"/>
    </row>
    <row r="824" spans="1:8" ht="17.25" customHeight="1" x14ac:dyDescent="0.2">
      <c r="A824" s="26"/>
      <c r="B824" s="139"/>
      <c r="C824" s="141"/>
      <c r="D824" s="141"/>
      <c r="E824" s="141"/>
      <c r="F824" s="141"/>
      <c r="G824" s="143"/>
      <c r="H824" s="26"/>
    </row>
    <row r="825" spans="1:8" ht="17.25" customHeight="1" x14ac:dyDescent="0.2">
      <c r="A825" s="26"/>
      <c r="B825" s="139"/>
      <c r="C825" s="141"/>
      <c r="D825" s="141"/>
      <c r="E825" s="141"/>
      <c r="F825" s="141"/>
      <c r="G825" s="143"/>
      <c r="H825" s="26"/>
    </row>
    <row r="826" spans="1:8" ht="17.25" customHeight="1" x14ac:dyDescent="0.2">
      <c r="A826" s="26"/>
      <c r="B826" s="139"/>
      <c r="C826" s="141"/>
      <c r="D826" s="141"/>
      <c r="E826" s="141"/>
      <c r="F826" s="141"/>
      <c r="G826" s="143"/>
      <c r="H826" s="26"/>
    </row>
    <row r="827" spans="1:8" ht="17.25" customHeight="1" x14ac:dyDescent="0.2">
      <c r="A827" s="26"/>
      <c r="B827" s="139"/>
      <c r="C827" s="141"/>
      <c r="D827" s="141"/>
      <c r="E827" s="141"/>
      <c r="F827" s="141"/>
      <c r="G827" s="143"/>
      <c r="H827" s="26"/>
    </row>
    <row r="828" spans="1:8" ht="17.25" customHeight="1" x14ac:dyDescent="0.2">
      <c r="A828" s="26"/>
      <c r="B828" s="139"/>
      <c r="C828" s="141"/>
      <c r="D828" s="141"/>
      <c r="E828" s="141"/>
      <c r="F828" s="141"/>
      <c r="G828" s="143"/>
      <c r="H828" s="26"/>
    </row>
    <row r="829" spans="1:8" ht="17.25" customHeight="1" x14ac:dyDescent="0.2">
      <c r="A829" s="26"/>
      <c r="B829" s="139"/>
      <c r="C829" s="141"/>
      <c r="D829" s="141"/>
      <c r="E829" s="141"/>
      <c r="F829" s="141"/>
      <c r="G829" s="143"/>
      <c r="H829" s="26"/>
    </row>
    <row r="830" spans="1:8" ht="17.25" customHeight="1" x14ac:dyDescent="0.2">
      <c r="A830" s="26"/>
      <c r="B830" s="139"/>
      <c r="C830" s="141"/>
      <c r="D830" s="141"/>
      <c r="E830" s="141"/>
      <c r="F830" s="141"/>
      <c r="G830" s="143"/>
      <c r="H830" s="26"/>
    </row>
    <row r="831" spans="1:8" ht="17.25" customHeight="1" x14ac:dyDescent="0.2">
      <c r="A831" s="26"/>
      <c r="B831" s="139"/>
      <c r="C831" s="141"/>
      <c r="D831" s="141"/>
      <c r="E831" s="141"/>
      <c r="F831" s="141"/>
      <c r="G831" s="143"/>
      <c r="H831" s="26"/>
    </row>
    <row r="832" spans="1:8" ht="17.25" customHeight="1" x14ac:dyDescent="0.2">
      <c r="A832" s="26"/>
      <c r="B832" s="139"/>
      <c r="C832" s="141"/>
      <c r="D832" s="141"/>
      <c r="E832" s="141"/>
      <c r="F832" s="141"/>
      <c r="G832" s="143"/>
      <c r="H832" s="26"/>
    </row>
    <row r="833" spans="1:8" ht="17.25" customHeight="1" x14ac:dyDescent="0.2">
      <c r="A833" s="26"/>
      <c r="B833" s="139"/>
      <c r="C833" s="141"/>
      <c r="D833" s="141"/>
      <c r="E833" s="141"/>
      <c r="F833" s="141"/>
      <c r="G833" s="143"/>
      <c r="H833" s="26"/>
    </row>
    <row r="834" spans="1:8" ht="17.25" customHeight="1" x14ac:dyDescent="0.2">
      <c r="A834" s="26"/>
      <c r="B834" s="139"/>
      <c r="C834" s="141"/>
      <c r="D834" s="141"/>
      <c r="E834" s="141"/>
      <c r="F834" s="141"/>
      <c r="G834" s="143"/>
      <c r="H834" s="26"/>
    </row>
    <row r="835" spans="1:8" ht="17.25" customHeight="1" x14ac:dyDescent="0.2">
      <c r="A835" s="26"/>
      <c r="B835" s="139"/>
      <c r="C835" s="141"/>
      <c r="D835" s="141"/>
      <c r="E835" s="141"/>
      <c r="F835" s="141"/>
      <c r="G835" s="143"/>
      <c r="H835" s="26"/>
    </row>
    <row r="836" spans="1:8" ht="17.25" customHeight="1" x14ac:dyDescent="0.2">
      <c r="A836" s="26"/>
      <c r="B836" s="139"/>
      <c r="C836" s="141"/>
      <c r="D836" s="141"/>
      <c r="E836" s="141"/>
      <c r="F836" s="141"/>
      <c r="G836" s="143"/>
      <c r="H836" s="26"/>
    </row>
    <row r="837" spans="1:8" ht="17.25" customHeight="1" x14ac:dyDescent="0.2">
      <c r="A837" s="26"/>
      <c r="B837" s="139"/>
      <c r="C837" s="141"/>
      <c r="D837" s="141"/>
      <c r="E837" s="141"/>
      <c r="F837" s="141"/>
      <c r="G837" s="143"/>
      <c r="H837" s="26"/>
    </row>
    <row r="838" spans="1:8" ht="17.25" customHeight="1" x14ac:dyDescent="0.2">
      <c r="A838" s="26"/>
      <c r="B838" s="139"/>
      <c r="C838" s="141"/>
      <c r="D838" s="141"/>
      <c r="E838" s="141"/>
      <c r="F838" s="141"/>
      <c r="G838" s="143"/>
      <c r="H838" s="26"/>
    </row>
    <row r="839" spans="1:8" ht="17.25" customHeight="1" x14ac:dyDescent="0.2">
      <c r="A839" s="26"/>
      <c r="B839" s="139"/>
      <c r="C839" s="141"/>
      <c r="D839" s="141"/>
      <c r="E839" s="141"/>
      <c r="F839" s="141"/>
      <c r="G839" s="143"/>
      <c r="H839" s="26"/>
    </row>
    <row r="840" spans="1:8" ht="17.25" customHeight="1" x14ac:dyDescent="0.2">
      <c r="A840" s="26"/>
      <c r="B840" s="139"/>
      <c r="C840" s="141"/>
      <c r="D840" s="141"/>
      <c r="E840" s="141"/>
      <c r="F840" s="141"/>
      <c r="G840" s="143"/>
      <c r="H840" s="26"/>
    </row>
    <row r="841" spans="1:8" ht="17.25" customHeight="1" x14ac:dyDescent="0.2">
      <c r="A841" s="26"/>
      <c r="B841" s="139"/>
      <c r="C841" s="141"/>
      <c r="D841" s="141"/>
      <c r="E841" s="141"/>
      <c r="F841" s="141"/>
      <c r="G841" s="143"/>
      <c r="H841" s="26"/>
    </row>
    <row r="842" spans="1:8" ht="17.25" customHeight="1" x14ac:dyDescent="0.2">
      <c r="A842" s="26"/>
      <c r="B842" s="139"/>
      <c r="C842" s="141"/>
      <c r="D842" s="141"/>
      <c r="E842" s="141"/>
      <c r="F842" s="141"/>
      <c r="G842" s="143"/>
      <c r="H842" s="26"/>
    </row>
    <row r="843" spans="1:8" ht="17.25" customHeight="1" x14ac:dyDescent="0.2">
      <c r="A843" s="26"/>
      <c r="B843" s="139"/>
      <c r="C843" s="141"/>
      <c r="D843" s="141"/>
      <c r="E843" s="141"/>
      <c r="F843" s="141"/>
      <c r="G843" s="143"/>
      <c r="H843" s="26"/>
    </row>
    <row r="844" spans="1:8" ht="17.25" customHeight="1" x14ac:dyDescent="0.2">
      <c r="A844" s="26"/>
      <c r="B844" s="139"/>
      <c r="C844" s="141"/>
      <c r="D844" s="141"/>
      <c r="E844" s="141"/>
      <c r="F844" s="141"/>
      <c r="G844" s="143"/>
      <c r="H844" s="26"/>
    </row>
    <row r="845" spans="1:8" ht="17.25" customHeight="1" x14ac:dyDescent="0.2">
      <c r="A845" s="26"/>
      <c r="B845" s="139"/>
      <c r="C845" s="141"/>
      <c r="D845" s="141"/>
      <c r="E845" s="141"/>
      <c r="F845" s="141"/>
      <c r="G845" s="143"/>
      <c r="H845" s="26"/>
    </row>
    <row r="846" spans="1:8" ht="17.25" customHeight="1" x14ac:dyDescent="0.2">
      <c r="A846" s="26"/>
      <c r="B846" s="139"/>
      <c r="C846" s="141"/>
      <c r="D846" s="141"/>
      <c r="E846" s="141"/>
      <c r="F846" s="141"/>
      <c r="G846" s="143"/>
      <c r="H846" s="26"/>
    </row>
    <row r="847" spans="1:8" ht="17.25" customHeight="1" x14ac:dyDescent="0.2">
      <c r="A847" s="26"/>
      <c r="B847" s="139"/>
      <c r="C847" s="141"/>
      <c r="D847" s="141"/>
      <c r="E847" s="141"/>
      <c r="F847" s="141"/>
      <c r="G847" s="143"/>
      <c r="H847" s="26"/>
    </row>
    <row r="848" spans="1:8" ht="17.25" customHeight="1" x14ac:dyDescent="0.2">
      <c r="A848" s="26"/>
      <c r="B848" s="139"/>
      <c r="C848" s="141"/>
      <c r="D848" s="141"/>
      <c r="E848" s="141"/>
      <c r="F848" s="141"/>
      <c r="G848" s="143"/>
      <c r="H848" s="26"/>
    </row>
    <row r="849" spans="1:8" ht="17.25" customHeight="1" x14ac:dyDescent="0.2">
      <c r="A849" s="26"/>
      <c r="B849" s="139"/>
      <c r="C849" s="141"/>
      <c r="D849" s="141"/>
      <c r="E849" s="141"/>
      <c r="F849" s="141"/>
      <c r="G849" s="143"/>
      <c r="H849" s="26"/>
    </row>
    <row r="850" spans="1:8" ht="17.25" customHeight="1" x14ac:dyDescent="0.2">
      <c r="A850" s="26"/>
      <c r="B850" s="139"/>
      <c r="C850" s="141"/>
      <c r="D850" s="141"/>
      <c r="E850" s="141"/>
      <c r="F850" s="141"/>
      <c r="G850" s="143"/>
      <c r="H850" s="26"/>
    </row>
    <row r="851" spans="1:8" ht="17.25" customHeight="1" x14ac:dyDescent="0.2">
      <c r="A851" s="26"/>
      <c r="B851" s="139"/>
      <c r="C851" s="141"/>
      <c r="D851" s="141"/>
      <c r="E851" s="141"/>
      <c r="F851" s="141"/>
      <c r="G851" s="143"/>
      <c r="H851" s="26"/>
    </row>
    <row r="852" spans="1:8" ht="17.25" customHeight="1" x14ac:dyDescent="0.2">
      <c r="A852" s="26"/>
      <c r="B852" s="139"/>
      <c r="C852" s="141"/>
      <c r="D852" s="141"/>
      <c r="E852" s="141"/>
      <c r="F852" s="141"/>
      <c r="G852" s="143"/>
      <c r="H852" s="26"/>
    </row>
    <row r="853" spans="1:8" ht="17.25" customHeight="1" x14ac:dyDescent="0.2">
      <c r="A853" s="26"/>
      <c r="B853" s="139"/>
      <c r="C853" s="141"/>
      <c r="D853" s="141"/>
      <c r="E853" s="141"/>
      <c r="F853" s="141"/>
      <c r="G853" s="143"/>
      <c r="H853" s="26"/>
    </row>
    <row r="854" spans="1:8" ht="17.25" customHeight="1" x14ac:dyDescent="0.2">
      <c r="A854" s="26"/>
      <c r="B854" s="139"/>
      <c r="C854" s="141"/>
      <c r="D854" s="141"/>
      <c r="E854" s="141"/>
      <c r="F854" s="141"/>
      <c r="G854" s="143"/>
      <c r="H854" s="26"/>
    </row>
    <row r="855" spans="1:8" ht="17.25" customHeight="1" x14ac:dyDescent="0.2">
      <c r="A855" s="26"/>
      <c r="B855" s="139"/>
      <c r="C855" s="141"/>
      <c r="D855" s="141"/>
      <c r="E855" s="141"/>
      <c r="F855" s="141"/>
      <c r="G855" s="143"/>
      <c r="H855" s="26"/>
    </row>
    <row r="856" spans="1:8" ht="17.25" customHeight="1" x14ac:dyDescent="0.2">
      <c r="A856" s="26"/>
      <c r="B856" s="139"/>
      <c r="C856" s="141"/>
      <c r="D856" s="141"/>
      <c r="E856" s="141"/>
      <c r="F856" s="141"/>
      <c r="G856" s="143"/>
      <c r="H856" s="26"/>
    </row>
    <row r="857" spans="1:8" ht="17.25" customHeight="1" x14ac:dyDescent="0.2">
      <c r="A857" s="26"/>
      <c r="B857" s="139"/>
      <c r="C857" s="141"/>
      <c r="D857" s="141"/>
      <c r="E857" s="141"/>
      <c r="F857" s="141"/>
      <c r="G857" s="143"/>
      <c r="H857" s="26"/>
    </row>
    <row r="858" spans="1:8" ht="17.25" customHeight="1" x14ac:dyDescent="0.2">
      <c r="A858" s="26"/>
      <c r="B858" s="139"/>
      <c r="C858" s="141"/>
      <c r="D858" s="141"/>
      <c r="E858" s="141"/>
      <c r="F858" s="141"/>
      <c r="G858" s="143"/>
      <c r="H858" s="26"/>
    </row>
    <row r="859" spans="1:8" ht="17.25" customHeight="1" x14ac:dyDescent="0.2">
      <c r="A859" s="26"/>
      <c r="B859" s="139"/>
      <c r="C859" s="141"/>
      <c r="D859" s="141"/>
      <c r="E859" s="141"/>
      <c r="F859" s="141"/>
      <c r="G859" s="143"/>
      <c r="H859" s="26"/>
    </row>
    <row r="860" spans="1:8" ht="17.25" customHeight="1" x14ac:dyDescent="0.2">
      <c r="A860" s="26"/>
      <c r="B860" s="139"/>
      <c r="C860" s="141"/>
      <c r="D860" s="141"/>
      <c r="E860" s="141"/>
      <c r="F860" s="141"/>
      <c r="G860" s="143"/>
      <c r="H860" s="26"/>
    </row>
    <row r="861" spans="1:8" ht="17.25" customHeight="1" x14ac:dyDescent="0.2">
      <c r="A861" s="26"/>
      <c r="B861" s="139"/>
      <c r="C861" s="141"/>
      <c r="D861" s="141"/>
      <c r="E861" s="141"/>
      <c r="F861" s="141"/>
      <c r="G861" s="143"/>
      <c r="H861" s="26"/>
    </row>
    <row r="862" spans="1:8" ht="17.25" customHeight="1" x14ac:dyDescent="0.2">
      <c r="A862" s="26"/>
      <c r="B862" s="139"/>
      <c r="C862" s="141"/>
      <c r="D862" s="141"/>
      <c r="E862" s="141"/>
      <c r="F862" s="141"/>
      <c r="G862" s="143"/>
      <c r="H862" s="26"/>
    </row>
    <row r="863" spans="1:8" ht="17.25" customHeight="1" x14ac:dyDescent="0.2">
      <c r="A863" s="26"/>
      <c r="B863" s="139"/>
      <c r="C863" s="141"/>
      <c r="D863" s="141"/>
      <c r="E863" s="141"/>
      <c r="F863" s="141"/>
      <c r="G863" s="143"/>
      <c r="H863" s="26"/>
    </row>
    <row r="864" spans="1:8" ht="17.25" customHeight="1" x14ac:dyDescent="0.2">
      <c r="A864" s="26"/>
      <c r="B864" s="139"/>
      <c r="C864" s="141"/>
      <c r="D864" s="141"/>
      <c r="E864" s="141"/>
      <c r="F864" s="141"/>
      <c r="G864" s="143"/>
      <c r="H864" s="26"/>
    </row>
    <row r="865" spans="1:8" ht="17.25" customHeight="1" x14ac:dyDescent="0.2">
      <c r="A865" s="26"/>
      <c r="B865" s="139"/>
      <c r="C865" s="141"/>
      <c r="D865" s="141"/>
      <c r="E865" s="141"/>
      <c r="F865" s="141"/>
      <c r="G865" s="143"/>
      <c r="H865" s="26"/>
    </row>
    <row r="866" spans="1:8" ht="17.25" customHeight="1" x14ac:dyDescent="0.2">
      <c r="A866" s="26"/>
      <c r="B866" s="139"/>
      <c r="C866" s="141"/>
      <c r="D866" s="141"/>
      <c r="E866" s="141"/>
      <c r="F866" s="141"/>
      <c r="G866" s="143"/>
      <c r="H866" s="26"/>
    </row>
    <row r="867" spans="1:8" ht="17.25" customHeight="1" x14ac:dyDescent="0.2">
      <c r="A867" s="26"/>
      <c r="B867" s="139"/>
      <c r="C867" s="141"/>
      <c r="D867" s="141"/>
      <c r="E867" s="141"/>
      <c r="F867" s="141"/>
      <c r="G867" s="143"/>
      <c r="H867" s="26"/>
    </row>
    <row r="868" spans="1:8" ht="17.25" customHeight="1" x14ac:dyDescent="0.2">
      <c r="A868" s="26"/>
      <c r="B868" s="139"/>
      <c r="C868" s="141"/>
      <c r="D868" s="141"/>
      <c r="E868" s="141"/>
      <c r="F868" s="141"/>
      <c r="G868" s="143"/>
      <c r="H868" s="26"/>
    </row>
    <row r="869" spans="1:8" ht="17.25" customHeight="1" x14ac:dyDescent="0.2">
      <c r="A869" s="26"/>
      <c r="B869" s="139"/>
      <c r="C869" s="141"/>
      <c r="D869" s="141"/>
      <c r="E869" s="141"/>
      <c r="F869" s="141"/>
      <c r="G869" s="143"/>
      <c r="H869" s="26"/>
    </row>
    <row r="870" spans="1:8" ht="17.25" customHeight="1" x14ac:dyDescent="0.2">
      <c r="A870" s="26"/>
      <c r="B870" s="139"/>
      <c r="C870" s="141"/>
      <c r="D870" s="141"/>
      <c r="E870" s="141"/>
      <c r="F870" s="141"/>
      <c r="G870" s="143"/>
      <c r="H870" s="26"/>
    </row>
    <row r="871" spans="1:8" ht="17.25" customHeight="1" x14ac:dyDescent="0.2">
      <c r="A871" s="26"/>
      <c r="B871" s="139"/>
      <c r="C871" s="141"/>
      <c r="D871" s="141"/>
      <c r="E871" s="141"/>
      <c r="F871" s="141"/>
      <c r="G871" s="143"/>
      <c r="H871" s="26"/>
    </row>
    <row r="872" spans="1:8" ht="17.25" customHeight="1" x14ac:dyDescent="0.2">
      <c r="A872" s="26"/>
      <c r="B872" s="139"/>
      <c r="C872" s="141"/>
      <c r="D872" s="141"/>
      <c r="E872" s="141"/>
      <c r="F872" s="141"/>
      <c r="G872" s="143"/>
      <c r="H872" s="26"/>
    </row>
    <row r="873" spans="1:8" ht="17.25" customHeight="1" x14ac:dyDescent="0.2">
      <c r="A873" s="26"/>
      <c r="B873" s="139"/>
      <c r="C873" s="141"/>
      <c r="D873" s="141"/>
      <c r="E873" s="141"/>
      <c r="F873" s="141"/>
      <c r="G873" s="143"/>
      <c r="H873" s="26"/>
    </row>
    <row r="874" spans="1:8" ht="17.25" customHeight="1" x14ac:dyDescent="0.2">
      <c r="A874" s="26"/>
      <c r="B874" s="139"/>
      <c r="C874" s="141"/>
      <c r="D874" s="141"/>
      <c r="E874" s="141"/>
      <c r="F874" s="141"/>
      <c r="G874" s="143"/>
      <c r="H874" s="26"/>
    </row>
    <row r="875" spans="1:8" ht="17.25" customHeight="1" x14ac:dyDescent="0.2">
      <c r="A875" s="26"/>
      <c r="B875" s="139"/>
      <c r="C875" s="141"/>
      <c r="D875" s="141"/>
      <c r="E875" s="141"/>
      <c r="F875" s="141"/>
      <c r="G875" s="143"/>
      <c r="H875" s="26"/>
    </row>
    <row r="876" spans="1:8" ht="17.25" customHeight="1" x14ac:dyDescent="0.2">
      <c r="A876" s="26"/>
      <c r="B876" s="139"/>
      <c r="C876" s="141"/>
      <c r="D876" s="141"/>
      <c r="E876" s="141"/>
      <c r="F876" s="141"/>
      <c r="G876" s="143"/>
      <c r="H876" s="26"/>
    </row>
    <row r="877" spans="1:8" ht="17.25" customHeight="1" x14ac:dyDescent="0.2">
      <c r="A877" s="26"/>
      <c r="B877" s="139"/>
      <c r="C877" s="141"/>
      <c r="D877" s="141"/>
      <c r="E877" s="141"/>
      <c r="F877" s="141"/>
      <c r="G877" s="143"/>
      <c r="H877" s="26"/>
    </row>
    <row r="878" spans="1:8" ht="17.25" customHeight="1" x14ac:dyDescent="0.2">
      <c r="A878" s="26"/>
      <c r="B878" s="139"/>
      <c r="C878" s="141"/>
      <c r="D878" s="141"/>
      <c r="E878" s="141"/>
      <c r="F878" s="141"/>
      <c r="G878" s="143"/>
      <c r="H878" s="26"/>
    </row>
    <row r="879" spans="1:8" ht="17.25" customHeight="1" x14ac:dyDescent="0.2">
      <c r="A879" s="26"/>
      <c r="B879" s="139"/>
      <c r="C879" s="141"/>
      <c r="D879" s="141"/>
      <c r="E879" s="141"/>
      <c r="F879" s="141"/>
      <c r="G879" s="143"/>
      <c r="H879" s="26"/>
    </row>
    <row r="880" spans="1:8" ht="17.25" customHeight="1" x14ac:dyDescent="0.2">
      <c r="A880" s="26"/>
      <c r="B880" s="139"/>
      <c r="C880" s="141"/>
      <c r="D880" s="141"/>
      <c r="E880" s="141"/>
      <c r="F880" s="141"/>
      <c r="G880" s="143"/>
      <c r="H880" s="26"/>
    </row>
    <row r="881" spans="1:8" ht="17.25" customHeight="1" x14ac:dyDescent="0.2">
      <c r="A881" s="26"/>
      <c r="B881" s="139"/>
      <c r="C881" s="141"/>
      <c r="D881" s="141"/>
      <c r="E881" s="141"/>
      <c r="F881" s="141"/>
      <c r="G881" s="143"/>
      <c r="H881" s="26"/>
    </row>
    <row r="882" spans="1:8" ht="17.25" customHeight="1" x14ac:dyDescent="0.2">
      <c r="A882" s="26"/>
      <c r="B882" s="139"/>
      <c r="C882" s="141"/>
      <c r="D882" s="141"/>
      <c r="E882" s="141"/>
      <c r="F882" s="141"/>
      <c r="G882" s="143"/>
      <c r="H882" s="26"/>
    </row>
    <row r="883" spans="1:8" ht="17.25" customHeight="1" x14ac:dyDescent="0.2">
      <c r="A883" s="26"/>
      <c r="B883" s="139"/>
      <c r="C883" s="141"/>
      <c r="D883" s="141"/>
      <c r="E883" s="141"/>
      <c r="F883" s="141"/>
      <c r="G883" s="143"/>
      <c r="H883" s="26"/>
    </row>
    <row r="884" spans="1:8" ht="17.25" customHeight="1" x14ac:dyDescent="0.2">
      <c r="A884" s="26"/>
      <c r="B884" s="139"/>
      <c r="C884" s="141"/>
      <c r="D884" s="141"/>
      <c r="E884" s="141"/>
      <c r="F884" s="141"/>
      <c r="G884" s="143"/>
      <c r="H884" s="26"/>
    </row>
    <row r="885" spans="1:8" ht="17.25" customHeight="1" x14ac:dyDescent="0.2">
      <c r="A885" s="26"/>
      <c r="B885" s="139"/>
      <c r="C885" s="141"/>
      <c r="D885" s="141"/>
      <c r="E885" s="141"/>
      <c r="F885" s="141"/>
      <c r="G885" s="143"/>
      <c r="H885" s="26"/>
    </row>
    <row r="886" spans="1:8" ht="17.25" customHeight="1" x14ac:dyDescent="0.2">
      <c r="A886" s="26"/>
      <c r="B886" s="139"/>
      <c r="C886" s="141"/>
      <c r="D886" s="141"/>
      <c r="E886" s="141"/>
      <c r="F886" s="141"/>
      <c r="G886" s="143"/>
      <c r="H886" s="26"/>
    </row>
    <row r="887" spans="1:8" ht="17.25" customHeight="1" x14ac:dyDescent="0.2">
      <c r="A887" s="26"/>
      <c r="B887" s="139"/>
      <c r="C887" s="141"/>
      <c r="D887" s="141"/>
      <c r="E887" s="141"/>
      <c r="F887" s="141"/>
      <c r="G887" s="143"/>
      <c r="H887" s="26"/>
    </row>
    <row r="888" spans="1:8" ht="17.25" customHeight="1" x14ac:dyDescent="0.2">
      <c r="A888" s="26"/>
      <c r="B888" s="139"/>
      <c r="C888" s="141"/>
      <c r="D888" s="141"/>
      <c r="E888" s="141"/>
      <c r="F888" s="141"/>
      <c r="G888" s="143"/>
      <c r="H888" s="26"/>
    </row>
    <row r="889" spans="1:8" ht="17.25" customHeight="1" x14ac:dyDescent="0.2">
      <c r="A889" s="26"/>
      <c r="B889" s="139"/>
      <c r="C889" s="141"/>
      <c r="D889" s="141"/>
      <c r="E889" s="141"/>
      <c r="F889" s="141"/>
      <c r="G889" s="143"/>
      <c r="H889" s="26"/>
    </row>
    <row r="890" spans="1:8" ht="17.25" customHeight="1" x14ac:dyDescent="0.2">
      <c r="A890" s="26"/>
      <c r="B890" s="139"/>
      <c r="C890" s="141"/>
      <c r="D890" s="141"/>
      <c r="E890" s="141"/>
      <c r="F890" s="141"/>
      <c r="G890" s="143"/>
      <c r="H890" s="26"/>
    </row>
    <row r="891" spans="1:8" ht="17.25" customHeight="1" x14ac:dyDescent="0.2">
      <c r="A891" s="26"/>
      <c r="B891" s="139"/>
      <c r="C891" s="141"/>
      <c r="D891" s="141"/>
      <c r="E891" s="141"/>
      <c r="F891" s="141"/>
      <c r="G891" s="143"/>
      <c r="H891" s="26"/>
    </row>
    <row r="892" spans="1:8" ht="17.25" customHeight="1" x14ac:dyDescent="0.2">
      <c r="A892" s="26"/>
      <c r="B892" s="139"/>
      <c r="C892" s="141"/>
      <c r="D892" s="141"/>
      <c r="E892" s="141"/>
      <c r="F892" s="141"/>
      <c r="G892" s="143"/>
      <c r="H892" s="26"/>
    </row>
    <row r="893" spans="1:8" ht="17.25" customHeight="1" x14ac:dyDescent="0.2">
      <c r="A893" s="26"/>
      <c r="B893" s="139"/>
      <c r="C893" s="141"/>
      <c r="D893" s="141"/>
      <c r="E893" s="141"/>
      <c r="F893" s="141"/>
      <c r="G893" s="143"/>
      <c r="H893" s="26"/>
    </row>
    <row r="894" spans="1:8" ht="17.25" customHeight="1" x14ac:dyDescent="0.2">
      <c r="A894" s="26"/>
      <c r="B894" s="139"/>
      <c r="C894" s="141"/>
      <c r="D894" s="141"/>
      <c r="E894" s="141"/>
      <c r="F894" s="141"/>
      <c r="G894" s="143"/>
      <c r="H894" s="26"/>
    </row>
    <row r="895" spans="1:8" ht="17.25" customHeight="1" x14ac:dyDescent="0.2">
      <c r="A895" s="26"/>
      <c r="B895" s="139"/>
      <c r="C895" s="141"/>
      <c r="D895" s="141"/>
      <c r="E895" s="141"/>
      <c r="F895" s="141"/>
      <c r="G895" s="143"/>
      <c r="H895" s="26"/>
    </row>
    <row r="896" spans="1:8" ht="17.25" customHeight="1" x14ac:dyDescent="0.2">
      <c r="A896" s="26"/>
      <c r="B896" s="139"/>
      <c r="C896" s="141"/>
      <c r="D896" s="141"/>
      <c r="E896" s="141"/>
      <c r="F896" s="141"/>
      <c r="G896" s="143"/>
      <c r="H896" s="26"/>
    </row>
    <row r="897" spans="1:8" ht="17.25" customHeight="1" x14ac:dyDescent="0.2">
      <c r="A897" s="26"/>
      <c r="B897" s="139"/>
      <c r="C897" s="141"/>
      <c r="D897" s="141"/>
      <c r="E897" s="141"/>
      <c r="F897" s="141"/>
      <c r="G897" s="143"/>
      <c r="H897" s="26"/>
    </row>
    <row r="898" spans="1:8" ht="17.25" customHeight="1" x14ac:dyDescent="0.2">
      <c r="A898" s="26"/>
      <c r="B898" s="139"/>
      <c r="C898" s="141"/>
      <c r="D898" s="141"/>
      <c r="E898" s="141"/>
      <c r="F898" s="141"/>
      <c r="G898" s="143"/>
      <c r="H898" s="26"/>
    </row>
    <row r="899" spans="1:8" ht="17.25" customHeight="1" x14ac:dyDescent="0.2">
      <c r="A899" s="26"/>
      <c r="B899" s="139"/>
      <c r="C899" s="141"/>
      <c r="D899" s="141"/>
      <c r="E899" s="141"/>
      <c r="F899" s="141"/>
      <c r="G899" s="143"/>
      <c r="H899" s="26"/>
    </row>
    <row r="900" spans="1:8" ht="17.25" customHeight="1" x14ac:dyDescent="0.2">
      <c r="A900" s="26"/>
      <c r="B900" s="139"/>
      <c r="C900" s="141"/>
      <c r="D900" s="141"/>
      <c r="E900" s="141"/>
      <c r="F900" s="141"/>
      <c r="G900" s="143"/>
      <c r="H900" s="26"/>
    </row>
    <row r="901" spans="1:8" ht="17.25" customHeight="1" x14ac:dyDescent="0.2">
      <c r="A901" s="26"/>
      <c r="B901" s="139"/>
      <c r="C901" s="141"/>
      <c r="D901" s="141"/>
      <c r="E901" s="141"/>
      <c r="F901" s="141"/>
      <c r="G901" s="143"/>
      <c r="H901" s="26"/>
    </row>
    <row r="902" spans="1:8" ht="17.25" customHeight="1" x14ac:dyDescent="0.2">
      <c r="A902" s="26"/>
      <c r="B902" s="139"/>
      <c r="C902" s="141"/>
      <c r="D902" s="141"/>
      <c r="E902" s="141"/>
      <c r="F902" s="141"/>
      <c r="G902" s="143"/>
      <c r="H902" s="26"/>
    </row>
    <row r="903" spans="1:8" ht="17.25" customHeight="1" x14ac:dyDescent="0.2">
      <c r="A903" s="26"/>
      <c r="B903" s="139"/>
      <c r="C903" s="141"/>
      <c r="D903" s="141"/>
      <c r="E903" s="141"/>
      <c r="F903" s="141"/>
      <c r="G903" s="143"/>
      <c r="H903" s="26"/>
    </row>
    <row r="904" spans="1:8" ht="17.25" customHeight="1" x14ac:dyDescent="0.2">
      <c r="A904" s="26"/>
      <c r="B904" s="139"/>
      <c r="C904" s="141"/>
      <c r="D904" s="141"/>
      <c r="E904" s="141"/>
      <c r="F904" s="141"/>
      <c r="G904" s="143"/>
      <c r="H904" s="26"/>
    </row>
    <row r="905" spans="1:8" ht="17.25" customHeight="1" x14ac:dyDescent="0.2">
      <c r="A905" s="26"/>
      <c r="B905" s="139"/>
      <c r="C905" s="141"/>
      <c r="D905" s="141"/>
      <c r="E905" s="141"/>
      <c r="F905" s="141"/>
      <c r="G905" s="143"/>
      <c r="H905" s="26"/>
    </row>
    <row r="906" spans="1:8" ht="17.25" customHeight="1" x14ac:dyDescent="0.2">
      <c r="A906" s="26"/>
      <c r="B906" s="139"/>
      <c r="C906" s="141"/>
      <c r="D906" s="141"/>
      <c r="E906" s="141"/>
      <c r="F906" s="141"/>
      <c r="G906" s="143"/>
      <c r="H906" s="26"/>
    </row>
    <row r="907" spans="1:8" ht="17.25" customHeight="1" x14ac:dyDescent="0.2">
      <c r="A907" s="26"/>
      <c r="B907" s="139"/>
      <c r="C907" s="141"/>
      <c r="D907" s="141"/>
      <c r="E907" s="141"/>
      <c r="F907" s="141"/>
      <c r="G907" s="143"/>
      <c r="H907" s="26"/>
    </row>
    <row r="908" spans="1:8" ht="17.25" customHeight="1" x14ac:dyDescent="0.2">
      <c r="A908" s="26"/>
      <c r="B908" s="139"/>
      <c r="C908" s="141"/>
      <c r="D908" s="141"/>
      <c r="E908" s="141"/>
      <c r="F908" s="141"/>
      <c r="G908" s="143"/>
      <c r="H908" s="26"/>
    </row>
    <row r="909" spans="1:8" ht="17.25" customHeight="1" x14ac:dyDescent="0.2">
      <c r="A909" s="26"/>
      <c r="B909" s="139"/>
      <c r="C909" s="141"/>
      <c r="D909" s="141"/>
      <c r="E909" s="141"/>
      <c r="F909" s="141"/>
      <c r="G909" s="143"/>
      <c r="H909" s="26"/>
    </row>
    <row r="910" spans="1:8" ht="17.25" customHeight="1" x14ac:dyDescent="0.2">
      <c r="A910" s="26"/>
      <c r="B910" s="139"/>
      <c r="C910" s="141"/>
      <c r="D910" s="141"/>
      <c r="E910" s="141"/>
      <c r="F910" s="141"/>
      <c r="G910" s="143"/>
      <c r="H910" s="26"/>
    </row>
    <row r="911" spans="1:8" ht="17.25" customHeight="1" x14ac:dyDescent="0.2">
      <c r="A911" s="26"/>
      <c r="B911" s="139"/>
      <c r="C911" s="141"/>
      <c r="D911" s="141"/>
      <c r="E911" s="141"/>
      <c r="F911" s="141"/>
      <c r="G911" s="143"/>
      <c r="H911" s="26"/>
    </row>
    <row r="912" spans="1:8" ht="17.25" customHeight="1" x14ac:dyDescent="0.2">
      <c r="A912" s="26"/>
      <c r="B912" s="139"/>
      <c r="C912" s="141"/>
      <c r="D912" s="141"/>
      <c r="E912" s="141"/>
      <c r="F912" s="141"/>
      <c r="G912" s="143"/>
      <c r="H912" s="26"/>
    </row>
    <row r="913" spans="1:8" ht="17.25" customHeight="1" x14ac:dyDescent="0.2">
      <c r="A913" s="26"/>
      <c r="B913" s="139"/>
      <c r="C913" s="141"/>
      <c r="D913" s="141"/>
      <c r="E913" s="141"/>
      <c r="F913" s="141"/>
      <c r="G913" s="143"/>
      <c r="H913" s="26"/>
    </row>
    <row r="914" spans="1:8" ht="17.25" customHeight="1" x14ac:dyDescent="0.2">
      <c r="A914" s="26"/>
      <c r="B914" s="139"/>
      <c r="C914" s="141"/>
      <c r="D914" s="141"/>
      <c r="E914" s="141"/>
      <c r="F914" s="141"/>
      <c r="G914" s="143"/>
      <c r="H914" s="26"/>
    </row>
    <row r="915" spans="1:8" ht="17.25" customHeight="1" x14ac:dyDescent="0.2">
      <c r="A915" s="26"/>
      <c r="B915" s="139"/>
      <c r="C915" s="141"/>
      <c r="D915" s="141"/>
      <c r="E915" s="141"/>
      <c r="F915" s="141"/>
      <c r="G915" s="143"/>
      <c r="H915" s="26"/>
    </row>
    <row r="916" spans="1:8" ht="17.25" customHeight="1" x14ac:dyDescent="0.2">
      <c r="A916" s="26"/>
      <c r="B916" s="139"/>
      <c r="C916" s="141"/>
      <c r="D916" s="141"/>
      <c r="E916" s="141"/>
      <c r="F916" s="141"/>
      <c r="G916" s="143"/>
      <c r="H916" s="26"/>
    </row>
    <row r="917" spans="1:8" ht="17.25" customHeight="1" x14ac:dyDescent="0.2">
      <c r="A917" s="26"/>
      <c r="B917" s="139"/>
      <c r="C917" s="141"/>
      <c r="D917" s="141"/>
      <c r="E917" s="141"/>
      <c r="F917" s="141"/>
      <c r="G917" s="143"/>
      <c r="H917" s="26"/>
    </row>
    <row r="918" spans="1:8" ht="17.25" customHeight="1" x14ac:dyDescent="0.2">
      <c r="A918" s="26"/>
      <c r="B918" s="139"/>
      <c r="C918" s="141"/>
      <c r="D918" s="141"/>
      <c r="E918" s="141"/>
      <c r="F918" s="141"/>
      <c r="G918" s="143"/>
      <c r="H918" s="26"/>
    </row>
    <row r="919" spans="1:8" ht="17.25" customHeight="1" x14ac:dyDescent="0.2">
      <c r="A919" s="26"/>
      <c r="B919" s="139"/>
      <c r="C919" s="141"/>
      <c r="D919" s="141"/>
      <c r="E919" s="141"/>
      <c r="F919" s="141"/>
      <c r="G919" s="143"/>
      <c r="H919" s="26"/>
    </row>
    <row r="920" spans="1:8" ht="17.25" customHeight="1" x14ac:dyDescent="0.2">
      <c r="A920" s="26"/>
      <c r="B920" s="139"/>
      <c r="C920" s="141"/>
      <c r="D920" s="141"/>
      <c r="E920" s="141"/>
      <c r="F920" s="141"/>
      <c r="G920" s="143"/>
      <c r="H920" s="26"/>
    </row>
    <row r="921" spans="1:8" ht="17.25" customHeight="1" x14ac:dyDescent="0.2">
      <c r="A921" s="26"/>
      <c r="B921" s="139"/>
      <c r="C921" s="141"/>
      <c r="D921" s="141"/>
      <c r="E921" s="141"/>
      <c r="F921" s="141"/>
      <c r="G921" s="143"/>
      <c r="H921" s="26"/>
    </row>
    <row r="922" spans="1:8" ht="17.25" customHeight="1" x14ac:dyDescent="0.2">
      <c r="A922" s="26"/>
      <c r="B922" s="139"/>
      <c r="C922" s="141"/>
      <c r="D922" s="141"/>
      <c r="E922" s="141"/>
      <c r="F922" s="141"/>
      <c r="G922" s="143"/>
      <c r="H922" s="26"/>
    </row>
    <row r="923" spans="1:8" ht="17.25" customHeight="1" x14ac:dyDescent="0.2">
      <c r="A923" s="26"/>
      <c r="B923" s="139"/>
      <c r="C923" s="141"/>
      <c r="D923" s="141"/>
      <c r="E923" s="141"/>
      <c r="F923" s="141"/>
      <c r="G923" s="143"/>
      <c r="H923" s="26"/>
    </row>
    <row r="924" spans="1:8" ht="17.25" customHeight="1" x14ac:dyDescent="0.2">
      <c r="A924" s="26"/>
      <c r="B924" s="139"/>
      <c r="C924" s="141"/>
      <c r="D924" s="141"/>
      <c r="E924" s="141"/>
      <c r="F924" s="141"/>
      <c r="G924" s="143"/>
      <c r="H924" s="26"/>
    </row>
    <row r="925" spans="1:8" ht="17.25" customHeight="1" x14ac:dyDescent="0.2">
      <c r="A925" s="26"/>
      <c r="B925" s="139"/>
      <c r="C925" s="141"/>
      <c r="D925" s="141"/>
      <c r="E925" s="141"/>
      <c r="F925" s="141"/>
      <c r="G925" s="143"/>
      <c r="H925" s="26"/>
    </row>
    <row r="926" spans="1:8" ht="17.25" customHeight="1" x14ac:dyDescent="0.2">
      <c r="A926" s="26"/>
      <c r="B926" s="139"/>
      <c r="C926" s="141"/>
      <c r="D926" s="141"/>
      <c r="E926" s="141"/>
      <c r="F926" s="141"/>
      <c r="G926" s="143"/>
      <c r="H926" s="26"/>
    </row>
    <row r="927" spans="1:8" ht="17.25" customHeight="1" x14ac:dyDescent="0.2">
      <c r="A927" s="26"/>
      <c r="B927" s="139"/>
      <c r="C927" s="141"/>
      <c r="D927" s="141"/>
      <c r="E927" s="141"/>
      <c r="F927" s="141"/>
      <c r="G927" s="143"/>
      <c r="H927" s="26"/>
    </row>
    <row r="928" spans="1:8" ht="17.25" customHeight="1" x14ac:dyDescent="0.2">
      <c r="A928" s="26"/>
      <c r="B928" s="139"/>
      <c r="C928" s="141"/>
      <c r="D928" s="141"/>
      <c r="E928" s="141"/>
      <c r="F928" s="141"/>
      <c r="G928" s="143"/>
      <c r="H928" s="26"/>
    </row>
    <row r="929" spans="1:8" ht="17.25" customHeight="1" x14ac:dyDescent="0.2">
      <c r="A929" s="26"/>
      <c r="B929" s="139"/>
      <c r="C929" s="141"/>
      <c r="D929" s="141"/>
      <c r="E929" s="141"/>
      <c r="F929" s="141"/>
      <c r="G929" s="143"/>
      <c r="H929" s="26"/>
    </row>
    <row r="930" spans="1:8" ht="17.25" customHeight="1" x14ac:dyDescent="0.2">
      <c r="A930" s="26"/>
      <c r="B930" s="139"/>
      <c r="C930" s="141"/>
      <c r="D930" s="141"/>
      <c r="E930" s="141"/>
      <c r="F930" s="141"/>
      <c r="G930" s="143"/>
      <c r="H930" s="26"/>
    </row>
    <row r="931" spans="1:8" ht="17.25" customHeight="1" x14ac:dyDescent="0.2">
      <c r="A931" s="26"/>
      <c r="B931" s="139"/>
      <c r="C931" s="141"/>
      <c r="D931" s="141"/>
      <c r="E931" s="141"/>
      <c r="F931" s="141"/>
      <c r="G931" s="143"/>
      <c r="H931" s="26"/>
    </row>
    <row r="932" spans="1:8" ht="17.25" customHeight="1" x14ac:dyDescent="0.2">
      <c r="A932" s="26"/>
      <c r="B932" s="139"/>
      <c r="C932" s="141"/>
      <c r="D932" s="141"/>
      <c r="E932" s="141"/>
      <c r="F932" s="141"/>
      <c r="G932" s="143"/>
      <c r="H932" s="26"/>
    </row>
    <row r="933" spans="1:8" ht="17.25" customHeight="1" x14ac:dyDescent="0.2">
      <c r="A933" s="26"/>
      <c r="B933" s="139"/>
      <c r="C933" s="141"/>
      <c r="D933" s="141"/>
      <c r="E933" s="141"/>
      <c r="F933" s="141"/>
      <c r="G933" s="143"/>
      <c r="H933" s="26"/>
    </row>
    <row r="934" spans="1:8" ht="17.25" customHeight="1" x14ac:dyDescent="0.2">
      <c r="A934" s="26"/>
      <c r="B934" s="139"/>
      <c r="C934" s="141"/>
      <c r="D934" s="141"/>
      <c r="E934" s="141"/>
      <c r="F934" s="141"/>
      <c r="G934" s="143"/>
      <c r="H934" s="26"/>
    </row>
    <row r="935" spans="1:8" ht="17.25" customHeight="1" x14ac:dyDescent="0.2">
      <c r="A935" s="26"/>
      <c r="B935" s="139"/>
      <c r="C935" s="141"/>
      <c r="D935" s="141"/>
      <c r="E935" s="141"/>
      <c r="F935" s="141"/>
      <c r="G935" s="143"/>
      <c r="H935" s="26"/>
    </row>
    <row r="936" spans="1:8" ht="17.25" customHeight="1" x14ac:dyDescent="0.2">
      <c r="A936" s="26"/>
      <c r="B936" s="139"/>
      <c r="C936" s="141"/>
      <c r="D936" s="141"/>
      <c r="E936" s="141"/>
      <c r="F936" s="141"/>
      <c r="G936" s="143"/>
      <c r="H936" s="26"/>
    </row>
    <row r="937" spans="1:8" ht="17.25" customHeight="1" x14ac:dyDescent="0.2">
      <c r="A937" s="26"/>
      <c r="B937" s="139"/>
      <c r="C937" s="141"/>
      <c r="D937" s="141"/>
      <c r="E937" s="141"/>
      <c r="F937" s="141"/>
      <c r="G937" s="143"/>
      <c r="H937" s="26"/>
    </row>
    <row r="938" spans="1:8" ht="17.25" customHeight="1" x14ac:dyDescent="0.2">
      <c r="A938" s="26"/>
      <c r="B938" s="139"/>
      <c r="C938" s="141"/>
      <c r="D938" s="141"/>
      <c r="E938" s="141"/>
      <c r="F938" s="141"/>
      <c r="G938" s="143"/>
      <c r="H938" s="26"/>
    </row>
    <row r="939" spans="1:8" ht="17.25" customHeight="1" x14ac:dyDescent="0.2">
      <c r="A939" s="26"/>
      <c r="B939" s="139"/>
      <c r="C939" s="141"/>
      <c r="D939" s="141"/>
      <c r="E939" s="141"/>
      <c r="F939" s="141"/>
      <c r="G939" s="143"/>
      <c r="H939" s="26"/>
    </row>
    <row r="940" spans="1:8" ht="17.25" customHeight="1" x14ac:dyDescent="0.2">
      <c r="A940" s="26"/>
      <c r="B940" s="139"/>
      <c r="C940" s="141"/>
      <c r="D940" s="141"/>
      <c r="E940" s="141"/>
      <c r="F940" s="141"/>
      <c r="G940" s="143"/>
      <c r="H940" s="26"/>
    </row>
    <row r="941" spans="1:8" ht="17.25" customHeight="1" x14ac:dyDescent="0.2">
      <c r="A941" s="26"/>
      <c r="B941" s="139"/>
      <c r="C941" s="141"/>
      <c r="D941" s="141"/>
      <c r="E941" s="141"/>
      <c r="F941" s="141"/>
      <c r="G941" s="143"/>
      <c r="H941" s="26"/>
    </row>
    <row r="942" spans="1:8" ht="17.25" customHeight="1" x14ac:dyDescent="0.2">
      <c r="A942" s="26"/>
      <c r="B942" s="139"/>
      <c r="C942" s="141"/>
      <c r="D942" s="141"/>
      <c r="E942" s="141"/>
      <c r="F942" s="141"/>
      <c r="G942" s="143"/>
      <c r="H942" s="26"/>
    </row>
    <row r="943" spans="1:8" ht="17.25" customHeight="1" x14ac:dyDescent="0.2">
      <c r="A943" s="26"/>
      <c r="B943" s="139"/>
      <c r="C943" s="141"/>
      <c r="D943" s="141"/>
      <c r="E943" s="141"/>
      <c r="F943" s="141"/>
      <c r="G943" s="143"/>
      <c r="H943" s="26"/>
    </row>
    <row r="944" spans="1:8" ht="17.25" customHeight="1" x14ac:dyDescent="0.2">
      <c r="A944" s="26"/>
      <c r="B944" s="139"/>
      <c r="C944" s="141"/>
      <c r="D944" s="141"/>
      <c r="E944" s="141"/>
      <c r="F944" s="141"/>
      <c r="G944" s="143"/>
      <c r="H944" s="26"/>
    </row>
    <row r="945" spans="1:8" ht="17.25" customHeight="1" x14ac:dyDescent="0.2">
      <c r="A945" s="26"/>
      <c r="B945" s="139"/>
      <c r="C945" s="141"/>
      <c r="D945" s="141"/>
      <c r="E945" s="141"/>
      <c r="F945" s="141"/>
      <c r="G945" s="143"/>
      <c r="H945" s="26"/>
    </row>
    <row r="946" spans="1:8" ht="17.25" customHeight="1" x14ac:dyDescent="0.2">
      <c r="A946" s="26"/>
      <c r="B946" s="139"/>
      <c r="C946" s="141"/>
      <c r="D946" s="141"/>
      <c r="E946" s="141"/>
      <c r="F946" s="141"/>
      <c r="G946" s="143"/>
      <c r="H946" s="26"/>
    </row>
    <row r="947" spans="1:8" ht="17.25" customHeight="1" x14ac:dyDescent="0.2">
      <c r="A947" s="26"/>
      <c r="B947" s="139"/>
      <c r="C947" s="141"/>
      <c r="D947" s="141"/>
      <c r="E947" s="141"/>
      <c r="F947" s="141"/>
      <c r="G947" s="143"/>
      <c r="H947" s="26"/>
    </row>
    <row r="948" spans="1:8" ht="17.25" customHeight="1" x14ac:dyDescent="0.2">
      <c r="A948" s="26"/>
      <c r="B948" s="139"/>
      <c r="C948" s="141"/>
      <c r="D948" s="141"/>
      <c r="E948" s="141"/>
      <c r="F948" s="141"/>
      <c r="G948" s="143"/>
      <c r="H948" s="26"/>
    </row>
    <row r="949" spans="1:8" ht="17.25" customHeight="1" x14ac:dyDescent="0.2">
      <c r="A949" s="26"/>
      <c r="B949" s="139"/>
      <c r="C949" s="141"/>
      <c r="D949" s="141"/>
      <c r="E949" s="141"/>
      <c r="F949" s="141"/>
      <c r="G949" s="143"/>
      <c r="H949" s="26"/>
    </row>
    <row r="950" spans="1:8" ht="17.25" customHeight="1" x14ac:dyDescent="0.2">
      <c r="A950" s="26"/>
      <c r="B950" s="139"/>
      <c r="C950" s="141"/>
      <c r="D950" s="141"/>
      <c r="E950" s="141"/>
      <c r="F950" s="141"/>
      <c r="G950" s="143"/>
      <c r="H950" s="26"/>
    </row>
    <row r="951" spans="1:8" ht="17.25" customHeight="1" x14ac:dyDescent="0.2">
      <c r="A951" s="26"/>
      <c r="B951" s="139"/>
      <c r="C951" s="141"/>
      <c r="D951" s="141"/>
      <c r="E951" s="141"/>
      <c r="F951" s="141"/>
      <c r="G951" s="143"/>
      <c r="H951" s="26"/>
    </row>
    <row r="952" spans="1:8" ht="17.25" customHeight="1" x14ac:dyDescent="0.2">
      <c r="A952" s="26"/>
      <c r="B952" s="139"/>
      <c r="C952" s="141"/>
      <c r="D952" s="141"/>
      <c r="E952" s="141"/>
      <c r="F952" s="141"/>
      <c r="G952" s="143"/>
      <c r="H952" s="26"/>
    </row>
    <row r="953" spans="1:8" ht="17.25" customHeight="1" x14ac:dyDescent="0.2">
      <c r="A953" s="26"/>
      <c r="B953" s="139"/>
      <c r="C953" s="141"/>
      <c r="D953" s="141"/>
      <c r="E953" s="141"/>
      <c r="F953" s="141"/>
      <c r="G953" s="143"/>
      <c r="H953" s="26"/>
    </row>
    <row r="954" spans="1:8" ht="17.25" customHeight="1" x14ac:dyDescent="0.2">
      <c r="A954" s="26"/>
      <c r="B954" s="139"/>
      <c r="C954" s="141"/>
      <c r="D954" s="141"/>
      <c r="E954" s="141"/>
      <c r="F954" s="141"/>
      <c r="G954" s="143"/>
      <c r="H954" s="26"/>
    </row>
    <row r="955" spans="1:8" ht="17.25" customHeight="1" x14ac:dyDescent="0.2">
      <c r="A955" s="26"/>
      <c r="B955" s="139"/>
      <c r="C955" s="141"/>
      <c r="D955" s="141"/>
      <c r="E955" s="141"/>
      <c r="F955" s="141"/>
      <c r="G955" s="143"/>
      <c r="H955" s="26"/>
    </row>
    <row r="956" spans="1:8" ht="17.25" customHeight="1" x14ac:dyDescent="0.2">
      <c r="A956" s="26"/>
      <c r="B956" s="139"/>
      <c r="C956" s="141"/>
      <c r="D956" s="141"/>
      <c r="E956" s="141"/>
      <c r="F956" s="141"/>
      <c r="G956" s="143"/>
      <c r="H956" s="26"/>
    </row>
    <row r="957" spans="1:8" ht="17.25" customHeight="1" x14ac:dyDescent="0.2">
      <c r="A957" s="26"/>
      <c r="B957" s="139"/>
      <c r="C957" s="141"/>
      <c r="D957" s="141"/>
      <c r="E957" s="141"/>
      <c r="F957" s="141"/>
      <c r="G957" s="143"/>
      <c r="H957" s="26"/>
    </row>
    <row r="958" spans="1:8" ht="17.25" customHeight="1" x14ac:dyDescent="0.2">
      <c r="A958" s="26"/>
      <c r="B958" s="139"/>
      <c r="C958" s="141"/>
      <c r="D958" s="141"/>
      <c r="E958" s="141"/>
      <c r="F958" s="141"/>
      <c r="G958" s="143"/>
      <c r="H958" s="26"/>
    </row>
    <row r="959" spans="1:8" ht="17.25" customHeight="1" x14ac:dyDescent="0.2">
      <c r="A959" s="26"/>
      <c r="B959" s="139"/>
      <c r="C959" s="141"/>
      <c r="D959" s="141"/>
      <c r="E959" s="141"/>
      <c r="F959" s="141"/>
      <c r="G959" s="143"/>
      <c r="H959" s="26"/>
    </row>
    <row r="960" spans="1:8" ht="17.25" customHeight="1" x14ac:dyDescent="0.2">
      <c r="A960" s="26"/>
      <c r="B960" s="139"/>
      <c r="C960" s="141"/>
      <c r="D960" s="141"/>
      <c r="E960" s="141"/>
      <c r="F960" s="141"/>
      <c r="G960" s="143"/>
      <c r="H960" s="26"/>
    </row>
    <row r="961" spans="1:8" ht="17.25" customHeight="1" x14ac:dyDescent="0.2">
      <c r="A961" s="26"/>
      <c r="B961" s="139"/>
      <c r="C961" s="141"/>
      <c r="D961" s="141"/>
      <c r="E961" s="141"/>
      <c r="F961" s="141"/>
      <c r="G961" s="143"/>
      <c r="H961" s="26"/>
    </row>
    <row r="962" spans="1:8" ht="17.25" customHeight="1" x14ac:dyDescent="0.2">
      <c r="A962" s="26"/>
      <c r="B962" s="139"/>
      <c r="C962" s="141"/>
      <c r="D962" s="141"/>
      <c r="E962" s="141"/>
      <c r="F962" s="141"/>
      <c r="G962" s="143"/>
      <c r="H962" s="26"/>
    </row>
    <row r="963" spans="1:8" ht="17.25" customHeight="1" x14ac:dyDescent="0.2">
      <c r="A963" s="26"/>
      <c r="B963" s="139"/>
      <c r="C963" s="141"/>
      <c r="D963" s="141"/>
      <c r="E963" s="141"/>
      <c r="F963" s="141"/>
      <c r="G963" s="143"/>
      <c r="H963" s="26"/>
    </row>
    <row r="964" spans="1:8" ht="17.25" customHeight="1" x14ac:dyDescent="0.2">
      <c r="A964" s="26"/>
      <c r="B964" s="139"/>
      <c r="C964" s="141"/>
      <c r="D964" s="141"/>
      <c r="E964" s="141"/>
      <c r="F964" s="141"/>
      <c r="G964" s="143"/>
      <c r="H964" s="26"/>
    </row>
    <row r="965" spans="1:8" ht="17.25" customHeight="1" x14ac:dyDescent="0.2">
      <c r="A965" s="26"/>
      <c r="B965" s="139"/>
      <c r="C965" s="141"/>
      <c r="D965" s="141"/>
      <c r="E965" s="141"/>
      <c r="F965" s="141"/>
      <c r="G965" s="143"/>
      <c r="H965" s="26"/>
    </row>
    <row r="966" spans="1:8" ht="17.25" customHeight="1" x14ac:dyDescent="0.2">
      <c r="A966" s="26"/>
      <c r="B966" s="139"/>
      <c r="C966" s="141"/>
      <c r="D966" s="141"/>
      <c r="E966" s="141"/>
      <c r="F966" s="141"/>
      <c r="G966" s="143"/>
      <c r="H966" s="26"/>
    </row>
    <row r="967" spans="1:8" ht="17.25" customHeight="1" x14ac:dyDescent="0.2">
      <c r="A967" s="26"/>
      <c r="B967" s="139"/>
      <c r="C967" s="141"/>
      <c r="D967" s="141"/>
      <c r="E967" s="141"/>
      <c r="F967" s="141"/>
      <c r="G967" s="143"/>
      <c r="H967" s="26"/>
    </row>
    <row r="968" spans="1:8" ht="17.25" customHeight="1" x14ac:dyDescent="0.2">
      <c r="A968" s="26"/>
      <c r="B968" s="139"/>
      <c r="C968" s="141"/>
      <c r="D968" s="141"/>
      <c r="E968" s="141"/>
      <c r="F968" s="141"/>
      <c r="G968" s="143"/>
      <c r="H968" s="26"/>
    </row>
    <row r="969" spans="1:8" ht="17.25" customHeight="1" x14ac:dyDescent="0.2">
      <c r="A969" s="26"/>
      <c r="B969" s="139"/>
      <c r="C969" s="141"/>
      <c r="D969" s="141"/>
      <c r="E969" s="141"/>
      <c r="F969" s="141"/>
      <c r="G969" s="143"/>
      <c r="H969" s="26"/>
    </row>
    <row r="970" spans="1:8" ht="17.25" customHeight="1" x14ac:dyDescent="0.2">
      <c r="A970" s="26"/>
      <c r="B970" s="139"/>
      <c r="C970" s="141"/>
      <c r="D970" s="141"/>
      <c r="E970" s="141"/>
      <c r="F970" s="141"/>
      <c r="G970" s="143"/>
      <c r="H970" s="26"/>
    </row>
    <row r="971" spans="1:8" ht="17.25" customHeight="1" x14ac:dyDescent="0.2">
      <c r="A971" s="26"/>
      <c r="B971" s="139"/>
      <c r="C971" s="141"/>
      <c r="D971" s="141"/>
      <c r="E971" s="141"/>
      <c r="F971" s="141"/>
      <c r="G971" s="143"/>
      <c r="H971" s="26"/>
    </row>
    <row r="972" spans="1:8" ht="17.25" customHeight="1" x14ac:dyDescent="0.2">
      <c r="A972" s="26"/>
      <c r="B972" s="139"/>
      <c r="C972" s="141"/>
      <c r="D972" s="141"/>
      <c r="E972" s="141"/>
      <c r="F972" s="141"/>
      <c r="G972" s="143"/>
      <c r="H972" s="26"/>
    </row>
    <row r="973" spans="1:8" ht="17.25" customHeight="1" x14ac:dyDescent="0.2">
      <c r="A973" s="26"/>
      <c r="B973" s="139"/>
      <c r="C973" s="141"/>
      <c r="D973" s="141"/>
      <c r="E973" s="141"/>
      <c r="F973" s="141"/>
      <c r="G973" s="143"/>
      <c r="H973" s="26"/>
    </row>
    <row r="974" spans="1:8" ht="17.25" customHeight="1" x14ac:dyDescent="0.2">
      <c r="A974" s="26"/>
      <c r="B974" s="139"/>
      <c r="C974" s="141"/>
      <c r="D974" s="141"/>
      <c r="E974" s="141"/>
      <c r="F974" s="141"/>
      <c r="G974" s="143"/>
      <c r="H974" s="26"/>
    </row>
    <row r="975" spans="1:8" ht="17.25" customHeight="1" x14ac:dyDescent="0.2">
      <c r="A975" s="26"/>
      <c r="B975" s="139"/>
      <c r="C975" s="141"/>
      <c r="D975" s="141"/>
      <c r="E975" s="141"/>
      <c r="F975" s="141"/>
      <c r="G975" s="143"/>
      <c r="H975" s="26"/>
    </row>
    <row r="976" spans="1:8" ht="17.25" customHeight="1" x14ac:dyDescent="0.2">
      <c r="A976" s="26"/>
      <c r="B976" s="139"/>
      <c r="C976" s="141"/>
      <c r="D976" s="141"/>
      <c r="E976" s="141"/>
      <c r="F976" s="141"/>
      <c r="G976" s="143"/>
      <c r="H976" s="26"/>
    </row>
    <row r="977" spans="1:8" ht="17.25" customHeight="1" x14ac:dyDescent="0.2">
      <c r="A977" s="26"/>
      <c r="B977" s="139"/>
      <c r="C977" s="141"/>
      <c r="D977" s="141"/>
      <c r="E977" s="141"/>
      <c r="F977" s="141"/>
      <c r="G977" s="143"/>
      <c r="H977" s="26"/>
    </row>
    <row r="978" spans="1:8" ht="17.25" customHeight="1" x14ac:dyDescent="0.2">
      <c r="A978" s="26"/>
      <c r="B978" s="139"/>
      <c r="C978" s="141"/>
      <c r="D978" s="141"/>
      <c r="E978" s="141"/>
      <c r="F978" s="141"/>
      <c r="G978" s="143"/>
      <c r="H978" s="26"/>
    </row>
    <row r="979" spans="1:8" ht="17.25" customHeight="1" x14ac:dyDescent="0.2">
      <c r="A979" s="26"/>
      <c r="B979" s="139"/>
      <c r="C979" s="141"/>
      <c r="D979" s="141"/>
      <c r="E979" s="141"/>
      <c r="F979" s="141"/>
      <c r="G979" s="143"/>
      <c r="H979" s="26"/>
    </row>
    <row r="980" spans="1:8" ht="17.25" customHeight="1" x14ac:dyDescent="0.2">
      <c r="A980" s="26"/>
      <c r="B980" s="139"/>
      <c r="C980" s="141"/>
      <c r="D980" s="141"/>
      <c r="E980" s="141"/>
      <c r="F980" s="141"/>
      <c r="G980" s="143"/>
      <c r="H980" s="26"/>
    </row>
    <row r="981" spans="1:8" ht="17.25" customHeight="1" x14ac:dyDescent="0.2">
      <c r="A981" s="26"/>
      <c r="B981" s="139"/>
      <c r="C981" s="141"/>
      <c r="D981" s="141"/>
      <c r="E981" s="141"/>
      <c r="F981" s="141"/>
      <c r="G981" s="143"/>
      <c r="H981" s="26"/>
    </row>
    <row r="982" spans="1:8" ht="17.25" customHeight="1" x14ac:dyDescent="0.2">
      <c r="A982" s="26"/>
      <c r="B982" s="139"/>
      <c r="C982" s="141"/>
      <c r="D982" s="141"/>
      <c r="E982" s="141"/>
      <c r="F982" s="141"/>
      <c r="G982" s="143"/>
      <c r="H982" s="26"/>
    </row>
    <row r="983" spans="1:8" ht="17.25" customHeight="1" x14ac:dyDescent="0.2">
      <c r="A983" s="26"/>
      <c r="B983" s="139"/>
      <c r="C983" s="141"/>
      <c r="D983" s="141"/>
      <c r="E983" s="141"/>
      <c r="F983" s="141"/>
      <c r="G983" s="143"/>
      <c r="H983" s="26"/>
    </row>
    <row r="984" spans="1:8" ht="17.25" customHeight="1" x14ac:dyDescent="0.2">
      <c r="A984" s="26"/>
      <c r="B984" s="139"/>
      <c r="C984" s="141"/>
      <c r="D984" s="141"/>
      <c r="E984" s="141"/>
      <c r="F984" s="141"/>
      <c r="G984" s="143"/>
      <c r="H984" s="26"/>
    </row>
    <row r="985" spans="1:8" ht="17.25" customHeight="1" x14ac:dyDescent="0.2">
      <c r="A985" s="26"/>
      <c r="B985" s="139"/>
      <c r="C985" s="141"/>
      <c r="D985" s="141"/>
      <c r="E985" s="141"/>
      <c r="F985" s="141"/>
      <c r="G985" s="143"/>
      <c r="H985" s="26"/>
    </row>
    <row r="986" spans="1:8" ht="17.25" customHeight="1" x14ac:dyDescent="0.2">
      <c r="A986" s="26"/>
      <c r="B986" s="139"/>
      <c r="C986" s="141"/>
      <c r="D986" s="141"/>
      <c r="E986" s="141"/>
      <c r="F986" s="141"/>
      <c r="G986" s="143"/>
      <c r="H986" s="26"/>
    </row>
    <row r="987" spans="1:8" ht="17.25" customHeight="1" x14ac:dyDescent="0.2">
      <c r="A987" s="26"/>
      <c r="B987" s="139"/>
      <c r="C987" s="141"/>
      <c r="D987" s="141"/>
      <c r="E987" s="141"/>
      <c r="F987" s="141"/>
      <c r="G987" s="143"/>
      <c r="H987" s="26"/>
    </row>
    <row r="988" spans="1:8" ht="17.25" customHeight="1" x14ac:dyDescent="0.2">
      <c r="A988" s="26"/>
      <c r="B988" s="139"/>
      <c r="C988" s="141"/>
      <c r="D988" s="141"/>
      <c r="E988" s="141"/>
      <c r="F988" s="141"/>
      <c r="G988" s="143"/>
      <c r="H988" s="26"/>
    </row>
    <row r="989" spans="1:8" ht="17.25" customHeight="1" x14ac:dyDescent="0.2">
      <c r="A989" s="26"/>
      <c r="B989" s="139"/>
      <c r="C989" s="141"/>
      <c r="D989" s="141"/>
      <c r="E989" s="141"/>
      <c r="F989" s="141"/>
      <c r="G989" s="143"/>
      <c r="H989" s="26"/>
    </row>
    <row r="990" spans="1:8" ht="17.25" customHeight="1" x14ac:dyDescent="0.2">
      <c r="A990" s="26"/>
      <c r="B990" s="139"/>
      <c r="C990" s="141"/>
      <c r="D990" s="141"/>
      <c r="E990" s="141"/>
      <c r="F990" s="141"/>
      <c r="G990" s="143"/>
      <c r="H990" s="26"/>
    </row>
    <row r="991" spans="1:8" ht="17.25" customHeight="1" x14ac:dyDescent="0.2">
      <c r="A991" s="26"/>
      <c r="B991" s="139"/>
      <c r="C991" s="141"/>
      <c r="D991" s="141"/>
      <c r="E991" s="141"/>
      <c r="F991" s="141"/>
      <c r="G991" s="143"/>
      <c r="H991" s="26"/>
    </row>
    <row r="992" spans="1:8" ht="17.25" customHeight="1" x14ac:dyDescent="0.2">
      <c r="A992" s="26"/>
      <c r="B992" s="139"/>
      <c r="C992" s="141"/>
      <c r="D992" s="141"/>
      <c r="E992" s="141"/>
      <c r="F992" s="141"/>
      <c r="G992" s="143"/>
      <c r="H992" s="26"/>
    </row>
    <row r="993" spans="1:8" ht="17.25" customHeight="1" x14ac:dyDescent="0.2">
      <c r="A993" s="26"/>
      <c r="B993" s="139"/>
      <c r="C993" s="141"/>
      <c r="D993" s="141"/>
      <c r="E993" s="141"/>
      <c r="F993" s="141"/>
      <c r="G993" s="143"/>
      <c r="H993" s="26"/>
    </row>
    <row r="994" spans="1:8" ht="17.25" customHeight="1" x14ac:dyDescent="0.2">
      <c r="A994" s="26"/>
      <c r="B994" s="139"/>
      <c r="C994" s="141"/>
      <c r="D994" s="141"/>
      <c r="E994" s="141"/>
      <c r="F994" s="141"/>
      <c r="G994" s="143"/>
      <c r="H994" s="26"/>
    </row>
    <row r="995" spans="1:8" ht="17.25" customHeight="1" x14ac:dyDescent="0.2">
      <c r="A995" s="26"/>
      <c r="B995" s="139"/>
      <c r="C995" s="141"/>
      <c r="D995" s="141"/>
      <c r="E995" s="141"/>
      <c r="F995" s="141"/>
      <c r="G995" s="143"/>
      <c r="H995" s="26"/>
    </row>
    <row r="996" spans="1:8" ht="17.25" customHeight="1" x14ac:dyDescent="0.2">
      <c r="A996" s="26"/>
      <c r="B996" s="139"/>
      <c r="C996" s="141"/>
      <c r="D996" s="141"/>
      <c r="E996" s="141"/>
      <c r="F996" s="141"/>
      <c r="G996" s="143"/>
      <c r="H996" s="26"/>
    </row>
    <row r="997" spans="1:8" ht="17.25" customHeight="1" x14ac:dyDescent="0.2">
      <c r="A997" s="26"/>
      <c r="B997" s="139"/>
      <c r="C997" s="141"/>
      <c r="D997" s="141"/>
      <c r="E997" s="141"/>
      <c r="F997" s="141"/>
      <c r="G997" s="143"/>
      <c r="H997" s="26"/>
    </row>
    <row r="998" spans="1:8" ht="17.25" customHeight="1" x14ac:dyDescent="0.2">
      <c r="A998" s="26"/>
      <c r="B998" s="139"/>
      <c r="C998" s="141"/>
      <c r="D998" s="141"/>
      <c r="E998" s="141"/>
      <c r="F998" s="141"/>
      <c r="G998" s="143"/>
      <c r="H998" s="26"/>
    </row>
    <row r="999" spans="1:8" ht="17.25" customHeight="1" x14ac:dyDescent="0.2">
      <c r="A999" s="26"/>
      <c r="B999" s="139"/>
      <c r="C999" s="141"/>
      <c r="D999" s="141"/>
      <c r="E999" s="141"/>
      <c r="F999" s="141"/>
      <c r="G999" s="143"/>
      <c r="H999" s="26"/>
    </row>
    <row r="1000" spans="1:8" ht="17.25" customHeight="1" x14ac:dyDescent="0.2">
      <c r="A1000" s="26"/>
      <c r="B1000" s="139"/>
      <c r="C1000" s="141"/>
      <c r="D1000" s="141"/>
      <c r="E1000" s="141"/>
      <c r="F1000" s="141"/>
      <c r="G1000" s="143"/>
      <c r="H1000" s="26"/>
    </row>
  </sheetData>
  <mergeCells count="3">
    <mergeCell ref="B1:F2"/>
    <mergeCell ref="B7:G7"/>
    <mergeCell ref="B10:C10"/>
  </mergeCells>
  <phoneticPr fontId="67" type="noConversion"/>
  <conditionalFormatting sqref="D10:E10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F28:F1000">
    <cfRule type="expression" dxfId="3" priority="1">
      <formula>AND(F28=MAX(F$28:F$1000),F28&gt;0)</formula>
    </cfRule>
    <cfRule type="expression" dxfId="2" priority="2">
      <formula>AND(F28=MIN(F$28:F$1000),F28&gt;0)</formula>
    </cfRule>
  </conditionalFormatting>
  <conditionalFormatting sqref="F29:F1000">
    <cfRule type="expression" dxfId="1" priority="3">
      <formula>F29&gt;F27</formula>
    </cfRule>
    <cfRule type="expression" dxfId="0" priority="4">
      <formula>F29&lt;F27</formula>
    </cfRule>
  </conditionalFormatting>
  <conditionalFormatting sqref="G15">
    <cfRule type="colorScale" priority="7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prompt="Click and enter a value from the list of items" sqref="G15" xr:uid="{00000000-0002-0000-1900-000000000000}">
      <formula1>"1 Month,3 Months,6 Months,12 Months,36 Months"</formula1>
    </dataValidation>
  </dataValidations>
  <hyperlinks>
    <hyperlink ref="G2" r:id="rId1" xr:uid="{00000000-0004-0000-1900-000000000000}"/>
  </hyperlinks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honeticPr fontId="6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뱅샐현황</vt:lpstr>
      <vt:lpstr>대시보드</vt:lpstr>
      <vt:lpstr>관심종목</vt:lpstr>
      <vt:lpstr>BD</vt:lpstr>
      <vt:lpstr>SPY</vt:lpstr>
      <vt:lpstr>VNQ</vt:lpstr>
      <vt:lpstr>VEA</vt:lpstr>
      <vt:lpstr>EWJ</vt:lpstr>
      <vt:lpstr>IWM</vt:lpstr>
      <vt:lpstr>VGK</vt:lpstr>
      <vt:lpstr>QQQ</vt:lpstr>
      <vt:lpstr>DBC</vt:lpstr>
      <vt:lpstr>BND</vt:lpstr>
      <vt:lpstr>VWO</vt:lpstr>
      <vt:lpstr>EMB</vt:lpstr>
      <vt:lpstr>BWX</vt:lpstr>
      <vt:lpstr>HYG</vt:lpstr>
      <vt:lpstr>TIP</vt:lpstr>
      <vt:lpstr>EFA</vt:lpstr>
      <vt:lpstr>EEM</vt:lpstr>
      <vt:lpstr>AGG</vt:lpstr>
      <vt:lpstr>LQD</vt:lpstr>
      <vt:lpstr>IEF</vt:lpstr>
      <vt:lpstr>SHY</vt:lpstr>
      <vt:lpstr>TLT</vt:lpstr>
      <vt:lpstr>GLD</vt:lpstr>
      <vt:lpstr>BIL</vt:lpstr>
      <vt:lpstr>시트4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김용(YONG KIM)[yong.kim]</cp:lastModifiedBy>
  <dcterms:modified xsi:type="dcterms:W3CDTF">2026-07-30T03:49:28Z</dcterms:modified>
</cp:coreProperties>
</file>