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\Desktop\quadruped_gearbox_project\documentation\"/>
    </mc:Choice>
  </mc:AlternateContent>
  <xr:revisionPtr revIDLastSave="0" documentId="13_ncr:1_{EB03D4B5-2A89-48AC-A3E5-F3E194A0A660}" xr6:coauthVersionLast="47" xr6:coauthVersionMax="47" xr10:uidLastSave="{00000000-0000-0000-0000-000000000000}"/>
  <bookViews>
    <workbookView xWindow="-120" yWindow="-120" windowWidth="29040" windowHeight="15840" activeTab="3" xr2:uid="{CB058C76-F2F8-47F6-9D1B-C3DC977F65DE}"/>
  </bookViews>
  <sheets>
    <sheet name="Parameters &amp; summary" sheetId="1" r:id="rId1"/>
    <sheet name="Gear Details" sheetId="2" r:id="rId2"/>
    <sheet name="Overall Dimensions" sheetId="3" r:id="rId3"/>
    <sheet name="Strength &amp; torqu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4" l="1"/>
  <c r="B48" i="4"/>
  <c r="B47" i="4"/>
  <c r="B41" i="4"/>
  <c r="B40" i="4"/>
  <c r="B29" i="4"/>
  <c r="B17" i="4"/>
  <c r="B18" i="4"/>
  <c r="B16" i="4"/>
  <c r="B12" i="4"/>
  <c r="B19" i="4" s="1"/>
  <c r="B20" i="4" s="1"/>
  <c r="B7" i="4"/>
  <c r="B27" i="1"/>
  <c r="B9" i="3" s="1"/>
  <c r="B5" i="3"/>
  <c r="B4" i="3"/>
  <c r="C20" i="2"/>
  <c r="C21" i="2" s="1"/>
  <c r="D20" i="2"/>
  <c r="D21" i="2" s="1"/>
  <c r="B18" i="2"/>
  <c r="B17" i="2"/>
  <c r="B10" i="2"/>
  <c r="D5" i="2"/>
  <c r="C5" i="2"/>
  <c r="B5" i="2"/>
  <c r="D18" i="2"/>
  <c r="C18" i="2"/>
  <c r="B20" i="2"/>
  <c r="B21" i="2" s="1"/>
  <c r="B30" i="4" s="1"/>
  <c r="F19" i="1"/>
  <c r="F20" i="1"/>
  <c r="F21" i="1"/>
  <c r="B23" i="1"/>
  <c r="B33" i="4" l="1"/>
  <c r="B21" i="4"/>
  <c r="B17" i="3"/>
  <c r="B13" i="3"/>
  <c r="B14" i="2"/>
  <c r="B13" i="2"/>
  <c r="C13" i="2"/>
  <c r="D14" i="2"/>
  <c r="C16" i="2"/>
  <c r="D13" i="2"/>
  <c r="C14" i="2"/>
  <c r="B15" i="2"/>
  <c r="D15" i="2"/>
  <c r="C15" i="2"/>
  <c r="B16" i="2"/>
  <c r="D16" i="2"/>
  <c r="C17" i="2"/>
  <c r="D17" i="2"/>
  <c r="B22" i="4" l="1"/>
  <c r="B42" i="4"/>
  <c r="B43" i="4" s="1"/>
  <c r="B44" i="4" s="1"/>
  <c r="B31" i="4"/>
  <c r="D19" i="2"/>
  <c r="D23" i="2"/>
  <c r="B26" i="1" s="1"/>
  <c r="B8" i="3" s="1"/>
  <c r="C19" i="2"/>
  <c r="B49" i="4"/>
  <c r="B51" i="4" s="1"/>
  <c r="B52" i="4" s="1"/>
  <c r="B53" i="4" s="1"/>
  <c r="B19" i="2"/>
  <c r="B26" i="4"/>
  <c r="B27" i="4" s="1"/>
  <c r="B28" i="4" s="1"/>
  <c r="D22" i="2"/>
  <c r="B32" i="4" l="1"/>
  <c r="B34" i="4" s="1"/>
  <c r="B35" i="4" s="1"/>
  <c r="B36" i="4" s="1"/>
  <c r="B12" i="3"/>
  <c r="B16" i="3"/>
</calcChain>
</file>

<file path=xl/sharedStrings.xml><?xml version="1.0" encoding="utf-8"?>
<sst xmlns="http://schemas.openxmlformats.org/spreadsheetml/2006/main" count="119" uniqueCount="113">
  <si>
    <t>Project Name</t>
  </si>
  <si>
    <t>Quadruped Leg Compact Gearbox</t>
  </si>
  <si>
    <t>Target reduction ratio</t>
  </si>
  <si>
    <t>Module (m)</t>
  </si>
  <si>
    <t xml:space="preserve">Number of stages </t>
  </si>
  <si>
    <t>material</t>
  </si>
  <si>
    <t>pla</t>
  </si>
  <si>
    <t>Stage Breakdown &amp; Ratios</t>
  </si>
  <si>
    <t>Stage</t>
  </si>
  <si>
    <t>Input ratio</t>
  </si>
  <si>
    <t>Sun teeth (Ns)</t>
  </si>
  <si>
    <t>Planet teeth (Np)</t>
  </si>
  <si>
    <t>Ring teeth (Nr)</t>
  </si>
  <si>
    <t>Carrier ratio (fixed ring, sun input, carrier output)</t>
  </si>
  <si>
    <t>Total gearbox reduction ratio</t>
  </si>
  <si>
    <t>Overall Gearbox Dimensions (Calculated Summary)</t>
  </si>
  <si>
    <t>Calculated Max Outer Diameter</t>
  </si>
  <si>
    <t>Calculated Total Height</t>
  </si>
  <si>
    <t>Pressure angle (degrees)</t>
  </si>
  <si>
    <t>Module (m) (mm)</t>
  </si>
  <si>
    <t>Max gearbox height (mm)</t>
  </si>
  <si>
    <t>Max gearbox diameter (mm)</t>
  </si>
  <si>
    <t>Motor gear height (mm)</t>
  </si>
  <si>
    <t>Motor gear min pitch diameter (mm)</t>
  </si>
  <si>
    <t>Motor output shaft diameter (mm)</t>
  </si>
  <si>
    <t>clearance (radial for shafts/bore) (mm)</t>
  </si>
  <si>
    <t>Clearance (Radial for gear teeth meshing) (mm)</t>
  </si>
  <si>
    <t>Casing Wall Thickness (approx) (mm)</t>
  </si>
  <si>
    <t>Gear Type</t>
  </si>
  <si>
    <t>Sun Gear</t>
  </si>
  <si>
    <t>Planet Gear</t>
  </si>
  <si>
    <t>Ring Gear (internal)</t>
  </si>
  <si>
    <t>Shared Parameters</t>
  </si>
  <si>
    <t>Pressure Angle (rad)</t>
  </si>
  <si>
    <t>Specific gear parameters</t>
  </si>
  <si>
    <t>Number of teeth (N)</t>
  </si>
  <si>
    <t>Height (h)</t>
  </si>
  <si>
    <t>Bore Diameter</t>
  </si>
  <si>
    <t>N/A</t>
  </si>
  <si>
    <t>Calculateed gear geometry</t>
  </si>
  <si>
    <t>Pitch Diameter (d = m * N)</t>
  </si>
  <si>
    <t>Addendum (a=m)</t>
  </si>
  <si>
    <t>Dedendum (b = 1.25*m)</t>
  </si>
  <si>
    <t>Whole Depth (ht = 2.25 * m)</t>
  </si>
  <si>
    <t>Outer Diameter (Do = m * (N + 2) for external; m * (N - 2) for internal APPROX)</t>
  </si>
  <si>
    <t>Root Diameter (Dr = m * (N - 2.5))</t>
  </si>
  <si>
    <t>Base Circle Diameter (Db = d * cos(alpha))</t>
  </si>
  <si>
    <t>Circular Pitch (p = pi * m)</t>
  </si>
  <si>
    <t>Tooth Thickness (t = p / 2)</t>
  </si>
  <si>
    <t>Pin Circle Diameter (for Planets on Carrier)</t>
  </si>
  <si>
    <t>Ring Gear (Internal) Max OD (for casing fit)</t>
  </si>
  <si>
    <t>Carrier &amp; Housing Component Heights (Approximate)</t>
  </si>
  <si>
    <t>carrier height (per stage) (mm)</t>
  </si>
  <si>
    <t>Top plate height (mm)</t>
  </si>
  <si>
    <t>Bottom plate height (mm)</t>
  </si>
  <si>
    <t>Overall Gearbox Dimensions Verification</t>
  </si>
  <si>
    <t>Design Constraints:</t>
  </si>
  <si>
    <t>Max Allowed Diameter:</t>
  </si>
  <si>
    <t>Max Allowed Height:</t>
  </si>
  <si>
    <t>Calculated Overall Dimensions:</t>
  </si>
  <si>
    <t>Calculated Max Outer Diameter:</t>
  </si>
  <si>
    <t>Calculated Total Height:</t>
  </si>
  <si>
    <t>Compliance Check:</t>
  </si>
  <si>
    <t>Diameter Check (Within Limits?):</t>
  </si>
  <si>
    <t>Height Check (Within Limits?)</t>
  </si>
  <si>
    <t>Buffers/Remaining Space:</t>
  </si>
  <si>
    <t>Remaining Diameter Buffer:</t>
  </si>
  <si>
    <t>Remaining Height Buffer:</t>
  </si>
  <si>
    <t>Strrength and torque analysis for PLA gearbox</t>
  </si>
  <si>
    <t>1. PLA material properties</t>
  </si>
  <si>
    <t>Tensile strength (UTS, xv plane) (Mpa)</t>
  </si>
  <si>
    <t>Yield strength (Tensile, XY plane)</t>
  </si>
  <si>
    <t>Yield Strength (Tensile, Z-axis / Inter-layer Adhesion)</t>
  </si>
  <si>
    <t>Shear Strength (approx 60% of Tensile Yield)</t>
  </si>
  <si>
    <t>Young's Modulus (E):</t>
  </si>
  <si>
    <t>II. Input / Motor Parameters</t>
  </si>
  <si>
    <t>Motor Rated Torque (Input Torque) (Nm)</t>
  </si>
  <si>
    <t>Input torque (Nmm)</t>
  </si>
  <si>
    <t xml:space="preserve">Motor Max RPM </t>
  </si>
  <si>
    <t>III. Torque Calculations</t>
  </si>
  <si>
    <t>Stage 1 reduction ratio</t>
  </si>
  <si>
    <t>Stage 2 reduction ratio</t>
  </si>
  <si>
    <t>Stage 3 reducton ratio</t>
  </si>
  <si>
    <t>Output Torque (Stage 1):</t>
  </si>
  <si>
    <t>Output Torque (Stage 2):</t>
  </si>
  <si>
    <t>Output Torque (Stage 3):</t>
  </si>
  <si>
    <t>Final Output Torque (Nm)</t>
  </si>
  <si>
    <t>IV. Simplified Stress Analysis (Safety Factor &gt; 1.5-2.0 is recommended)</t>
  </si>
  <si>
    <t>A. Gear Tooth Bending Stress (Sun Gear - Stage 3, as driver of final planets)</t>
  </si>
  <si>
    <t>Pitch Diameter Sun Gear 3:</t>
  </si>
  <si>
    <t>Pitch Radius Sun Gear 3:</t>
  </si>
  <si>
    <t>Force at Pitch Line (Sun Gear 3 - driving planets)</t>
  </si>
  <si>
    <t>Gear Tooth Height (Face Width - 'b')</t>
  </si>
  <si>
    <t>Tooth Thickness at Root (approx 't'):</t>
  </si>
  <si>
    <t>Effective Moment Arm (Length 'L' of cantilever):</t>
  </si>
  <si>
    <t>Max Bending Moment (M = Force * L):</t>
  </si>
  <si>
    <t>Section Modulus (Z = b*t^2 / 6 for rectangle)</t>
  </si>
  <si>
    <t>Bending Stress (Sigma = M / Z):</t>
  </si>
  <si>
    <t>Safety Factor (SF - vs Z-axis Yield):</t>
  </si>
  <si>
    <t>Status:</t>
  </si>
  <si>
    <t>B. Output Shaft Shear Stress (Final Output Shaft)</t>
  </si>
  <si>
    <t>Output Shaft Diameter (D):</t>
  </si>
  <si>
    <t>Output Shaft Radius (r):</t>
  </si>
  <si>
    <t>Polar Moment of Inertia (J = PI*D^4/32):</t>
  </si>
  <si>
    <t>Max Shear Stress (Tau = T*r / J):</t>
  </si>
  <si>
    <t>Safety Factor (SF - vs Shear Strength):</t>
  </si>
  <si>
    <t>C. Planet Pin Shear Stress (Example: Stage 1 Planet Pins)</t>
  </si>
  <si>
    <t>Planet Pin Diameter:</t>
  </si>
  <si>
    <t>Pin Cross-sectional Area (A = PI*r^2)</t>
  </si>
  <si>
    <t>Force on Planet Pin (rough estimate for one pin in stage 1)</t>
  </si>
  <si>
    <t>Shear Area (assuming double shear, so 2*A)</t>
  </si>
  <si>
    <t>Shear Stress (Tau = Force / Shear Area):</t>
  </si>
  <si>
    <t>Safety Factor (SF - vs Shear Strength)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</si>
</sst>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3C23-8ECC-4549-8955-B3982BBC3895}">
  <dimension ref="A1:F27"/>
  <sheetViews>
    <sheetView workbookViewId="0">
      <selection activeCell="E32" sqref="E32"/>
    </sheetView>
  </sheetViews>
  <sheetFormatPr defaultRowHeight="15" x14ac:dyDescent="0.25"/>
  <cols>
    <col min="1" max="1" width="47.28515625" bestFit="1" customWidth="1"/>
    <col min="2" max="2" width="31.140625" bestFit="1" customWidth="1"/>
    <col min="3" max="3" width="13.85546875" bestFit="1" customWidth="1"/>
    <col min="4" max="4" width="16.5703125" bestFit="1" customWidth="1"/>
    <col min="5" max="5" width="14.28515625" bestFit="1" customWidth="1"/>
    <col min="6" max="6" width="45.425781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>
        <v>0.19166666666666668</v>
      </c>
    </row>
    <row r="3" spans="1:6" x14ac:dyDescent="0.25">
      <c r="A3" t="s">
        <v>24</v>
      </c>
      <c r="B3">
        <v>4</v>
      </c>
    </row>
    <row r="4" spans="1:6" x14ac:dyDescent="0.25">
      <c r="A4" t="s">
        <v>23</v>
      </c>
      <c r="B4">
        <v>5</v>
      </c>
    </row>
    <row r="5" spans="1:6" x14ac:dyDescent="0.25">
      <c r="A5" t="s">
        <v>22</v>
      </c>
      <c r="B5">
        <v>5</v>
      </c>
    </row>
    <row r="6" spans="1:6" x14ac:dyDescent="0.25">
      <c r="A6" t="s">
        <v>21</v>
      </c>
      <c r="B6">
        <v>75</v>
      </c>
    </row>
    <row r="7" spans="1:6" x14ac:dyDescent="0.25">
      <c r="A7" t="s">
        <v>20</v>
      </c>
      <c r="B7">
        <v>25</v>
      </c>
    </row>
    <row r="8" spans="1:6" x14ac:dyDescent="0.25">
      <c r="A8" t="s">
        <v>19</v>
      </c>
      <c r="B8">
        <v>0.75</v>
      </c>
    </row>
    <row r="9" spans="1:6" x14ac:dyDescent="0.25">
      <c r="A9" t="s">
        <v>18</v>
      </c>
      <c r="B9">
        <v>20</v>
      </c>
    </row>
    <row r="10" spans="1:6" x14ac:dyDescent="0.25">
      <c r="A10" t="s">
        <v>4</v>
      </c>
      <c r="B10">
        <v>3</v>
      </c>
    </row>
    <row r="11" spans="1:6" x14ac:dyDescent="0.25">
      <c r="A11" t="s">
        <v>5</v>
      </c>
      <c r="B11" t="s">
        <v>6</v>
      </c>
    </row>
    <row r="12" spans="1:6" x14ac:dyDescent="0.25">
      <c r="A12" t="s">
        <v>25</v>
      </c>
      <c r="B12">
        <v>0.2</v>
      </c>
    </row>
    <row r="13" spans="1:6" x14ac:dyDescent="0.25">
      <c r="A13" t="s">
        <v>26</v>
      </c>
      <c r="B13">
        <v>0.2</v>
      </c>
    </row>
    <row r="14" spans="1:6" x14ac:dyDescent="0.25">
      <c r="A14" t="s">
        <v>27</v>
      </c>
      <c r="B14">
        <v>2.5</v>
      </c>
    </row>
    <row r="16" spans="1:6" x14ac:dyDescent="0.25">
      <c r="A16" s="1" t="s">
        <v>7</v>
      </c>
      <c r="B16" s="1"/>
      <c r="C16" s="1"/>
      <c r="D16" s="1"/>
      <c r="E16" s="1"/>
      <c r="F16" s="1"/>
    </row>
    <row r="18" spans="1:6" x14ac:dyDescent="0.25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</row>
    <row r="19" spans="1:6" x14ac:dyDescent="0.25">
      <c r="A19">
        <v>1</v>
      </c>
      <c r="B19">
        <v>6</v>
      </c>
      <c r="C19">
        <v>15</v>
      </c>
      <c r="D19">
        <v>30</v>
      </c>
      <c r="E19">
        <v>75</v>
      </c>
      <c r="F19">
        <f>(E19+C19)/C19</f>
        <v>6</v>
      </c>
    </row>
    <row r="20" spans="1:6" x14ac:dyDescent="0.25">
      <c r="A20">
        <v>2</v>
      </c>
      <c r="B20">
        <v>6</v>
      </c>
      <c r="C20">
        <v>15</v>
      </c>
      <c r="D20">
        <v>40</v>
      </c>
      <c r="E20">
        <v>75</v>
      </c>
      <c r="F20">
        <f>(E20+C20)/C20</f>
        <v>6</v>
      </c>
    </row>
    <row r="21" spans="1:6" x14ac:dyDescent="0.25">
      <c r="A21">
        <v>3</v>
      </c>
      <c r="B21">
        <v>6</v>
      </c>
      <c r="C21">
        <v>15</v>
      </c>
      <c r="D21">
        <v>30</v>
      </c>
      <c r="E21">
        <v>75</v>
      </c>
      <c r="F21">
        <f>(E21+C21)/C21</f>
        <v>6</v>
      </c>
    </row>
    <row r="23" spans="1:6" x14ac:dyDescent="0.25">
      <c r="A23" t="s">
        <v>14</v>
      </c>
      <c r="B23">
        <f>PRODUCT(F19:F21)</f>
        <v>216</v>
      </c>
    </row>
    <row r="25" spans="1:6" x14ac:dyDescent="0.25">
      <c r="A25" t="s">
        <v>15</v>
      </c>
    </row>
    <row r="26" spans="1:6" x14ac:dyDescent="0.25">
      <c r="A26" t="s">
        <v>16</v>
      </c>
      <c r="B26">
        <f xml:space="preserve"> 'Gear Details'!D23 + (2 * 'Parameters &amp; summary'!B14)</f>
        <v>73.2</v>
      </c>
    </row>
    <row r="27" spans="1:6" x14ac:dyDescent="0.25">
      <c r="A27" t="s">
        <v>17</v>
      </c>
      <c r="B27">
        <f xml:space="preserve"> 'Gear Details'!B28 + 'Gear Details'!B9 + (('Gear Details'!B26 + 'Gear Details'!D9) * ('Parameters &amp; summary'!B10 - 1)) + 'Gear Details'!B27 + 1</f>
        <v>25</v>
      </c>
    </row>
  </sheetData>
  <mergeCells count="1">
    <mergeCell ref="A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E23A-02A8-4BEC-A056-488AAD776E06}">
  <dimension ref="A1:D28"/>
  <sheetViews>
    <sheetView workbookViewId="0">
      <selection activeCell="D8" sqref="D8"/>
    </sheetView>
  </sheetViews>
  <sheetFormatPr defaultRowHeight="15" x14ac:dyDescent="0.25"/>
  <cols>
    <col min="1" max="1" width="26" bestFit="1" customWidth="1"/>
    <col min="2" max="2" width="8.85546875" bestFit="1" customWidth="1"/>
    <col min="3" max="3" width="11.28515625" bestFit="1" customWidth="1"/>
    <col min="4" max="4" width="18.5703125" bestFit="1" customWidth="1"/>
  </cols>
  <sheetData>
    <row r="1" spans="1:4" x14ac:dyDescent="0.25">
      <c r="A1" t="s">
        <v>28</v>
      </c>
      <c r="B1" t="s">
        <v>29</v>
      </c>
      <c r="C1" t="s">
        <v>30</v>
      </c>
      <c r="D1" t="s">
        <v>31</v>
      </c>
    </row>
    <row r="3" spans="1:4" x14ac:dyDescent="0.25">
      <c r="A3" s="1" t="s">
        <v>32</v>
      </c>
      <c r="B3" s="1"/>
      <c r="C3" s="1"/>
      <c r="D3" s="1"/>
    </row>
    <row r="4" spans="1:4" x14ac:dyDescent="0.25">
      <c r="A4" t="s">
        <v>3</v>
      </c>
      <c r="B4">
        <v>1.1000000000000001</v>
      </c>
      <c r="C4">
        <v>1.1000000000000001</v>
      </c>
      <c r="D4">
        <v>1.1000000000000001</v>
      </c>
    </row>
    <row r="5" spans="1:4" x14ac:dyDescent="0.25">
      <c r="A5" t="s">
        <v>33</v>
      </c>
      <c r="B5">
        <f>RADIANS('Parameters &amp; summary'!B9)</f>
        <v>0.3490658503988659</v>
      </c>
      <c r="C5">
        <f>RADIANS('Parameters &amp; summary'!B9)</f>
        <v>0.3490658503988659</v>
      </c>
      <c r="D5">
        <f>RADIANS('Parameters &amp; summary'!B9)</f>
        <v>0.3490658503988659</v>
      </c>
    </row>
    <row r="7" spans="1:4" x14ac:dyDescent="0.25">
      <c r="A7" s="1" t="s">
        <v>34</v>
      </c>
      <c r="B7" s="1"/>
      <c r="C7" s="1"/>
      <c r="D7" s="1"/>
    </row>
    <row r="8" spans="1:4" x14ac:dyDescent="0.25">
      <c r="A8" t="s">
        <v>35</v>
      </c>
      <c r="B8">
        <v>12</v>
      </c>
      <c r="C8">
        <v>24</v>
      </c>
      <c r="D8">
        <v>60</v>
      </c>
    </row>
    <row r="9" spans="1:4" x14ac:dyDescent="0.25">
      <c r="A9" t="s">
        <v>36</v>
      </c>
      <c r="B9">
        <v>5</v>
      </c>
      <c r="C9">
        <v>5</v>
      </c>
      <c r="D9">
        <v>5</v>
      </c>
    </row>
    <row r="10" spans="1:4" x14ac:dyDescent="0.25">
      <c r="A10" t="s">
        <v>37</v>
      </c>
      <c r="B10">
        <f>'Parameters &amp; summary'!B3</f>
        <v>4</v>
      </c>
      <c r="C10">
        <v>2</v>
      </c>
      <c r="D10" t="s">
        <v>38</v>
      </c>
    </row>
    <row r="12" spans="1:4" x14ac:dyDescent="0.25">
      <c r="A12" s="1" t="s">
        <v>39</v>
      </c>
      <c r="B12" s="1"/>
      <c r="C12" s="1"/>
      <c r="D12" s="1"/>
    </row>
    <row r="13" spans="1:4" x14ac:dyDescent="0.25">
      <c r="A13" t="s">
        <v>40</v>
      </c>
      <c r="B13">
        <f>B4*B8</f>
        <v>13.200000000000001</v>
      </c>
      <c r="C13">
        <f>C4*C8</f>
        <v>26.400000000000002</v>
      </c>
      <c r="D13">
        <f>D4*D8</f>
        <v>66</v>
      </c>
    </row>
    <row r="14" spans="1:4" x14ac:dyDescent="0.25">
      <c r="A14" t="s">
        <v>41</v>
      </c>
      <c r="B14">
        <f>B4</f>
        <v>1.1000000000000001</v>
      </c>
      <c r="C14">
        <f t="shared" ref="C14:D14" si="0">C4</f>
        <v>1.1000000000000001</v>
      </c>
      <c r="D14">
        <f t="shared" si="0"/>
        <v>1.1000000000000001</v>
      </c>
    </row>
    <row r="15" spans="1:4" x14ac:dyDescent="0.25">
      <c r="A15" t="s">
        <v>42</v>
      </c>
      <c r="B15">
        <f>1.25*B4</f>
        <v>1.375</v>
      </c>
      <c r="C15">
        <f t="shared" ref="C15:D15" si="1">1.25*C4</f>
        <v>1.375</v>
      </c>
      <c r="D15">
        <f t="shared" si="1"/>
        <v>1.375</v>
      </c>
    </row>
    <row r="16" spans="1:4" x14ac:dyDescent="0.25">
      <c r="A16" t="s">
        <v>43</v>
      </c>
      <c r="B16">
        <f>2.25*B4</f>
        <v>2.4750000000000001</v>
      </c>
      <c r="C16">
        <f t="shared" ref="C16:D16" si="2">2.25*C4</f>
        <v>2.4750000000000001</v>
      </c>
      <c r="D16">
        <f t="shared" si="2"/>
        <v>2.4750000000000001</v>
      </c>
    </row>
    <row r="17" spans="1:4" ht="45" x14ac:dyDescent="0.25">
      <c r="A17" s="2" t="s">
        <v>44</v>
      </c>
      <c r="B17">
        <f>B4*(B8+2)</f>
        <v>15.400000000000002</v>
      </c>
      <c r="C17">
        <f>C4*(C8+2)</f>
        <v>28.6</v>
      </c>
      <c r="D17">
        <f>D4*(D8-2)</f>
        <v>63.800000000000004</v>
      </c>
    </row>
    <row r="18" spans="1:4" ht="30" x14ac:dyDescent="0.25">
      <c r="A18" s="2" t="s">
        <v>45</v>
      </c>
      <c r="B18">
        <f>B4*(B8-2.5)</f>
        <v>10.450000000000001</v>
      </c>
      <c r="C18">
        <f t="shared" ref="C18:D18" si="3">C4*(C8-2.5)</f>
        <v>23.650000000000002</v>
      </c>
      <c r="D18">
        <f t="shared" si="3"/>
        <v>63.250000000000007</v>
      </c>
    </row>
    <row r="19" spans="1:4" ht="30" x14ac:dyDescent="0.25">
      <c r="A19" s="2" t="s">
        <v>46</v>
      </c>
      <c r="B19">
        <f>B13*COS(B5)</f>
        <v>12.403942594373992</v>
      </c>
      <c r="C19">
        <f t="shared" ref="C19:D19" si="4">C13*COS(C5)</f>
        <v>24.807885188747985</v>
      </c>
      <c r="D19">
        <f t="shared" si="4"/>
        <v>62.019712971869957</v>
      </c>
    </row>
    <row r="20" spans="1:4" x14ac:dyDescent="0.25">
      <c r="A20" t="s">
        <v>47</v>
      </c>
      <c r="B20">
        <f>PI()*B4</f>
        <v>3.4557519189487729</v>
      </c>
      <c r="C20">
        <f t="shared" ref="C20:D20" si="5">PI()*C4</f>
        <v>3.4557519189487729</v>
      </c>
      <c r="D20">
        <f t="shared" si="5"/>
        <v>3.4557519189487729</v>
      </c>
    </row>
    <row r="21" spans="1:4" x14ac:dyDescent="0.25">
      <c r="A21" t="s">
        <v>48</v>
      </c>
      <c r="B21">
        <f>B20/2</f>
        <v>1.7278759594743864</v>
      </c>
      <c r="C21">
        <f t="shared" ref="C21:D21" si="6">C20/2</f>
        <v>1.7278759594743864</v>
      </c>
      <c r="D21">
        <f t="shared" si="6"/>
        <v>1.7278759594743864</v>
      </c>
    </row>
    <row r="22" spans="1:4" ht="30" x14ac:dyDescent="0.25">
      <c r="A22" s="2" t="s">
        <v>49</v>
      </c>
      <c r="B22" t="s">
        <v>38</v>
      </c>
      <c r="C22" t="s">
        <v>38</v>
      </c>
      <c r="D22">
        <f>B13+C13</f>
        <v>39.6</v>
      </c>
    </row>
    <row r="23" spans="1:4" ht="30" x14ac:dyDescent="0.25">
      <c r="A23" s="2" t="s">
        <v>50</v>
      </c>
      <c r="B23" t="s">
        <v>38</v>
      </c>
      <c r="C23" t="s">
        <v>38</v>
      </c>
      <c r="D23">
        <f>D13 + (2*D14)</f>
        <v>68.2</v>
      </c>
    </row>
    <row r="25" spans="1:4" x14ac:dyDescent="0.25">
      <c r="A25" s="1" t="s">
        <v>51</v>
      </c>
      <c r="B25" s="1"/>
      <c r="C25" s="1"/>
      <c r="D25" s="1"/>
    </row>
    <row r="26" spans="1:4" x14ac:dyDescent="0.25">
      <c r="A26" t="s">
        <v>52</v>
      </c>
      <c r="B26">
        <v>2.5</v>
      </c>
    </row>
    <row r="27" spans="1:4" x14ac:dyDescent="0.25">
      <c r="A27" t="s">
        <v>53</v>
      </c>
      <c r="B27">
        <v>2</v>
      </c>
    </row>
    <row r="28" spans="1:4" x14ac:dyDescent="0.25">
      <c r="A28" t="s">
        <v>54</v>
      </c>
      <c r="B28">
        <v>2</v>
      </c>
    </row>
  </sheetData>
  <mergeCells count="4">
    <mergeCell ref="A3:D3"/>
    <mergeCell ref="A7:D7"/>
    <mergeCell ref="A12:D12"/>
    <mergeCell ref="A25:D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D7DF-553C-4DDC-8C01-569042C5A7CA}">
  <dimension ref="A1:B17"/>
  <sheetViews>
    <sheetView workbookViewId="0">
      <selection activeCell="B9" sqref="B9"/>
    </sheetView>
  </sheetViews>
  <sheetFormatPr defaultRowHeight="15" x14ac:dyDescent="0.25"/>
  <cols>
    <col min="1" max="1" width="30.85546875" bestFit="1" customWidth="1"/>
    <col min="2" max="2" width="24.140625" bestFit="1" customWidth="1"/>
  </cols>
  <sheetData>
    <row r="1" spans="1:2" x14ac:dyDescent="0.25">
      <c r="A1" s="1" t="s">
        <v>55</v>
      </c>
      <c r="B1" s="1"/>
    </row>
    <row r="3" spans="1:2" x14ac:dyDescent="0.25">
      <c r="A3" s="1" t="s">
        <v>56</v>
      </c>
      <c r="B3" s="1"/>
    </row>
    <row r="4" spans="1:2" x14ac:dyDescent="0.25">
      <c r="A4" t="s">
        <v>57</v>
      </c>
      <c r="B4">
        <f>'Parameters &amp; summary'!B6</f>
        <v>75</v>
      </c>
    </row>
    <row r="5" spans="1:2" x14ac:dyDescent="0.25">
      <c r="A5" t="s">
        <v>58</v>
      </c>
      <c r="B5">
        <f>'Parameters &amp; summary'!B7</f>
        <v>25</v>
      </c>
    </row>
    <row r="7" spans="1:2" x14ac:dyDescent="0.25">
      <c r="A7" s="1" t="s">
        <v>59</v>
      </c>
      <c r="B7" s="1"/>
    </row>
    <row r="8" spans="1:2" x14ac:dyDescent="0.25">
      <c r="A8" t="s">
        <v>60</v>
      </c>
      <c r="B8">
        <f>'Parameters &amp; summary'!B26</f>
        <v>73.2</v>
      </c>
    </row>
    <row r="9" spans="1:2" x14ac:dyDescent="0.25">
      <c r="A9" t="s">
        <v>61</v>
      </c>
      <c r="B9">
        <f>'Parameters &amp; summary'!B27</f>
        <v>25</v>
      </c>
    </row>
    <row r="11" spans="1:2" x14ac:dyDescent="0.25">
      <c r="A11" s="1" t="s">
        <v>62</v>
      </c>
      <c r="B11" s="1"/>
    </row>
    <row r="12" spans="1:2" x14ac:dyDescent="0.25">
      <c r="A12" t="s">
        <v>63</v>
      </c>
      <c r="B12" t="str">
        <f>IF(B8&lt;=B4, "YES", "NO - Exceeds Max Diameter!")</f>
        <v>YES</v>
      </c>
    </row>
    <row r="13" spans="1:2" x14ac:dyDescent="0.25">
      <c r="A13" t="s">
        <v>64</v>
      </c>
      <c r="B13" t="str">
        <f>IF(B9&lt;=B5, "YES", "NO - Exceeds Max Height!")</f>
        <v>YES</v>
      </c>
    </row>
    <row r="15" spans="1:2" x14ac:dyDescent="0.25">
      <c r="A15" s="1" t="s">
        <v>65</v>
      </c>
      <c r="B15" s="1"/>
    </row>
    <row r="16" spans="1:2" x14ac:dyDescent="0.25">
      <c r="A16" t="s">
        <v>66</v>
      </c>
      <c r="B16">
        <f>B4-B8</f>
        <v>1.7999999999999972</v>
      </c>
    </row>
    <row r="17" spans="1:2" x14ac:dyDescent="0.25">
      <c r="A17" t="s">
        <v>67</v>
      </c>
      <c r="B17">
        <f>B5-B9</f>
        <v>0</v>
      </c>
    </row>
  </sheetData>
  <mergeCells count="5">
    <mergeCell ref="A1:B1"/>
    <mergeCell ref="A3:B3"/>
    <mergeCell ref="A7:B7"/>
    <mergeCell ref="A11:B11"/>
    <mergeCell ref="A15:B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0A7C1-5D9A-4F71-8576-8BD755AA1EAF}">
  <dimension ref="A1:B53"/>
  <sheetViews>
    <sheetView tabSelected="1" topLeftCell="A19" zoomScaleNormal="100" workbookViewId="0">
      <selection activeCell="C39" sqref="C39"/>
    </sheetView>
  </sheetViews>
  <sheetFormatPr defaultRowHeight="15" x14ac:dyDescent="0.25"/>
  <cols>
    <col min="1" max="1" width="47.28515625" bestFit="1" customWidth="1"/>
    <col min="2" max="2" width="30.42578125" bestFit="1" customWidth="1"/>
    <col min="3" max="3" width="13.85546875" bestFit="1" customWidth="1"/>
    <col min="4" max="4" width="16.5703125" bestFit="1" customWidth="1"/>
    <col min="5" max="5" width="14.28515625" bestFit="1" customWidth="1"/>
    <col min="6" max="6" width="45.42578125" bestFit="1" customWidth="1"/>
  </cols>
  <sheetData>
    <row r="1" spans="1:2" x14ac:dyDescent="0.25">
      <c r="A1" t="s">
        <v>68</v>
      </c>
    </row>
    <row r="3" spans="1:2" x14ac:dyDescent="0.25">
      <c r="A3" t="s">
        <v>69</v>
      </c>
    </row>
    <row r="4" spans="1:2" x14ac:dyDescent="0.25">
      <c r="A4" t="s">
        <v>70</v>
      </c>
      <c r="B4">
        <v>50</v>
      </c>
    </row>
    <row r="5" spans="1:2" x14ac:dyDescent="0.25">
      <c r="A5" t="s">
        <v>71</v>
      </c>
      <c r="B5">
        <v>40</v>
      </c>
    </row>
    <row r="6" spans="1:2" x14ac:dyDescent="0.25">
      <c r="A6" t="s">
        <v>72</v>
      </c>
      <c r="B6">
        <v>20</v>
      </c>
    </row>
    <row r="7" spans="1:2" x14ac:dyDescent="0.25">
      <c r="A7" t="s">
        <v>73</v>
      </c>
      <c r="B7">
        <f>B5*0.6</f>
        <v>24</v>
      </c>
    </row>
    <row r="8" spans="1:2" x14ac:dyDescent="0.25">
      <c r="A8" t="s">
        <v>74</v>
      </c>
      <c r="B8">
        <v>3000</v>
      </c>
    </row>
    <row r="10" spans="1:2" x14ac:dyDescent="0.25">
      <c r="A10" t="s">
        <v>75</v>
      </c>
    </row>
    <row r="11" spans="1:2" x14ac:dyDescent="0.25">
      <c r="A11" t="s">
        <v>76</v>
      </c>
      <c r="B11">
        <v>2.3999999999999998E-3</v>
      </c>
    </row>
    <row r="12" spans="1:2" x14ac:dyDescent="0.25">
      <c r="A12" t="s">
        <v>77</v>
      </c>
      <c r="B12">
        <f>B11*1000</f>
        <v>2.4</v>
      </c>
    </row>
    <row r="13" spans="1:2" x14ac:dyDescent="0.25">
      <c r="A13" t="s">
        <v>78</v>
      </c>
      <c r="B13">
        <v>1000</v>
      </c>
    </row>
    <row r="15" spans="1:2" x14ac:dyDescent="0.25">
      <c r="A15" t="s">
        <v>79</v>
      </c>
    </row>
    <row r="16" spans="1:2" x14ac:dyDescent="0.25">
      <c r="A16" t="s">
        <v>80</v>
      </c>
      <c r="B16">
        <f>'Parameters &amp; summary'!F19</f>
        <v>6</v>
      </c>
    </row>
    <row r="17" spans="1:2" x14ac:dyDescent="0.25">
      <c r="A17" t="s">
        <v>81</v>
      </c>
      <c r="B17">
        <f>'Parameters &amp; summary'!F20</f>
        <v>6</v>
      </c>
    </row>
    <row r="18" spans="1:2" x14ac:dyDescent="0.25">
      <c r="A18" t="s">
        <v>82</v>
      </c>
      <c r="B18">
        <f>'Parameters &amp; summary'!F21</f>
        <v>6</v>
      </c>
    </row>
    <row r="19" spans="1:2" x14ac:dyDescent="0.25">
      <c r="A19" t="s">
        <v>83</v>
      </c>
      <c r="B19">
        <f>B12*B16</f>
        <v>14.399999999999999</v>
      </c>
    </row>
    <row r="20" spans="1:2" x14ac:dyDescent="0.25">
      <c r="A20" t="s">
        <v>84</v>
      </c>
      <c r="B20">
        <f>B19*B17</f>
        <v>86.399999999999991</v>
      </c>
    </row>
    <row r="21" spans="1:2" x14ac:dyDescent="0.25">
      <c r="A21" t="s">
        <v>85</v>
      </c>
      <c r="B21">
        <f>B20*B18</f>
        <v>518.4</v>
      </c>
    </row>
    <row r="22" spans="1:2" x14ac:dyDescent="0.25">
      <c r="A22" t="s">
        <v>86</v>
      </c>
      <c r="B22">
        <f>B21/1000</f>
        <v>0.51839999999999997</v>
      </c>
    </row>
    <row r="24" spans="1:2" x14ac:dyDescent="0.25">
      <c r="A24" s="1" t="s">
        <v>87</v>
      </c>
      <c r="B24" s="1"/>
    </row>
    <row r="25" spans="1:2" x14ac:dyDescent="0.25">
      <c r="A25" s="1" t="s">
        <v>88</v>
      </c>
      <c r="B25" s="1"/>
    </row>
    <row r="26" spans="1:2" x14ac:dyDescent="0.25">
      <c r="A26" t="s">
        <v>89</v>
      </c>
      <c r="B26">
        <f>'Gear Details'!B13</f>
        <v>13.200000000000001</v>
      </c>
    </row>
    <row r="27" spans="1:2" x14ac:dyDescent="0.25">
      <c r="A27" t="s">
        <v>90</v>
      </c>
      <c r="B27">
        <f>B26/2</f>
        <v>6.6000000000000005</v>
      </c>
    </row>
    <row r="28" spans="1:2" x14ac:dyDescent="0.25">
      <c r="A28" t="s">
        <v>91</v>
      </c>
      <c r="B28">
        <f>B20/B27</f>
        <v>13.090909090909088</v>
      </c>
    </row>
    <row r="29" spans="1:2" x14ac:dyDescent="0.25">
      <c r="A29" t="s">
        <v>92</v>
      </c>
      <c r="B29">
        <f>'Gear Details'!B9</f>
        <v>5</v>
      </c>
    </row>
    <row r="30" spans="1:2" x14ac:dyDescent="0.25">
      <c r="A30" t="s">
        <v>93</v>
      </c>
      <c r="B30">
        <f>'Gear Details'!B21</f>
        <v>1.7278759594743864</v>
      </c>
    </row>
    <row r="31" spans="1:2" x14ac:dyDescent="0.25">
      <c r="A31" t="s">
        <v>94</v>
      </c>
      <c r="B31">
        <f>'Gear Details'!B14 + 'Gear Details'!B15</f>
        <v>2.4750000000000001</v>
      </c>
    </row>
    <row r="32" spans="1:2" x14ac:dyDescent="0.25">
      <c r="A32" t="s">
        <v>95</v>
      </c>
      <c r="B32">
        <f>B28*B31</f>
        <v>32.399999999999991</v>
      </c>
    </row>
    <row r="33" spans="1:2" x14ac:dyDescent="0.25">
      <c r="A33" t="s">
        <v>96</v>
      </c>
      <c r="B33">
        <f>B29*B30^2/6</f>
        <v>2.4879627761079433</v>
      </c>
    </row>
    <row r="34" spans="1:2" x14ac:dyDescent="0.25">
      <c r="A34" t="s">
        <v>97</v>
      </c>
      <c r="B34">
        <f>B32/B33</f>
        <v>13.022702876079638</v>
      </c>
    </row>
    <row r="35" spans="1:2" x14ac:dyDescent="0.25">
      <c r="A35" t="s">
        <v>98</v>
      </c>
      <c r="B35">
        <f>B6/B34</f>
        <v>1.5357794914246568</v>
      </c>
    </row>
    <row r="36" spans="1:2" x14ac:dyDescent="0.25">
      <c r="A36" t="s">
        <v>99</v>
      </c>
      <c r="B36" t="str">
        <f>IF(B35&gt;1.5, "OKAY (SF&gt;1.5)", "LOW SF - Check Design!")</f>
        <v>OKAY (SF&gt;1.5)</v>
      </c>
    </row>
    <row r="38" spans="1:2" x14ac:dyDescent="0.25">
      <c r="A38" s="1" t="s">
        <v>100</v>
      </c>
      <c r="B38" s="1"/>
    </row>
    <row r="39" spans="1:2" x14ac:dyDescent="0.25">
      <c r="A39" t="s">
        <v>101</v>
      </c>
      <c r="B39">
        <v>8</v>
      </c>
    </row>
    <row r="40" spans="1:2" x14ac:dyDescent="0.25">
      <c r="A40" t="s">
        <v>102</v>
      </c>
      <c r="B40">
        <f>B39/2</f>
        <v>4</v>
      </c>
    </row>
    <row r="41" spans="1:2" x14ac:dyDescent="0.25">
      <c r="A41" t="s">
        <v>103</v>
      </c>
      <c r="B41">
        <f>PI()*B39^4/32</f>
        <v>402.12385965949352</v>
      </c>
    </row>
    <row r="42" spans="1:2" x14ac:dyDescent="0.25">
      <c r="A42" t="s">
        <v>104</v>
      </c>
      <c r="B42">
        <f>B21*B40/B41</f>
        <v>5.156620156177409</v>
      </c>
    </row>
    <row r="43" spans="1:2" x14ac:dyDescent="0.25">
      <c r="A43" t="s">
        <v>105</v>
      </c>
      <c r="B43">
        <f>B7/B42</f>
        <v>4.6542113386515451</v>
      </c>
    </row>
    <row r="44" spans="1:2" x14ac:dyDescent="0.25">
      <c r="A44" t="s">
        <v>99</v>
      </c>
      <c r="B44" t="str">
        <f>IF(B43&gt;1.5, "OKAY (SF&gt;1.5)", "LOW SF - Check Design!")</f>
        <v>OKAY (SF&gt;1.5)</v>
      </c>
    </row>
    <row r="46" spans="1:2" x14ac:dyDescent="0.25">
      <c r="A46" s="1" t="s">
        <v>106</v>
      </c>
      <c r="B46" s="1"/>
    </row>
    <row r="47" spans="1:2" x14ac:dyDescent="0.25">
      <c r="A47" t="s">
        <v>107</v>
      </c>
      <c r="B47">
        <f>'Gear Details'!C10</f>
        <v>2</v>
      </c>
    </row>
    <row r="48" spans="1:2" x14ac:dyDescent="0.25">
      <c r="A48" t="s">
        <v>108</v>
      </c>
      <c r="B48">
        <f>PI()*(B47/2)^2</f>
        <v>3.1415926535897931</v>
      </c>
    </row>
    <row r="49" spans="1:2" x14ac:dyDescent="0.25">
      <c r="A49" t="s">
        <v>109</v>
      </c>
      <c r="B49">
        <f>B12 / ('Gear Details'!C13/2)</f>
        <v>0.1818181818181818</v>
      </c>
    </row>
    <row r="50" spans="1:2" x14ac:dyDescent="0.25">
      <c r="A50" t="s">
        <v>110</v>
      </c>
      <c r="B50">
        <f>2*B48</f>
        <v>6.2831853071795862</v>
      </c>
    </row>
    <row r="51" spans="1:2" x14ac:dyDescent="0.25">
      <c r="A51" t="s">
        <v>111</v>
      </c>
      <c r="B51">
        <f>B49/B50</f>
        <v>2.8937262380344605E-2</v>
      </c>
    </row>
    <row r="52" spans="1:2" x14ac:dyDescent="0.25">
      <c r="A52" t="s">
        <v>112</v>
      </c>
      <c r="B52">
        <f>B7/B51</f>
        <v>829.38046054770541</v>
      </c>
    </row>
    <row r="53" spans="1:2" x14ac:dyDescent="0.25">
      <c r="A53" t="s">
        <v>99</v>
      </c>
      <c r="B53" t="str">
        <f>IF(B52&gt;1.5, "OKAY (SF&gt;1.5)", "LOW SF - Check Design!")</f>
        <v>OKAY (SF&gt;1.5)</v>
      </c>
    </row>
  </sheetData>
  <mergeCells count="4">
    <mergeCell ref="A24:B24"/>
    <mergeCell ref="A25:B25"/>
    <mergeCell ref="A38:B38"/>
    <mergeCell ref="A46:B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&amp; summary</vt:lpstr>
      <vt:lpstr>Gear Details</vt:lpstr>
      <vt:lpstr>Overall Dimensions</vt:lpstr>
      <vt:lpstr>Strength &amp; torque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</dc:creator>
  <cp:lastModifiedBy>utkarsh</cp:lastModifiedBy>
  <dcterms:created xsi:type="dcterms:W3CDTF">2025-07-18T22:26:24Z</dcterms:created>
  <dcterms:modified xsi:type="dcterms:W3CDTF">2025-07-19T15:18:55Z</dcterms:modified>
</cp:coreProperties>
</file>