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aron\Desktop\RECA_INCLUSION_LABORAL\templates\"/>
    </mc:Choice>
  </mc:AlternateContent>
  <xr:revisionPtr revIDLastSave="0" documentId="13_ncr:1_{E03AB289-2254-48ED-80D1-4C60D420563A}" xr6:coauthVersionLast="47" xr6:coauthVersionMax="47" xr10:uidLastSave="{00000000-0000-0000-0000-000000000000}"/>
  <bookViews>
    <workbookView xWindow="-120" yWindow="-120" windowWidth="29040" windowHeight="15720" firstSheet="1" activeTab="1" xr2:uid="{00000000-000D-0000-FFFF-FFFF00000000}"/>
  </bookViews>
  <sheets>
    <sheet name="caracterizacion" sheetId="1" state="hidden" r:id="rId1"/>
    <sheet name="3. REVISIÓN DE LAS CONDICIONES " sheetId="6" r:id="rId2"/>
  </sheets>
  <definedNames>
    <definedName name="Ind_y_Entrenamiento">#REF!</definedName>
    <definedName name="Vinculados">caracterizacion!$AY:$BJ</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6" i="6" l="1"/>
  <c r="L155" i="6"/>
  <c r="L154" i="6"/>
  <c r="L153" i="6"/>
  <c r="L33" i="6"/>
  <c r="I33" i="6"/>
  <c r="L32" i="6"/>
  <c r="I32" i="6"/>
  <c r="L31" i="6"/>
  <c r="I31" i="6"/>
  <c r="L30" i="6"/>
  <c r="I30" i="6"/>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R6" i="1"/>
  <c r="R5" i="1"/>
  <c r="R4" i="1"/>
  <c r="R3" i="1"/>
</calcChain>
</file>

<file path=xl/sharedStrings.xml><?xml version="1.0" encoding="utf-8"?>
<sst xmlns="http://schemas.openxmlformats.org/spreadsheetml/2006/main" count="325" uniqueCount="294">
  <si>
    <t>Administrativo.</t>
  </si>
  <si>
    <t>Operativo.</t>
  </si>
  <si>
    <t>Servicio.</t>
  </si>
  <si>
    <t>SEGUIMIENTO 1</t>
  </si>
  <si>
    <t>SEGUIMIENTO 2</t>
  </si>
  <si>
    <t>SEGUIMIENTO 3</t>
  </si>
  <si>
    <t>SEGUIMIENTO 4</t>
  </si>
  <si>
    <t>SEGUIMIENTO 5</t>
  </si>
  <si>
    <t>SEGUIMIENTO 6</t>
  </si>
  <si>
    <t>SEGUIMIENTOS 1</t>
  </si>
  <si>
    <t>Competencias Generales</t>
  </si>
  <si>
    <t>Organización.</t>
  </si>
  <si>
    <t>Trabajo en equipo.</t>
  </si>
  <si>
    <t>Responsabilidad.</t>
  </si>
  <si>
    <t>Servicio al cliente.</t>
  </si>
  <si>
    <t>Paciencia.</t>
  </si>
  <si>
    <t>Apoyo</t>
  </si>
  <si>
    <t>Puntaje</t>
  </si>
  <si>
    <t>SEGUIMIENTOS 2</t>
  </si>
  <si>
    <t>Proactividad.</t>
  </si>
  <si>
    <t>Flexibilidad.</t>
  </si>
  <si>
    <t>Comunicación asertiva.</t>
  </si>
  <si>
    <t>Comunicación efectiva.</t>
  </si>
  <si>
    <t>Empatía.</t>
  </si>
  <si>
    <t>"No requiere apoyo."</t>
  </si>
  <si>
    <t>SEGUIMIENTOS 3</t>
  </si>
  <si>
    <t>Resiliencia.</t>
  </si>
  <si>
    <t>Resolución de problemas.</t>
  </si>
  <si>
    <t>"Requiere apoyo bajo."</t>
  </si>
  <si>
    <t>SEGUIMIENTOS 4</t>
  </si>
  <si>
    <t>Gestión del tiempo.</t>
  </si>
  <si>
    <t>Liderazgo.</t>
  </si>
  <si>
    <t>Honestidad e integridad.</t>
  </si>
  <si>
    <t>"Requiere apoyo medio."</t>
  </si>
  <si>
    <t>SEGUIMIENTOS 5</t>
  </si>
  <si>
    <t>Orientación al detalle</t>
  </si>
  <si>
    <t>"Requiere apoyo alto."</t>
  </si>
  <si>
    <t>SEGUIMIENTOS 6</t>
  </si>
  <si>
    <t>Areaa para imágenes</t>
  </si>
  <si>
    <t>Imágenes</t>
  </si>
  <si>
    <t>Alto</t>
  </si>
  <si>
    <t>La empresa ha demostrado un alto nivel de cumplimiento en cuanto a infraestructura, arquitectura y accesibilidad para personas con discapacidad. Se han tomado medidas para garantizar la accesibilidad en todos los niveles, desde la entrada hasta los servicios y espacios de trabajo.</t>
  </si>
  <si>
    <t>La empresa ha implementado acciones concretas que habilitan los espacios de trabajo para garantizar la movilidad y adaptación de las PcD, implementado tecnologías de asistencia para mejorar la accesibilidad en el lugar de trabajo.</t>
  </si>
  <si>
    <t>Apertura de entrada al baño con puerta exterior.</t>
  </si>
  <si>
    <t>Medio</t>
  </si>
  <si>
    <t>La empresa ha mostrado un esfuerzo moderado en cuanto a infraestructura, arquitectura y accesibilidad para personas con discapacidad. Se han tomado algunas medidas para garantizar la accesibilidad en algunos lugares, pero aún se requiere mejorar en otros aspectos.</t>
  </si>
  <si>
    <t>La empresa ha adaptado algunos espacios de trabajo, pero aún no se han implementado tecnologías de asistencia. Es necesario que la empresa siga trabajando en mejorar estas condiciones para garantizar una igualdad de oportunidades para personas con discapacidad.</t>
  </si>
  <si>
    <t>Dimensiones y ubicación de elementos de baño para PcD.</t>
  </si>
  <si>
    <t>Bajo</t>
  </si>
  <si>
    <t xml:space="preserve">La empresa ha demostrado un bajo nivel de cumplimiento en cuanto a infraestructura, arquitectura y accesibilidad para personas con discapacidad. 
</t>
  </si>
  <si>
    <t>La empresa no han tomado medidas significativas para garantizar la accesibilidad en el lugar de trabajo y se han observado barreras arquitectónicas y de accesibilidad en todos los niveles. Es necesario que la empresa tome medidas urgentes para mejorar estas condiciones y garantizar una igualdad de oportunidades para personas con discapacidad.</t>
  </si>
  <si>
    <t>Ubicación y medidas de la barra de apoyo abatible.</t>
  </si>
  <si>
    <t>Dimensiones del espacio lateral derecho.</t>
  </si>
  <si>
    <t>Dimensión del espacio interno del baño.</t>
  </si>
  <si>
    <t>Medida de señalización baño.</t>
  </si>
  <si>
    <t>Características del letrero para baño destinado a PcD.</t>
  </si>
  <si>
    <t>Botón de emergencia en el baño.</t>
  </si>
  <si>
    <t>Dimensión lateral y altura de los pasamanos.</t>
  </si>
  <si>
    <t>Dimensión espacial de escaleras internas.</t>
  </si>
  <si>
    <t>Ancho de las escaleras internas.</t>
  </si>
  <si>
    <t>Líneas visuales de advertencia.</t>
  </si>
  <si>
    <t>Entrada directa a la empresa por la puerta exterior.</t>
  </si>
  <si>
    <t>Ancho de la puerta de entrada exterior.</t>
  </si>
  <si>
    <t>Puerta giratoria exterior para ingreso peatonal.</t>
  </si>
  <si>
    <t>Rampa exterior.</t>
  </si>
  <si>
    <t>Dimensión puertas internas.</t>
  </si>
  <si>
    <t>Ubicación y altura de las manijas de puertas.</t>
  </si>
  <si>
    <t>Dimensiones de puerta interna.</t>
  </si>
  <si>
    <t>Guía horizontal de apertura para puertas internas.</t>
  </si>
  <si>
    <t>Ángulo de apertura de puerta interna en posición izquierda.</t>
  </si>
  <si>
    <t>Ángulo de apertura de puerta interna en posición derecha.</t>
  </si>
  <si>
    <t>Correcta colocación de la señalización de botones en el ascensor.</t>
  </si>
  <si>
    <t>Gama de colores para la señalización.</t>
  </si>
  <si>
    <t>Señalización de áreas.</t>
  </si>
  <si>
    <t>Señalización de ubicación espacial.</t>
  </si>
  <si>
    <t>Señalización de zonas.</t>
  </si>
  <si>
    <t>Dimensiones y espacio del ascensor.</t>
  </si>
  <si>
    <t>Dimensiones y espacio para ingreso y salida USR.</t>
  </si>
  <si>
    <t>Parqueadero Accesible.</t>
  </si>
  <si>
    <t>Ubicación y disposición del espacio de trabajo entre puestos de oficina.</t>
  </si>
  <si>
    <t>Dimensiones puesto de trabajo.</t>
  </si>
  <si>
    <t>Dimensiones y espacio de las  alarmas de emergencia.</t>
  </si>
  <si>
    <t>Dimensión pasillos tipo L.</t>
  </si>
  <si>
    <t>Ancho de pasillos laterales.</t>
  </si>
  <si>
    <t>Dimensiones de los pasillos USR.</t>
  </si>
  <si>
    <t>Señales adaptadas en Braille y LSC.</t>
  </si>
  <si>
    <t>Ingreso Usuario Silla de Ruedas.</t>
  </si>
  <si>
    <t>Dimensiones de Señalización.</t>
  </si>
  <si>
    <t>LISTADO DE POBLACIÓN</t>
  </si>
  <si>
    <t>AJUSTES RAZONABLES</t>
  </si>
  <si>
    <t>DISCAPACIDAD VISUAL BAJA VISIÓN</t>
  </si>
  <si>
    <t>1. Uso de magnificador de pantalla / Lupa
2. Asegurar un nivel de iluminación adecuado para la escritura de documentos. Incrementar la iluminación con lámparas de apoyo puntual si fuera necesario
3. Adaptar el teclado convencional (teclas grandes, caracteres grandes y contrastados, marcas táctiles de referencia, etc.)
4. Evitar cambiar los implementos de trabajo de lugar, en caso de hacerlo indicar a la persona y mostrar en donde quedaron ubicados.
5. Tener el área de trabajo organizada, con el fin de evitar accidentes y/o incidentes, no obstaculizar el paso en el área de trabajo ni en áreas comunes. 
6. Permitir que la persona pueda grabar información en caso de capacitaciones, esto como una alternativa a escribir en braille, ya que tiende a ser mucho más extensa.
7. En caso de ser necesario contar con un monitor amplio. 
8. Acceso a la información mediante ampliación, contrastes y síntesis de voz.
9. Asegúrese de asignar un par de apoyo.</t>
  </si>
  <si>
    <t>DISCAPACIDAD VISUAL PÉRDIDA TOTAL DE LA VISIÓN</t>
  </si>
  <si>
    <t xml:space="preserve">1. Uso de Jaws, Magic, el lector de pantalla de Windows/IOS para personas ciegas.
2. Contar con herramientas para escribir en braille.
3. Uso de Relieve 
4. Contar con señales auditivas
5. Adaptar el teclado convencional (teclas grandes, caracteres grandes y contrastados, marcas táctiles de referencia, etc.)
6. Evitar cambiar los implementos de trabajo de lugar, en caso de hacerlo indicar a la persona y mostrar en donde quedaron ubicados.
7. Permitir que la persona pueda grabar información en caso de capacitaciones, esto como una alternativa a escribir en braille, ya que tiende a ser mucho más extensa.
8. Conversores de texto a audio
9. Acceso a la información mediante ampliación, contrastes y síntesis de voz.
10. Asegúrese de asignar un par de apoyo </t>
  </si>
  <si>
    <t>DISCAPACIDAD AUDITIVA</t>
  </si>
  <si>
    <t>1. Contar con el apoyo de un mediador comunicativo (intérprete)
2. Usar las diferentes ayudas que ofrece el centro de relevo: Relevo de llamadas y Servicio de interpretación en línea SIEL.
3. Contar con una señal visual que permita orientar a la persona cuando suena el teléfono, suena el timbre o suena una alarma.
4. Adaptación de material audiovisual (subtítulos en vídeos)
5. Contar en el área de trabajo con tablero para la comunicación.
6. Utilizar un lenguaje sencillo y concreto
7. Contar con una señal visual que permita retomar la atención de la persona; Ejemplo : prender y apagar la luz
8. Evitar los puestos de trabajo y áreas aisladas. 
9. Formar al trabajador y a los compañeros en técnicas de comunicación alternativa.
10. Hacer uso de pictogramas si la persona no cuenta con lenguaje escrito.
11. Al hablar con la persona, hacer preguntas que requieran respuestas breves o tipo sí/no.
12. Cuando se hacen reuniones, es importante que la ubicación de las personas sea en mesa redonda, para facilitar la comunicación cara a cara.
13. Hacer contacto visual cuando se de una instrucción o tenga comunicación con las personas sordas
14. Asegúrese de asignar un par de apoyo</t>
  </si>
  <si>
    <t>DISCAPACIDAD AUDITIVA HIPOACUSIA</t>
  </si>
  <si>
    <t xml:space="preserve">1. Reducir, controlar o aislar los ruidos para facilitar la comunicación. 
2. Contar en el área de trabajo con tablero para la comunicación.
3. Evitar los puestos de trabajo y áreas aisladas. 
4. Formar al trabajador y a los compañeros en técnicas de comunicación aumentativa; Ejemplo: correo electrónico, notas escritas, mensajes de texto, uso de WhatsApp
5. Hacer uso de pictogramas si la persona no cuenta con lenguaje escrito.
6. En caso de que la persona sea Hipoacúsica, reducir el nivel de ruido para facilitar la comunicación oral, siempre comunicar cara a cara, para facilitar la lectura de labios, siempre y cuando la persona tenga dicha habilidad. 
7. Cuando se hacen reuniones, es importante que la ubicación de las personas sea en mesa redonda, para facilitar la comunicación cara a cara.
8. Hacer contacto visual cuando se de una instrucción o tenga comunicación con las hipoacúsicas.
9. Asegúrese de asignar un par de apoyo </t>
  </si>
  <si>
    <t>DISCAPACIDAD INTELECTUAL</t>
  </si>
  <si>
    <t xml:space="preserve">1. Asegúrese antes de dar la instrucción tener la atención de la persona.
2. Al dar la instrucción a la persona, pídale que repita lo que comprendió
3. Procure dar una instrucción a la vez, paso a paso y verificar su finalización antes de asignar una nueva actividad.
4. Si la tarea demanda tiempos puntuales de entrega, asegúrese que la persona comprenda y tome nota de la fecha y hora estipulada.
5. Planifique las actividades diarias, especificando las tareas que se deben realizar en la mañana, al mediodía y en la tarde; Ejemplo: check list - cronograma
6. Haga uso de agendas, post it (papeles de colores), alarmas en su celular para recordar sus funciones. 
7. Es importante que la persona tenga a la mano siempre una agenda para tomar nota de las instrucciones o tareas asignadas dentro de la jornada laboral
8. Si las tareas de la persona demandan hacer conteo o manipulación de dinero, verifique que lo sepa hacer, de no poder, capacite a la persona para manipular de manera correcta la calculadora, esto facilitará hacer sus actividades. 
9. Recuerde a la persona mantener una buena presentación personal (dotación limpia), dependiendo el cargo (uñas cortas, sin barba, cabello corto o recogido, entre otros). 
10. Retroalimentar de manera oportuna e inmediata a la persona al cometer errores. 
11. Dentro de las pausas activas incluir actividades de gimnasia cerebral que le permita a la persona reactivar los dispositivos básicos de aprendizaje (atención, concentración, memoria, percepción)
12. Si la persona convulsiona valide los medicamentos que utiliza, que tome sus pastas en las horas indicadas, aparte de esto, evite consumir bebidas energizantes o negras, que contengan cafeína, de la misma forma trasnochar.  
13. Presentar las instrucciones en un vocabulario o nivel de lectura que se aproxime al nivel de comprensión del vinculado
14. Es importante dar mayor tiempo para que la persona pueda procesar y responder a lo que se está preguntando
15. Explicar con modelamiento (acción - repetición) las tareas asignadas.
16. Ser flexible pero no condescendiente con la curva de aprendizaje del vinculado en caso que no tenga experiencia laboral previa. 
17. Asegúrese de asignar un par de apoyo 
</t>
  </si>
  <si>
    <t>TEA / AUTISMO</t>
  </si>
  <si>
    <t xml:space="preserve">1. Anticipar las labores que debe realizar dentro de su puesto de trabajo
2. Anticipar los cambios dentro del contexto laboral (actividades laborales cotidianas, personal nuevo, horarios, lugares de trabajo, entre otros)
3. Procure dar una instrucción a la vez, paso a paso y verificar su finalización antes de asignar una nueva actividad.
4. Planifique las actividades diarias, especificando las tareas que se deben realizar en la mañana, al mediodía y en la tarde; Ejemplo: check list - cronograma
5. Haga uso de agendas, post it (papeles de colores), alarmas en su celular para recordar sus funciones.
6. Cumplir con los acuerdos pactados para no generar inestabilidad emocional
7. Asegúrese de contar con un espacio óptimo y libre de contaminación visual y/o auditiva con el fin de facilitar la adaptación del vinculado.
8. Antes de tomar algún objeto que pertenezca a la persona, pregunte si lo puede utilizar.
9. Si le prestan algún elemento que pertenezca a la persona vinculada, asegúrese de entregarlo de manera personal.
10. No realizar comentarios, chistes, bromas de doble sentido o hacer sarcasmos. 
11. Al dar la instrucción a la persona, pídale que repita lo que comprendió
12. Si la persona debe hacer uso de objetos cortopunzantes asegúrese que lo haga bajo supervisión
13. Asegúrese de asignar un par de apoyo </t>
  </si>
  <si>
    <t>DISCAPACIDAD FÍSICA USR</t>
  </si>
  <si>
    <t xml:space="preserve">1. La altura de la mesa o superficie de trabajo debe estar comprendida entre 75-80 cm para acomodar al usuario de silla de ruedas.
2. Dejar un espacio libre debajo de los muebles o escritorios para que al ingresar la silla de ruedas no exista ningún obstáculo en los pies y en el posapies.
3. Incrementar la altura de la mesa donde se ubicará (extensores de patas, mesa regulable en altura). Es importante garantizar estabilidad, seguridad y robustez de la estructura del mueble.
4. Dentro del espacio de trabajo, ubique al alcance de la personas los elementos necesarios para el desarrollo de su labor (controles, teléfonos, muebles,entre otros)
5. Debe procurarse un entorno de trabajo libre de obstáculos y barreras arquitectónicas.
6. El suelo debe ser adecuado o adaptado (uniforme, no resbaladizo, etc.) y proporcionar los apoyos adecuados que faciliten el desplazamiento y la movilidad
7. Si las condiciones de la empresa lo permiten ajustar la labor a realizar por medio de teletrabajo
8. Flexibilizar el horario de ingreso y salida para evitar las horas pico en movilidad
9. Asegúrese de asignar un par de apoyo </t>
  </si>
  <si>
    <t>DISCAPACIDAD FÍSICA</t>
  </si>
  <si>
    <t>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t>
  </si>
  <si>
    <t>DISCAPACIDAD PSICOSOCIAL</t>
  </si>
  <si>
    <t>1. Planificación de tareas (Riesgos: Carga laboral, estres, cultura organizacional)
2. Anticipar las labores que debe realizar dentro de su puesto de trabajo
3. Anticipar los cambios dentro del contexto laboral (actividades laborales cotidianas, personal nuevo, horarios, lugares de trabajo, entre otros)
4. Cumplir con los acuerdos pactados para no generar inestabilidad emocional
5. No realizar comentarios, chistes, bromas de doble sentido o hacer sarcasmos. 
6. Al dar la instrucción a la persona, pídale que repita lo que comprendió
7. Si la persona debe hacer uso de objetos cortopunzantes asegúrese que lo haga bajo supervisión
8. Asegúrese antes de dar la instrucción tener la atención de la persona.
9. Al dar la instrucción a la persona, pídale que repita lo que comprendió
10. Procure dar una instrucción a la vez, paso a paso y verificar su finalización antes de asignar una nueva actividad.
11. Supervise a la persona sin invadir su espacio personal
12. Promover actividades de bienestar en las que pueda participar la persona vinculada
13. Asegúrese de asignar un par de apoyo.</t>
  </si>
  <si>
    <t>DISCAPACIDAD MÚLTIPLE FÍSICA - VISUAL</t>
  </si>
  <si>
    <t>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 
7.Uso de Jaws, Magic, el lector de pantalla de Windows/IOS para personas ciegas.
8. Contar con señales auditivas
9. Evitar cambiar los implementos de trabajo de lugar, en caso de hacerlo indicar a la persona y mostrar en donde quedaron ubicados.
10. Permitir que la persona pueda grabar información en caso de capacitaciones, esto como una alternativa a escribir en braille, ya que tiende a ser mucho más extensa.
11. Conversores de texto a audio
12. Velar por facilitar las condiciones de accesibilidad en los espacios donde se realizan las diferentes actividades de la jornada laboral; no solamente en el espacio del puesto de trabajo. 
13. Se recomienda que el facilitador promueva el uso de videos con audiodescripción (servicio de apoyo a la comunicación para las personas ciegas o con discapacidad visual consistente en la descripción clara, sucinta y gráfica de lo que ocurre en las producciones audiovisuales).</t>
  </si>
  <si>
    <t>DISCAPACIDAD MÚLTIPLE FÍSICA - AUDITIVA</t>
  </si>
  <si>
    <t xml:space="preserve">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
7. Contar con el apoyo de un mediador comunicativo (intérprete)
8. Usar las diferentes ayudas que ofrece el centro de relevo: Relevo de llamadas y Servicio de interpretación en línea SIEL.
9. Contar con una señal visual que permita orientar a la persona cuando suena el teléfono, suena el timbre o suena una alarma.
10. Adaptación de material audiovisual (subtítulos en vídeos)
11. Utilizar un lenguaje sencillo y concreto
12. Formar al trabajador y a los compañeros en técnicas de comunicación alternativa.
13. Hacer uso de pictogramas si la persona no cuenta con lenguaje escrito.
14. Cuando se hacen reuniones, es importante que la ubicación de las personas sea en mesa redonda, para facilitar la comunicación cara a cara.
15. Hacer contacto visual cuando se de una instrucción o tenga comunicación con las personas sordas
16. Adecuar el escritorio y computadora de manera ergonómica que permita el descanso de las articulaciones. 
17. Manejo de intérprete para la lectura del contrato. 
18. Se recomienda minimizar el uso de pruebas psicotécnicas y reemplazarlas por otras estrategias de selección que permitan alcanzar los mismos objetivos. Solo en caso de que lo anterior no sea posible, se sugiere priorizar la aplicación de pruebas gráficas-proyectivas que buscan identificar rasgos de personalidad. </t>
  </si>
  <si>
    <t>DISCAPACIDAD MÚLTIPLE FÍSICA - PSICOSOCIAL</t>
  </si>
  <si>
    <t xml:space="preserve">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 
7. Planificación de tareas (Riesgos: Carga laboral, estrés, cultura organizacional).
8. Anticipar las labores que debe realizar dentro de su puesto de trabajo.
9. Anticipar los cambios dentro del contexto laboral (actividades laborales cotidianas, personal nuevo, horarios, lugares de trabajo, entre otros). 
10. Reduzca los comentarios, chistes, bromas de doble sentido o hacer sarcasmos, sin el consentimiento de la persona.
11. Al dar la instrucción a la persona, pídale que repita lo que comprendió, para garantizar la información.
12. Si la persona debe hacer uso de objetos cortopunzantes asegúrese que lo haga bajo supervisión
13. Asegúrese antes de dar la instrucción tener la atención de la persona.
14. Procure dar una instrucción a la vez, paso a paso y verificar su finalización antes de asignar una nueva actividad.
15. Supervise a la persona sin invadir su espacio personal.
16. Promover actividades de bienestar en las que pueda participar la persona vinculada.
17. Facilidades para realizar pausas activas para minimizar el riesgo de rigidez articular. 
18. Asegurar que el lugar elegido sea adecuado para que la persona pueda participar con claridad y tranquilidad.
19. Si se requiere ayudar a cambiar de posición a una persona con movilidad reducida se le debe advertir o acordar con ella la maniobra que se va a realizar, especialmente si es usuario de alguna ayuda mecánica de apoyo como silla de ruedas o caminador.
20. Considerar que la discapacidad psicosocial es una afectación que en la mayoría de los casos se puede generar en los mismos contextos laborales y es ahí donde la pregunta por la salud mental cobra gran relevancia.
</t>
  </si>
  <si>
    <t>DISCAPACIDAD MÚLTIPLE FÍSICA - INTELECTUAL</t>
  </si>
  <si>
    <t xml:space="preserve">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 
7. Asegúrese antes de dar la instrucción tener la atención de la persona.
8. Al dar la instrucción a la persona, pídale que repita lo que comprendió
9. Procure dar una instrucción a la vez, paso a paso y verificar su finalización antes de asignar una nueva actividad.
10. Si la tarea demanda tiempos puntuales de entrega, asegúrese que la persona comprenda y tome nota de la fecha y hora estipulada.
11. Planifique las actividades diarias, especificando las tareas que se deben realizar en la mañana, al mediodía y en la tarde; Ejemplo: check list - cronograma
12. Haga uso de agendas, post it (papeles de colores), alarmas en su celular para recordar sus funciones.
13. Recuerde a la persona mantener una buena presentación personal (dotación limpia), dependiendo el cargo (uñas cortas, sin barba, cabello corto o recogido, entre otros).
14. Retroalimentar de manera oportuna e inmediata a la persona al cometer errores.
15. Si la persona convulsiona valide los medicamentos que utiliza, que tome sus pastas en las horas indicadas, aparte de esto, evite consumir bebidas energizantes o negras, que contengan cafeína, de la misma forma trasnochar.
16. Presentar las instrucciones en un vocabulario o nivel de lectura que se aproxime al nivel de comprensión del vinculado
17. Explicar con modelamiento (acción - repetición) las tareas asignadas.
18. Ser flexible pero no condescendiente con la curva de aprendizaje del vinculado en caso que no tenga experiencia laboral previa.
19. Asegurarse de que el entorno sea cómodo y seguro para todos los participantes.
20. Manejo de lenguaje claro, con la disminución de palabras técnicas.
21. Se recomienda dejar un espacio considerable en las hileras donde están ubicadas las sillas para que la persona se pueda ubicar fácilmente en él y ojalá en los extremos para que la persona pueda salir y/o ingresar al salón cuando lo requiera sin mayores contratiempos.
22. A algunas Personas con discapacidad intelectual se les facilita este proceso con actividades prácticas que les permite “aprender haciendo”.
</t>
  </si>
  <si>
    <t>DISCAPACIDAD MÚLTIPLE FÍSICA - BAJA VISIÓN</t>
  </si>
  <si>
    <t>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 
7. Uso de magnificador de pantalla / Lupa
8. Asegurar un nivel de iluminación adecuado para la escritura de documentos. Incrementar la iluminación con lámparas de apoyo puntual si fuera necesario
9. Adaptar el teclado convencional (teclas grandes, caracteres grandes y contrastados, marcas táctiles de referencia, etc.)
10. Evitar cambiar los implementos de trabajo de lugar, en caso de hacerlo indicar a la persona y mostrar en donde quedaron ubicados.
11. Tener el área de trabajo organizada, con el fin de evitar accidentes y/o incidentes, no obstaculizar el paso en el área de trabajo ni en áreas comunes.
12. Permitir que la persona pueda grabar información en caso de capacitaciones, esto como una alternativa a escribir en braille, ya que tiende a ser mucho más extensa.
13. En caso de ser necesario contar con un monitor amplio.
14. Acceso a la información mediante ampliación, contrastes y síntesis de voz.
15. Adecuar el escritorio y computadora de manera ergonómica que permita el descanso de las articulaciones. 
16. Tener en cuenta el manejo del tono de voz, para los oferentes que tienen implante coclear o audífono.
17. Adecuar el escritorio y computadora de manera ergonómica que permita el descanso de las articulaciones.</t>
  </si>
  <si>
    <t>DISCAPACIDAD MÚLTIPLE FÍSICA - HIPOACUSIA</t>
  </si>
  <si>
    <t xml:space="preserve">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 
7. Reducir, controlar o aislar los ruidos para facilitar la comunicación.
8. Contar en el área de trabajo con tablero para la comunicación.
9. Evitar los puestos de trabajo y áreas aisladas.
10. Formar al trabajador y a los compañeros en técnicas de comunicación aumentativa; Ejemplo: correo electrónico, notas escritas, mensajes de texto, uso de WhatsApp
11. Hacer uso de pictogramas si la persona no cuenta con lenguaje escrito.
12. En caso de que la persona sea Hipoacúsica, reducir el nivel de ruido para facilitar la comunicación oral, siempre comunicar cara a cara, para facilitar la lectura de labios, siempre y cuando la persona tenga dicha habilidad.
13. Cuando se hacen reuniones, es importante que la ubicación de las personas sea en mesa redonda, para facilitar la comunicación cara a cara.
14. Adecuar el escritorio y computadora de manera ergonómica que permita el descanso de las articulaciones. 
15. Tener en cuenta el manejo del tono de voz, para los oferentes que tienen implante coclear o audífono.
16. Adecuar el escritorio y computadora de manera ergonómica que permita el descanso de las articulaciones.
17. Para personas con hipoacusia que no manejan la lengua de señas, pero se apoyan en la lectura labio-facial;  se les debe hablar de frente, de forma clara y concreta, vocalizando y haciendo uso del lenguaje corporal a la hora de quererse comunicar.
</t>
  </si>
  <si>
    <t>DISCAPACIDAD MÚLTIPLE PSICOSOCIAL - HIPOACUSIA</t>
  </si>
  <si>
    <t>1. Planificación de tareas (Riesgos: Carga laboral, estrés, cultura organizacional).
2. Anticipar las labores que debe realizar dentro de su puesto de trabajo.
3. Anticipar los cambios dentro del contexto laboral (actividades laborales cotidianas, personal nuevo, horarios, lugares de trabajo, entre otros). 
4. Reduzca los comentarios, chistes, bromas de doble sentido o hacer sarcasmos, sin el consentimiento de la persona.
5. Al dar la instrucción a la persona, pídale que repita lo que comprendió, para garantizar la información.
6. Si la persona debe hacer uso de objetos cortopunzantes asegúrese que lo haga bajo supervisión
7. Asegúrese antes de dar la instrucción tener la atención de la persona.
8. Procure dar una instrucción a la vez, paso a paso y verificar su finalización antes de asignar una nueva actividad.
9. Supervise a la persona sin invadir su espacio personal.
10. Promover actividades de bienestar en las que pueda participar la persona vinculada.
11. Asegurar que el lugar elegido sea adecuado para que la persona pueda participar con claridad y tranquilidad.
12. Considerar que la discapacidad psicosocial es una afectación que en la mayoría de los casos se puede generar en los mismos contextos laborales y es ahí donde la pregunta por la salud mental cobra gran relevancia.
13. Reducir, controlar o aislar los ruidos para facilitar la comunicación.
14. Formar al trabajador y a los compañeros en técnicas de comunicación aumentativa; Ejemplo: correo electrónico, notas escritas, mensajes de texto, uso de WhatsApp
15. Hacer uso de pictogramas si la persona no cuenta con lenguaje escrito.
16. En caso de que la persona sea Hipoacúsica, reducir el nivel de ruido para facilitar la comunicación oral, siempre comunicar cara a cara, para facilitar la lectura de labios, siempre y cuando la persona tenga dicha habilidad.
17. Cuando se hacen reuniones, es importante que la ubicación de las personas sea en mesa redonda, para facilitar la comunicación cara a cara.
18. Tener en cuenta el manejo del tono de voz, para los oferentes que tienen implante coclear o audífono.
19. Para personas con hipoacusia que no manejan la lengua de señas, pero se apoyan en la lectura labio-facial; se les debe hablar de frente, de forma clara y concreta, vocalizando y haciendo uso del lenguaje corporal a la hora de quererse comunicar.
20. Realizar la firma del contrato en un entorno sereno, evitando presiones o interrupciones que puedan generar estrés o incomodidad.</t>
  </si>
  <si>
    <t>DISCAPACIDAD MÚLTIPLE PSICOSOCIAL - AUDITIVA</t>
  </si>
  <si>
    <t>1. Planificación de tareas (Riesgos: Carga laboral, estrés, cultura organizacional).
2. Anticipar las labores que debe realizar dentro de su puesto de trabajo.
3. Anticipar los cambios dentro del contexto laboral (actividades laborales cotidianas, personal nuevo, horarios, lugares de trabajo, entre otros). 
4. Reduzca los comentarios, chistes, bromas de doble sentido o hacer sarcasmos, sin el consentimiento de la persona.
5. Al dar la instrucción a la persona, pídale que repita lo que comprendió, para garantizar la información.
6. Si la persona debe hacer uso de objetos cortopunzantes asegúrese que lo haga bajo supervisión
7. Asegúrese antes de dar la instrucción tener la atención de la persona.
8. Procure dar una instrucción a la vez, paso a paso y verificar su finalización antes de asignar una nueva actividad.
9. Supervise a la persona sin invadir su espacio personal.
10. Promover actividades de bienestar en las que pueda participar la persona vinculada.
11. Asegurar que el lugar elegido sea adecuado para que la persona pueda participar con claridad y tranquilidad.
12. Considerar que la discapacidad psicosocial es una afectación que en la mayoría de los casos se puede generar en los mismos contextos laborales y es ahí donde la pregunta por la salud mental cobra gran relevancia.
13. Reducir, controlar o aislar los ruidos para facilitar la comunicación.
14. Asegúrese de asignar un par de apoyo.
15. Contar con el apoyo de un mediador comunicativo (intérprete)
16. Usar las diferentes ayudas que ofrece el centro de relevo: Relevo de llamadas y Servicio de interpretación en línea SIEL.
17. Contar con una señal visual que permita orientar a la persona cuando suena el teléfono, suena el timbre o suena una alarma.
18. Adaptación de material audiovisual (subtítulos en vídeos)
19. Utilizar un lenguaje sencillo y concreto
20. Formar al trabajador y a los compañeros en técnicas de comunicación alternativa.
21. Hacer uso de pictogramas si la persona no cuenta con lenguaje escrito.
22. Cuando se hacen reuniones, es importante que la ubicación de las personas sea en mesa redonda, para facilitar la comunicación cara a cara.
23. Hacer contacto visual cuando se de una instrucción o tenga comunicación con las personas sordas
26. Se recomienda minimizar el uso de pruebas psicotécnicas y reemplazarlas por otras estrategias de selección que permitan alcanzar los mismos objetivos. Solo en caso de que lo anterior no sea posible, se sugiere priorizar la aplicación de pruebas gráficas-proyectivas que buscan identificar rasgos de personalidad.</t>
  </si>
  <si>
    <t>DISCAPACIDAD MÚLTIPLE PSICOSOCIAL - BAJA VISIÓN</t>
  </si>
  <si>
    <t>1. Planificación de tareas (Riesgos: Carga laboral, estrés, cultura organizacional).
2. Anticipar las labores que debe realizar dentro de su puesto de trabajo.
3. Anticipar los cambios dentro del contexto laboral (actividades laborales cotidianas, personal nuevo, horarios, lugares de trabajo, entre otros). 
4. Reduzca los comentarios, chistes, bromas de doble sentido o hacer sarcasmos, sin el consentimiento de la persona.
5. Al dar la instrucción a la persona, pídale que repita lo que comprendió, para garantizar la información.
6. Si la persona debe hacer uso de objetos cortopunzantes asegúrese que lo haga bajo supervisión
7. Asegúrese antes de dar la instrucción tener la atención de la persona.
8. Procure dar una instrucción a la vez, paso a paso y verificar su finalización antes de asignar una nueva actividad.
9. Supervise a la persona sin invadir su espacio personal.
10. Promover actividades de bienestar en las que pueda participar la persona vinculada.
11. Asegurar que el lugar elegido sea adecuado para que la persona pueda participar con claridad y tranquilidad.
12. Considerar que la discapacidad psicosocial es una afectación que en la mayoría de los casos se puede generar en los mismos contextos laborales y es ahí donde la pregunta por la salud mental cobra gran relevancia.
13. Reducir, controlar o aislar los ruidos para facilitar la comunicación.
14. Uso de magnificador de pantalla / Lupa
15. Asegurar un nivel de iluminación adecuado para la escritura de documentos. Incrementar la iluminación con lámparas de apoyo puntual si fuera necesario
16. Adaptar el teclado convencional (teclas grandes, caracteres grandes y contrastados, marcas táctiles de referencia, etc.)
17. Evitar cambiar los implementos de trabajo de lugar, en caso de hacerlo indicar a la persona y mostrar en donde quedaron ubicados.
18. Tener el área de trabajo organizada, con el fin de evitar accidentes y/o incidentes, no obstaculizar el paso en el área de trabajo ni en áreas comunes.
19. Permitir que la persona pueda grabar información en caso de capacitaciones, esto como una alternativa a escribir en braille, ya que tiende a ser mucho más extensa.
20. En caso de ser necesario contar con un monitor amplio.
21. Acceso a la información mediante ampliación, contrastes y síntesis de voz.
22. Adecuar el escritorio y computadora de manera ergonómica que permita el descanso de las articulaciones. 
23. Tener en cuenta el manejo del tono de voz, para los oferentes que tienen implante coclear o audífono.
24. Adecuar el escritorio y computadora de manera ergonómica que permita el descanso de las articulaciones.</t>
  </si>
  <si>
    <t>DISCAPACIDAD MÚLTIPLE PSICOSOCIAL - VISUAL</t>
  </si>
  <si>
    <t>1. Planificación de tareas (Riesgos: Carga laboral, estrés, cultura organizacional).
2. Anticipar las labores que debe realizar dentro de su puesto de trabajo.
3. Anticipar los cambios dentro del contexto laboral (actividades laborales cotidianas, personal nuevo, horarios, lugares de trabajo, entre otros). 
4. Reduzca los comentarios, chistes, bromas de doble sentido o hacer sarcasmos, sin el consentimiento de la persona.
5. Al dar la instrucción a la persona, pídale que repita lo que comprendió, para garantizar la información.
6. Si la persona debe hacer uso de objetos cortopunzantes asegúrese que lo haga bajo supervisión
7. Asegúrese antes de dar la instrucción tener la atención de la persona.
8. Procure dar una instrucción a la vez, paso a paso y verificar su finalización antes de asignar una nueva actividad.
9. Supervise a la persona sin invadir su espacio personal.
10. Promover actividades de bienestar en las que pueda participar la persona vinculada.
11. Asegurar que el lugar elegido sea adecuado para que la persona pueda participar con claridad y tranquilidad.
12. Considerar que la discapacidad psicosocial es una afectación que en la mayoría de los casos se puede generar en los mismos contextos laborales y es ahí donde la pregunta por la salud mental cobra gran relevancia.
13. Reducir, controlar o aislar los ruidos para facilitar la comunicación.
14. Asegúrese de asignar un par de apoyo. 
15.Uso de Jaws, Magic, el lector de pantalla de Windows/IOS para personas ciegas.
16. Contar con señales auditivas
17. Evitar cambiar los implementos de trabajo de lugar, en caso de hacerlo indicar a la persona y mostrar en donde quedaron ubicados.
18. Permitir que la persona pueda grabar información en caso de capacitaciones, esto como una alternativa a escribir en braille, ya que tiende a ser mucho más extensa.
19. Conversores de texto a audio
20. Velar por facilitar las condiciones de accesibilidad en los espacios donde se realizan las diferentes actividades de la jornada laboral; no solamente en el espacio del puesto de trabajo. 
21. Se recomienda que el facilitador promueva el uso de videos con audiodescripción (servicio de apoyo a la comunicación para las personas ciegas o con discapacidad visual consistente en la descripción clara, sucinta y gráfica de lo que ocurre en las producciones audiovisuales).</t>
  </si>
  <si>
    <t>DISCAPACIDAD MÚLTIPLE PSICOSOCIAL– INTELECTUAL</t>
  </si>
  <si>
    <t xml:space="preserve">1. Planificación de tareas (Riesgos: Carga laboral, estrés, cultura organizacional).
2. Anticipar las labores que debe realizar dentro de su puesto de trabajo.
3. Anticipar los cambios dentro del contexto laboral (actividades laborales cotidianas, personal nuevo, horarios, lugares de trabajo, entre otros). 
4. Reduzca los comentarios, chistes, bromas de doble sentido o hacer sarcasmos, sin el consentimiento de la persona.
5. Al dar la instrucción a la persona, pídale que repita lo que comprendió, para garantizar la información.
6. Si la persona debe hacer uso de objetos cortopunzantes asegúrese que lo haga bajo supervisión
7. Asegúrese antes de dar la instrucción tener la atención de la persona.
8. Procure dar una instrucción a la vez, paso a paso y verificar su finalización antes de asignar una nueva actividad.
9. Supervise a la persona sin invadir su espacio personal.
10. Promover actividades de bienestar en las que pueda participar la persona vinculada.
11. Asegurar que el lugar elegido sea adecuado para que la persona pueda participar con claridad y tranquilidad.
12. Considerar que la discapacidad psicosocial es una afectación que en la mayoría de los casos se puede generar en los mismos contextos laborales y es ahí donde la pregunta por la salud mental cobra gran relevancia.
13. Reducir, controlar o aislar los ruidos para facilitar la comunicación.
14. Asegúrese de asignar un par de apoyo. 
15. Al dar la instrucción a la persona, pídale que repita lo que comprendió
16. Si la tarea demanda tiempos puntuales de entrega, asegúrese que la persona comprenda y tome nota de la fecha y hora estipulada.
17. Planifique las actividades diarias, especificando las tareas que se deben realizar en la mañana, al mediodía y en la tarde; Ejemplo: check list - cronograma
18. Haga uso de agendas, post it (papeles de colores), alarmas en su celular para recordar sus funciones.
19. Recuerde a la persona mantener una buena presentación personal (dotación limpia), dependiendo el cargo (uñas cortas, sin barba, cabello corto o recogido, entre otros).
20. Retroalimentar de manera oportuna e inmediata a la persona al cometer errores.
21. Si la persona convulsiona valide los medicamentos que utiliza, que tome sus pastas en las horas indicadas, aparte de esto, evite consumir bebidas energizantes o negras, que contengan cafeína, de la misma forma trasnochar.
22. Explicar con modelamiento (acción - repetición) las tareas asignadas.
23. Ser flexible pero no condescendiente con la curva de aprendizaje del vinculado en caso que no tenga experiencia laboral previa.
24. Manejo de lenguaje claro, con la disminución de palabras técnicas.
25. Se recomienda dejar un espacio considerable en las hileras donde están ubicadas las sillas para que la persona se pueda ubicar fácilmente en él y ojalá en los extremos para que la persona pueda salir y/o ingresar al salón cuando lo requiera sin mayores contratiempos.
26. A algunas Personas con discapacidad intelectual se les facilita este proceso con actividades prácticas que les permite “aprender haciendo”.
</t>
  </si>
  <si>
    <t>DISCAPACIDAD MÚLTIPLE AUDITIVA - INTELECTUAL</t>
  </si>
  <si>
    <t xml:space="preserve">1. Asegúrese de asignar un par de apoyo. 
2. Al dar la instrucción a la persona, pídale que repita lo que comprendió
3. Si la tarea demanda tiempos puntuales de entrega, asegúrese que la persona comprenda y tome nota de la fecha y hora estipulada.
4. Planifique las actividades diarias, especificando las tareas que se deben realizar en la mañana, al mediodía y en la tarde; Ejemplo: check list - cronograma
5. Haga uso de agendas, post it (papeles de colores), alarmas en su celular para recordar sus funciones.
6. Recuerde a la persona mantener una buena presentación personal (dotación limpia), dependiendo el cargo (uñas cortas, sin barba, cabello corto o recogido, entre otros).
7. Retroalimentar de manera oportuna e inmediata a la persona al cometer errores.
8. Si la persona convulsiona valide los medicamentos que utiliza, que tome sus pastas en las horas indicadas, aparte de esto, evite consumir bebidas energizantes o negras, que contengan cafeína, de la misma forma trasnochar.
9. Explicar con modelamiento (acción - repetición) las tareas asignadas.
10. Ser flexible pero no condescendiente con la curva de aprendizaje del vinculado en caso que no tenga experiencia laboral previa.
11. Manejo de lenguaje claro, con la disminución de palabras técnicas.
12. Se recomienda dejar un espacio considerable en las hileras donde están ubicadas las sillas para que la persona se pueda ubicar fácilmente en él y ojalá en los extremos para que la persona pueda salir y/o ingresar al salón cuando lo requiera sin mayores contratiempos.
13. A algunas Personas con discapacidad intelectual se les facilita este proceso con actividades prácticas que les permite “aprender haciendo”.
14. Contar con el apoyo de un mediador comunicativo (intérprete)
15. Usar las diferentes ayudas que ofrece el centro de relevo: Relevo de llamadas y Servicio de interpretación en línea SIEL.
16. Contar con una señal visual que permita orientar a la persona cuando suena el teléfono, suena el timbre o suena una alarma.
17. Adaptación de material audiovisual (subtítulos en vídeos)
18. Utilizar un lenguaje sencillo y concreto
19. Formar al trabajador y a los compañeros en técnicas de comunicación alternativa.
20. Hacer uso de pictogramas si la persona no cuenta con lenguaje escrito.
21. Cuando se hacen reuniones, es importante que la ubicación de las personas sea en mesa redonda, para facilitar la comunicación cara a cara.
22. Hacer contacto visual cuando se de una instrucción o tenga comunicación con las personas sordas
23. Se recomienda minimizar el uso de pruebas psicotécnicas y reemplazarlas por otras estrategias de selección que permitan alcanzar los mismos objetivos. Solo en caso de que lo anterior no sea posible, se sugiere priorizar la aplicación de pruebas gráficas-proyectivas que buscan identificar rasgos de personalidad.
</t>
  </si>
  <si>
    <t>DISCAPACIDAD MÚLTIPLE VISUAL- INTELECTUAL</t>
  </si>
  <si>
    <t>1. Asegúrese de asignar un par de apoyo. 
2. Al dar la instrucción a la persona, pídale que repita lo que comprendió
3. Si la tarea demanda tiempos puntuales de entrega, asegúrese que la persona comprenda y tome nota de la fecha y hora estipulada.
4. Planifique las actividades diarias, especificando las tareas que se deben realizar en la mañana, al mediodía y en la tarde; Ejemplo: check list - cronograma
5. Haga uso de agendas, post it (papeles de colores), alarmas en su celular para recordar sus funciones.
6. Recuerde a la persona mantener una buena presentación personal (dotación limpia), dependiendo el cargo (uñas cortas, sin barba, cabello corto o recogido, entre otros).
7. Retroalimentar de manera oportuna e inmediata a la persona al cometer errores.
8. Si la persona convulsiona valide los medicamentos que utiliza, que tome sus pastas en las horas indicadas, aparte de esto, evite consumir bebidas energizantes o negras, que contengan cafeína, de la misma forma trasnochar.
9. Explicar con modelamiento (acción - repetición) las tareas asignadas.
10. Ser flexible pero no condescendiente con la curva de aprendizaje del vinculado en caso que no tenga experiencia laboral previa.
11. Manejo de lenguaje claro, con la disminución de palabras técnicas.
12. Se recomienda dejar un espacio considerable en las hileras donde están ubicadas las sillas para que la persona se pueda ubicar fácilmente en él y ojalá en los extremos para que la persona pueda salir y/o ingresar al salón cuando lo requiera sin mayores contratiempos.
13. A algunas Personas con discapacidad intelectual se les facilita este proceso con actividades prácticas que les permite “aprender haciendo”.
14.Uso de Jaws, Magic, el lector de pantalla de Windows/IOS para personas ciegas.
15. Contar con señales auditivas
16. Evitar cambiar los implementos de trabajo de lugar, en caso de hacerlo indicar a la persona y mostrar en donde quedaron ubicados.
17. Permitir que la persona pueda grabar información en caso de capacitaciones, esto como una alternativa a escribir en braille, ya que tiende a ser mucho más extensa.
18. Conversores de texto a audio
19. Velar por facilitar las condiciones de accesibilidad en los espacios donde se realizan las diferentes actividades de la jornada laboral; no solamente en el espacio del puesto de trabajo. 
20. Se recomienda que el facilitador promueva el uso de videos con audiodescripción (servicio de apoyo a la comunicación para las personas ciegas o con discapacidad visual consistente en la descripción clara, sucinta y gráfica de lo que ocurre en las producciones audiovisuales).</t>
  </si>
  <si>
    <t>Video</t>
  </si>
  <si>
    <r>
      <rPr>
        <sz val="11"/>
        <color theme="1"/>
        <rFont val="Arial"/>
      </rPr>
      <t xml:space="preserve">1. Subtítulos: Los subtítulos deben ser precisos y sincronizados con el diálogo y los sonidos del video. También deben ser fáciles de leer, con un tamaño de letra adecuado y un contraste adecuado con el fondo. Se recomienda que la letra sea de color blanco, verde claro o amarillo con un fondo negro.
2. Descripciones de audio: Las descripciones de audio deben proporcionar información sobre lo que sucede en el video para las personas que no pueden verlo.
3. Iluminación y contraste: El vídeo debe tener una iluminación adecuada y un contraste alto para que sea fácil de ver para las personas con discapacidad visual.
4. Audio: El audio debe ser claro y fácil de entender, con un volumen adecuado. También es recomendable incluir una transcripción del audio para las personas con discapacidad auditiva.
5. Evitar parpadeos, destellos y patrones móviles: Estos elementos pueden ser perjudiciales para las personas con discapacidad fotosensible y deben evitarse.
6. Es recomendable asegurar que el video tenga una navegabilidad y una interacción adecuada para las personas con discapacidad cognitiva o de movilidad reducida.
7. Duración del video: Si el video es de difusión se recomienda que el tiempo máximo sea de 2 minutos, en caso que el video sea de formación se recomienda una duración máxima de 5 minutos
8. Lengua de señas Colombiana (LSC): En caso que la persona presente discapacidad auditiva o baja audición se recomienda hacer la interpretación en LSC, el recuadro donde aparece el intérprete debe responder a la proporción del 34% respecto del 100% de la pantalla ubicándose en el ángulo inferior derecho.
</t>
    </r>
    <r>
      <rPr>
        <b/>
        <sz val="11"/>
        <color theme="1"/>
        <rFont val="Arial"/>
      </rPr>
      <t xml:space="preserve">RECOMENDACIÓN GENERAL
</t>
    </r>
    <r>
      <rPr>
        <sz val="11"/>
        <color theme="1"/>
        <rFont val="Arial"/>
      </rPr>
      <t>Si el tiempo del video es mayor a 10 minutos tenga en cuenta lo siguiente:
- Realice pausas cada cierto tiempo (2 o 3 minutos) para realizar feedback (retroalimentación) de la información
- Acompañar a la persona durante todo el video por si surgen preguntas</t>
    </r>
  </si>
  <si>
    <t>Documentos Escritos, Presentaciones, Imágenes y Evaluaciones escritas</t>
  </si>
  <si>
    <t>1. Utilizar un estilo de letra legible (Arial, Calibri, Times New Roman o Tahoma).
2. El tamaño de la letra debe ser lo suficientemente grande ajustado a la necesidad del vinculado no menor a 12 puntos.
3. Se recomienda un contraste adecuado con el fondo (fondo claro - letra oscura y viceversa)
4. El interlineado puede ser de 1.5 o 2 puntos.
5. La posición del texto se recomienda que sea de manera vertical y de izquierda a derecha.
6. Aplicar un diseño sencillo, evitando el uso de demasiadas imágenes o elementos decorativos que puedan distraer o confundir a las personas.
7. Asegurar que el tamaño de la imagen sea adecuado para su uso, evitando imágenes muy pequeñas o con una resolución muy baja. 
8. Utilizar un lenguaje claro y sencillo, evitando el uso de jerga técnica, palabras difíciles de entender como extranjerismos. 
9. Utilizar encabezados y subtítulos para organizar la información y hacerla más fácil de entender.
10. Utilizar listas y tablas para presentar información en un formato estructurado.
11. Incluir descripción en la parte inferior de cada imagen, gráfico o tabla que explique su contenido.
12. Utilizar una estructura de documento estándar, con una tabla de contenido y una navegación fácil, para ayudar a las personas con discapacidad cognitiva o de movilidad reducida a encontrar la información que necesitan.
13. Utilizar un formato de archivo estándar, como PDF o HTML, que sea compatible con las herramientas de lectura de pantalla.
14. Para imágenes utilizar un formato de archivo estándar, como JPEG o PNG, que sea compatible con las herramientas de lectura de pantalla.</t>
  </si>
  <si>
    <t>Plataformas</t>
  </si>
  <si>
    <r>
      <rPr>
        <sz val="11"/>
        <color theme="1"/>
        <rFont val="Arial"/>
      </rPr>
      <t xml:space="preserve">1. Utilizar una estructura de navegación estándar, con una tabla de contenido y una navegación fácil, para ayudar a las personas con discapacidad a encontrar la información que necesitan.
2. Utilizar botones y enlaces con un tamaño adecuado y un contraste alto, para ayudar a las personas con discapacidad visual a navegar por la plataforma.
3. Utilizar teclas de acceso rápido para navegar por la plataforma, para ayudar a las personas con discapacidad.
4. Utilizar tecnologías de reconocimiento de voz y de comandos de voz, para ayudar a las personas con discapacidad a interactuar con la plataforma.
5. Verificar que la plataforma sea compatible con herramientas de accesibilidad (asistente de voz, talkback, jaws, magic)
</t>
    </r>
    <r>
      <rPr>
        <b/>
        <sz val="11"/>
        <color theme="1"/>
        <rFont val="Arial"/>
      </rPr>
      <t xml:space="preserve">RECOMENDACIÓN GENERAL
</t>
    </r>
    <r>
      <rPr>
        <sz val="11"/>
        <color theme="1"/>
        <rFont val="Arial"/>
      </rPr>
      <t>En caso que la empresa no pueda generar ajustes de accesibilidad a las plataformas tenga en cuenta:
- Asignar un par de apoyo que acompañe a la persona con discapacidad dentro de todo el proceso de capacitación realizando lectura en voz alta y retroalimentación constante</t>
    </r>
  </si>
  <si>
    <t>&lt;</t>
  </si>
  <si>
    <t xml:space="preserve">FECHA: </t>
  </si>
  <si>
    <t xml:space="preserve"> 2025-0485-CON-23069</t>
  </si>
  <si>
    <t>Fecha de la Visita:</t>
  </si>
  <si>
    <t>Modalidad:</t>
  </si>
  <si>
    <t>Nombre de la Empresa:</t>
  </si>
  <si>
    <t>Ciudad/Municipio:</t>
  </si>
  <si>
    <t>Dirección de la Empresa:</t>
  </si>
  <si>
    <t>Número de NIT:</t>
  </si>
  <si>
    <t>Correo Electrónico:</t>
  </si>
  <si>
    <t>Teléfonos:</t>
  </si>
  <si>
    <t>Cargo:</t>
  </si>
  <si>
    <t>Empresa afiliada a Caja de Compensación:</t>
  </si>
  <si>
    <t>Sede Compensar:</t>
  </si>
  <si>
    <t>Profesional asignado RECA:</t>
  </si>
  <si>
    <t>Nombre completo:</t>
  </si>
  <si>
    <t>www.recacolombia.org</t>
  </si>
  <si>
    <t>6.0</t>
  </si>
  <si>
    <t>Asesor:</t>
  </si>
  <si>
    <t>Sandra Milena Pachón Rojas</t>
  </si>
  <si>
    <t>Coordinadora de inclusión laboral</t>
  </si>
  <si>
    <t xml:space="preserve">REVISIÓN DE LAS CONDICIONES DE LA VACANTE </t>
  </si>
  <si>
    <t xml:space="preserve">CÓDIGO: </t>
  </si>
  <si>
    <t>REV-IL-01-4.2</t>
  </si>
  <si>
    <t xml:space="preserve">VERSIÓN: </t>
  </si>
  <si>
    <r>
      <rPr>
        <b/>
        <sz val="12"/>
        <color theme="1"/>
        <rFont val="Arial"/>
      </rPr>
      <t>OBJETIVO</t>
    </r>
    <r>
      <rPr>
        <sz val="12"/>
        <color theme="1"/>
        <rFont val="Arial"/>
      </rPr>
      <t>:Realizar un trabajo colaborativo con la agencia de empleo COMPENSAR determinando las discapacidades accesibles y compatibles con la vacante de acuerdo con las recomendaciones dadas por RECA a su vez concretando las competencias, necesidades de apoyo para el cargo con el fin de lograr en la empresa un buen proceso laboral para la PcD.</t>
    </r>
  </si>
  <si>
    <t>1. DATOS GENERALES</t>
  </si>
  <si>
    <t>Persona que atiende la visita en la empresa:</t>
  </si>
  <si>
    <t>2. CARACTERÍSTICAS DE LA VACANTE</t>
  </si>
  <si>
    <t>Nombre de la vacante:</t>
  </si>
  <si>
    <t>Número de vacantes:</t>
  </si>
  <si>
    <t>Nivel del cargo:</t>
  </si>
  <si>
    <t xml:space="preserve">Género: </t>
  </si>
  <si>
    <t>Edad:</t>
  </si>
  <si>
    <t>Modalidad de trabajo:</t>
  </si>
  <si>
    <t>Lugar de trabajo:</t>
  </si>
  <si>
    <t>Salario Asignado:</t>
  </si>
  <si>
    <t>Firma de contrato:</t>
  </si>
  <si>
    <t xml:space="preserve">Aplicación de pruebas </t>
  </si>
  <si>
    <t>Tipo de contrato:</t>
  </si>
  <si>
    <t>Beneficios Adicionales:</t>
  </si>
  <si>
    <t xml:space="preserve">Cargo flexible según género </t>
  </si>
  <si>
    <t>La empresa Genera algún tipo de beneficios adicionales a mujeres que fueron víctimas de violencia intrafamiliar</t>
  </si>
  <si>
    <t>¿Requiere certificado de discapacidad?</t>
  </si>
  <si>
    <t>En Trámite</t>
  </si>
  <si>
    <r>
      <rPr>
        <b/>
        <sz val="12"/>
        <color theme="1"/>
        <rFont val="Arial"/>
      </rPr>
      <t>Observaciones:</t>
    </r>
    <r>
      <rPr>
        <sz val="12"/>
        <color theme="1"/>
        <rFont val="Arial"/>
      </rPr>
      <t xml:space="preserve"> </t>
    </r>
  </si>
  <si>
    <t>Competencias:</t>
  </si>
  <si>
    <t>2.1 FORMACIÓN ACADÉMICA</t>
  </si>
  <si>
    <t>Primaria:</t>
  </si>
  <si>
    <t>Bachiller:</t>
  </si>
  <si>
    <t>Técnico Profesional:</t>
  </si>
  <si>
    <t>Profesional:</t>
  </si>
  <si>
    <t>Especialización:</t>
  </si>
  <si>
    <t>Tecnólogo:</t>
  </si>
  <si>
    <t>Especificaciones de la Formación Académica :</t>
  </si>
  <si>
    <t>Conocimientos básicos/ programas :</t>
  </si>
  <si>
    <t xml:space="preserve">Horarios asignados: </t>
  </si>
  <si>
    <t>Hora de ingreso:</t>
  </si>
  <si>
    <t xml:space="preserve">Hora de salida: </t>
  </si>
  <si>
    <t>Tiempo de almuerzo</t>
  </si>
  <si>
    <t>Break - descanso</t>
  </si>
  <si>
    <t>Días laborables</t>
  </si>
  <si>
    <t>Días laborables flexibles "familia e hijo"</t>
  </si>
  <si>
    <t>Observaciones:</t>
  </si>
  <si>
    <t>Experiencia Laboral - Tiempo en meses:</t>
  </si>
  <si>
    <t>Principales funciones y tareas asignadas al cargo:</t>
  </si>
  <si>
    <t>Herramientas, equipos e implementos a utilizar en el desarrollo de la labor:</t>
  </si>
  <si>
    <t>3. HABILIDADES Y CAPACIDADES REQUERIDAS PARA EL CARGO</t>
  </si>
  <si>
    <t>HABILIDADES COGNITIVAS</t>
  </si>
  <si>
    <t>NIVEL REQUERIDO</t>
  </si>
  <si>
    <t>Lectura.</t>
  </si>
  <si>
    <t>Comprensión Lectora.</t>
  </si>
  <si>
    <t>Escritura.</t>
  </si>
  <si>
    <t>Comunicación verbal.</t>
  </si>
  <si>
    <t>Razonamiento lógico - matemático.</t>
  </si>
  <si>
    <t>Conteo y reporte de cantidad.</t>
  </si>
  <si>
    <t>Clasificación de objetos.</t>
  </si>
  <si>
    <t>Velocidad de ejecución.</t>
  </si>
  <si>
    <t>Concentración.</t>
  </si>
  <si>
    <t>Memoria.</t>
  </si>
  <si>
    <t>Ubicación espacial.</t>
  </si>
  <si>
    <t>Atención.</t>
  </si>
  <si>
    <t>OBSERVACIONES:</t>
  </si>
  <si>
    <t>HABILIDADES BÁSICAS (Motricidad Fina)</t>
  </si>
  <si>
    <t>Agarre.</t>
  </si>
  <si>
    <t>Precisión.</t>
  </si>
  <si>
    <t>Digitación.</t>
  </si>
  <si>
    <t>Agilidad Manual.</t>
  </si>
  <si>
    <t>Coordinación ojo - mano.</t>
  </si>
  <si>
    <t>HABILIDADES BÁSICAS (Motricidad Gruesa)</t>
  </si>
  <si>
    <t>Esfuerzo físico.</t>
  </si>
  <si>
    <t>Equilibrio corporal.</t>
  </si>
  <si>
    <t>Lanzar objetos.</t>
  </si>
  <si>
    <t>COMPETENCIAS TRANSVERSALES</t>
  </si>
  <si>
    <t>Seguimiento de instrucciones.</t>
  </si>
  <si>
    <t>Resolución de conflictos.</t>
  </si>
  <si>
    <t>Autonomía en desarrollo de tareas.</t>
  </si>
  <si>
    <t>Adaptabilidad.</t>
  </si>
  <si>
    <t>Comunicación asertiva y efectiva.</t>
  </si>
  <si>
    <t>Manejo del tiempo.</t>
  </si>
  <si>
    <t>Escucha activa.</t>
  </si>
  <si>
    <t>4. POSTURAS Y MOVIMIENTOS</t>
  </si>
  <si>
    <t>Postura – Movimientos</t>
  </si>
  <si>
    <t>Tiempo de exposición</t>
  </si>
  <si>
    <t>Frecuencia de la exposición</t>
  </si>
  <si>
    <t>Sentado.</t>
  </si>
  <si>
    <t>Semisentado.</t>
  </si>
  <si>
    <t>De pie recto.</t>
  </si>
  <si>
    <t>Agachado.</t>
  </si>
  <si>
    <t>Uso extremidades superiores.</t>
  </si>
  <si>
    <t>5. PELIGROS Y  RIESGOS EN EL DESARROLLO DE LA LABOR</t>
  </si>
  <si>
    <t xml:space="preserve">TIPO DE PELIGROS </t>
  </si>
  <si>
    <t>RIESGOS ASOCIADOS</t>
  </si>
  <si>
    <t>NIVEL DE EXPOSICIÓN</t>
  </si>
  <si>
    <t>Físico</t>
  </si>
  <si>
    <t>Ruido.</t>
  </si>
  <si>
    <t>Iluminación.</t>
  </si>
  <si>
    <t>Temperatura externas.</t>
  </si>
  <si>
    <t>Vibraciones.</t>
  </si>
  <si>
    <t>Presión atmosférica.</t>
  </si>
  <si>
    <t>Radiaciones ionizantes y no ionizantes.</t>
  </si>
  <si>
    <t xml:space="preserve">Químico </t>
  </si>
  <si>
    <t>Polvos orgánicos inorgánicos.</t>
  </si>
  <si>
    <t>Fibras.</t>
  </si>
  <si>
    <t>Líquidos.</t>
  </si>
  <si>
    <t>Gases y vapores.</t>
  </si>
  <si>
    <t>Humos no metálicos.</t>
  </si>
  <si>
    <t>Material particulado.</t>
  </si>
  <si>
    <r>
      <rPr>
        <sz val="12"/>
        <color theme="1"/>
        <rFont val="Arial"/>
      </rPr>
      <t>Condiciones de Seguridad</t>
    </r>
    <r>
      <rPr>
        <i/>
        <sz val="12"/>
        <color theme="1"/>
        <rFont val="Arial"/>
      </rPr>
      <t xml:space="preserve"> </t>
    </r>
  </si>
  <si>
    <t>Eléctrico.</t>
  </si>
  <si>
    <t>Locativo.</t>
  </si>
  <si>
    <t>Accidentes de tránsito.</t>
  </si>
  <si>
    <t>Públicos.</t>
  </si>
  <si>
    <t>Mecánico.</t>
  </si>
  <si>
    <t xml:space="preserve">Psicosocial </t>
  </si>
  <si>
    <r>
      <rPr>
        <sz val="12"/>
        <color theme="1"/>
        <rFont val="Arial"/>
      </rPr>
      <t xml:space="preserve">Gestión organizacional. </t>
    </r>
    <r>
      <rPr>
        <i/>
        <sz val="8"/>
        <color theme="1"/>
        <rFont val="Arial"/>
      </rPr>
      <t>(Estilos de mando, forma de pago, contratación, participación de la persona dentro de la empresa, inducción y capacitación, bienestar social, evaluación de desempeño y manejo de cargos</t>
    </r>
    <r>
      <rPr>
        <i/>
        <sz val="9"/>
        <color theme="1"/>
        <rFont val="Arial"/>
      </rPr>
      <t>).</t>
    </r>
  </si>
  <si>
    <r>
      <rPr>
        <sz val="12"/>
        <color theme="1"/>
        <rFont val="Arial"/>
      </rPr>
      <t xml:space="preserve">Características de la organización del trabajo. </t>
    </r>
    <r>
      <rPr>
        <i/>
        <sz val="8"/>
        <color theme="1"/>
        <rFont val="Arial"/>
      </rPr>
      <t>(Comunicación, tecnología, organización de las cargas laborales)</t>
    </r>
    <r>
      <rPr>
        <sz val="12"/>
        <color theme="1"/>
        <rFont val="Arial"/>
      </rPr>
      <t xml:space="preserve">. </t>
    </r>
  </si>
  <si>
    <r>
      <rPr>
        <sz val="12"/>
        <color theme="1"/>
        <rFont val="Arial"/>
      </rPr>
      <t>Características del grupo social del trabajo.</t>
    </r>
    <r>
      <rPr>
        <i/>
        <sz val="8"/>
        <color theme="1"/>
        <rFont val="Arial"/>
      </rPr>
      <t xml:space="preserve"> (relaciones laborales, clima laboral).</t>
    </r>
  </si>
  <si>
    <r>
      <rPr>
        <sz val="12"/>
        <color theme="1"/>
        <rFont val="Arial"/>
      </rPr>
      <t>Condiciones de la tarea (</t>
    </r>
    <r>
      <rPr>
        <sz val="8"/>
        <color theme="1"/>
        <rFont val="Arial"/>
      </rPr>
      <t xml:space="preserve"> </t>
    </r>
    <r>
      <rPr>
        <i/>
        <sz val="8"/>
        <color theme="1"/>
        <rFont val="Arial"/>
      </rPr>
      <t>demandas emocionales, sistemas de control,definición de roles, monotonía, etc</t>
    </r>
    <r>
      <rPr>
        <sz val="12"/>
        <color theme="1"/>
        <rFont val="Arial"/>
      </rPr>
      <t>)</t>
    </r>
  </si>
  <si>
    <r>
      <rPr>
        <sz val="12"/>
        <color theme="1"/>
        <rFont val="Arial"/>
      </rPr>
      <t xml:space="preserve">Interfase persona tarea ( </t>
    </r>
    <r>
      <rPr>
        <i/>
        <sz val="8"/>
        <color theme="1"/>
        <rFont val="Arial"/>
      </rPr>
      <t>conocimientos, habilidades con relación a la demanda de la tarea, iniciativa, autonomía y reconocimiento, identificación de la persona con la tarea y la organización</t>
    </r>
    <r>
      <rPr>
        <sz val="12"/>
        <color theme="1"/>
        <rFont val="Arial"/>
      </rPr>
      <t>)</t>
    </r>
  </si>
  <si>
    <r>
      <rPr>
        <sz val="12"/>
        <color theme="1"/>
        <rFont val="Arial"/>
      </rPr>
      <t>Jornada de trabajo (</t>
    </r>
    <r>
      <rPr>
        <i/>
        <sz val="8"/>
        <color theme="1"/>
        <rFont val="Arial"/>
      </rPr>
      <t>pausas, trabajo nocturno, rotación, horas extras,descansos</t>
    </r>
    <r>
      <rPr>
        <sz val="12"/>
        <color theme="1"/>
        <rFont val="Arial"/>
      </rPr>
      <t>)</t>
    </r>
  </si>
  <si>
    <t>Ergonómico</t>
  </si>
  <si>
    <r>
      <rPr>
        <sz val="12"/>
        <color theme="1"/>
        <rFont val="Arial"/>
      </rPr>
      <t xml:space="preserve">Postura de trabajo. </t>
    </r>
    <r>
      <rPr>
        <i/>
        <sz val="8"/>
        <color theme="1"/>
        <rFont val="Arial"/>
      </rPr>
      <t>(Se mantiene posturas prolongadas (sentado o de pie) durante la jornada laboral, postura adoptada cómoda y natural para el desarrollo de la tarea, posturas forzadas del cuello, espalda o extremidades</t>
    </r>
    <r>
      <rPr>
        <i/>
        <sz val="9"/>
        <color theme="1"/>
        <rFont val="Arial"/>
      </rPr>
      <t>).</t>
    </r>
  </si>
  <si>
    <r>
      <rPr>
        <sz val="12"/>
        <color theme="1"/>
        <rFont val="Arial"/>
      </rPr>
      <t xml:space="preserve">Puesto de trabajo. </t>
    </r>
    <r>
      <rPr>
        <i/>
        <sz val="8"/>
        <color theme="1"/>
        <rFont val="Arial"/>
      </rPr>
      <t>(La silla es ajustable en altura y cuenta con respaldo adecuado, altura de la mesa o superficie de trabajo es adecuada, puesto permite una correcta ubicación de pies y piernas</t>
    </r>
    <r>
      <rPr>
        <i/>
        <sz val="9"/>
        <color theme="1"/>
        <rFont val="Arial"/>
      </rPr>
      <t>).</t>
    </r>
  </si>
  <si>
    <r>
      <rPr>
        <sz val="12"/>
        <color theme="1"/>
        <rFont val="Arial"/>
      </rPr>
      <t xml:space="preserve">Movimientos repetitivos. </t>
    </r>
    <r>
      <rPr>
        <i/>
        <sz val="8"/>
        <color theme="1"/>
        <rFont val="Arial"/>
      </rPr>
      <t>(La tarea requiere movimientos repetitivos de manos o brazos, pausas activas durante la jornada laboral</t>
    </r>
    <r>
      <rPr>
        <i/>
        <sz val="9"/>
        <color theme="1"/>
        <rFont val="Arial"/>
      </rPr>
      <t>.</t>
    </r>
  </si>
  <si>
    <r>
      <rPr>
        <sz val="12"/>
        <color theme="1"/>
        <rFont val="Arial"/>
      </rPr>
      <t xml:space="preserve">Manipulación de cargas. </t>
    </r>
    <r>
      <rPr>
        <i/>
        <sz val="8"/>
        <color theme="1"/>
        <rFont val="Arial"/>
      </rPr>
      <t>(Se debe levantar, empujar o cargar peso, peso de las cargas es adecuado y manejable</t>
    </r>
    <r>
      <rPr>
        <i/>
        <sz val="9"/>
        <color theme="1"/>
        <rFont val="Arial"/>
      </rPr>
      <t>).</t>
    </r>
  </si>
  <si>
    <r>
      <rPr>
        <sz val="12"/>
        <color theme="1"/>
        <rFont val="Arial"/>
      </rPr>
      <t xml:space="preserve">Herramientas - Equipos. </t>
    </r>
    <r>
      <rPr>
        <i/>
        <sz val="8"/>
        <color theme="1"/>
        <rFont val="Arial"/>
      </rPr>
      <t>(Las herramientas son adecuadas al tamaño y fuerza del trabajador, las herramientas reducen el esfuerzo físico innecesario</t>
    </r>
    <r>
      <rPr>
        <i/>
        <sz val="9"/>
        <color theme="1"/>
        <rFont val="Arial"/>
      </rPr>
      <t>).</t>
    </r>
  </si>
  <si>
    <r>
      <rPr>
        <sz val="12"/>
        <color theme="1"/>
        <rFont val="Arial"/>
      </rPr>
      <t xml:space="preserve">Organización del trabajo. </t>
    </r>
    <r>
      <rPr>
        <i/>
        <sz val="8"/>
        <color theme="1"/>
        <rFont val="Arial"/>
      </rPr>
      <t>(La jornada laboral permite pausas y descansos adecuados, la carga de trabajo es acorde con las capacidades del trabajador</t>
    </r>
    <r>
      <rPr>
        <i/>
        <sz val="9"/>
        <color theme="1"/>
        <rFont val="Arial"/>
      </rPr>
      <t>).</t>
    </r>
  </si>
  <si>
    <t>6.  LA VACANTE ES ACCESIBLE Y COMPATIBLE PARA PERSONAS CON LAS SIGUIENTES CONDICIONES:</t>
  </si>
  <si>
    <t>DISCAPACIDAD COMPATIBLE</t>
  </si>
  <si>
    <t>AJUSTES RAZONABLES GENERALES</t>
  </si>
  <si>
    <t>7. OBSERVACIONES / RECOMENDACIONES:</t>
  </si>
  <si>
    <t>8.ASISTENTES</t>
  </si>
  <si>
    <t>Humos metálicos.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</si>
</sst>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d/mm/yyyy"/>
    <numFmt numFmtId="166" formatCode="&quot;$&quot;#,##0"/>
  </numFmts>
  <fonts count="29">
    <font>
      <sz val="10"/>
      <color rgb="FF000000"/>
      <name val="Arial"/>
      <scheme val="minor"/>
    </font>
    <font>
      <sz val="10"/>
      <color theme="1"/>
      <name val="Arial"/>
      <scheme val="minor"/>
    </font>
    <font>
      <sz val="10"/>
      <color theme="1"/>
      <name val="Arial"/>
    </font>
    <font>
      <sz val="10"/>
      <color rgb="FF000000"/>
      <name val="Arial"/>
    </font>
    <font>
      <sz val="11"/>
      <color theme="1"/>
      <name val="Arial"/>
    </font>
    <font>
      <sz val="11"/>
      <color theme="1"/>
      <name val="&quot;aptos narrow&quot;"/>
    </font>
    <font>
      <sz val="10"/>
      <color theme="1"/>
      <name val="Arial"/>
    </font>
    <font>
      <sz val="12"/>
      <color rgb="FF000000"/>
      <name val="Arial"/>
    </font>
    <font>
      <sz val="11"/>
      <color theme="1"/>
      <name val="Arial"/>
      <scheme val="minor"/>
    </font>
    <font>
      <sz val="10"/>
      <color rgb="FF000000"/>
      <name val="Arial"/>
    </font>
    <font>
      <sz val="10"/>
      <name val="Arial"/>
    </font>
    <font>
      <sz val="11"/>
      <color rgb="FF000000"/>
      <name val="Inconsolata"/>
    </font>
    <font>
      <u/>
      <sz val="10"/>
      <color rgb="FF0000FF"/>
      <name val="Arial"/>
    </font>
    <font>
      <b/>
      <sz val="12"/>
      <color theme="1"/>
      <name val="Arial"/>
    </font>
    <font>
      <b/>
      <sz val="12"/>
      <color rgb="FF000000"/>
      <name val="Arial"/>
    </font>
    <font>
      <sz val="12"/>
      <color theme="1"/>
      <name val="Arial"/>
    </font>
    <font>
      <b/>
      <sz val="10"/>
      <color theme="1"/>
      <name val="Arial"/>
    </font>
    <font>
      <sz val="12"/>
      <color theme="1"/>
      <name val="Arial"/>
      <scheme val="minor"/>
    </font>
    <font>
      <b/>
      <sz val="10"/>
      <color rgb="FF000000"/>
      <name val="Arial"/>
    </font>
    <font>
      <b/>
      <sz val="9"/>
      <color theme="1"/>
      <name val="Arial"/>
    </font>
    <font>
      <sz val="12"/>
      <color rgb="FFB7B7B7"/>
      <name val="Arial"/>
    </font>
    <font>
      <u/>
      <sz val="10"/>
      <color rgb="FF0000FF"/>
      <name val="Arial"/>
    </font>
    <font>
      <b/>
      <sz val="11"/>
      <color theme="1"/>
      <name val="Arial"/>
    </font>
    <font>
      <i/>
      <sz val="12"/>
      <color theme="1"/>
      <name val="Arial"/>
    </font>
    <font>
      <i/>
      <sz val="8"/>
      <color theme="1"/>
      <name val="Arial"/>
    </font>
    <font>
      <i/>
      <sz val="9"/>
      <color theme="1"/>
      <name val="Arial"/>
    </font>
    <font>
      <sz val="8"/>
      <color theme="1"/>
      <name val="Arial"/>
    </font>
    <font>
      <sz val="12"/>
      <color theme="1"/>
      <name val="Arial"/>
      <family val="2"/>
    </font>
    <font>
      <sz val="10"/>
      <name val="Arial"/>
      <family val="2"/>
    </font>
  </fonts>
  <fills count="8">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D9D9D9"/>
        <bgColor rgb="FFD9D9D9"/>
      </patternFill>
    </fill>
    <fill>
      <patternFill patternType="solid">
        <fgColor rgb="FFF3F3F3"/>
        <bgColor rgb="FFF3F3F3"/>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style="thin">
        <color indexed="64"/>
      </right>
      <top/>
      <bottom style="thin">
        <color rgb="FF000000"/>
      </bottom>
      <diagonal/>
    </border>
    <border>
      <left/>
      <right style="thin">
        <color indexed="64"/>
      </right>
      <top/>
      <bottom/>
      <diagonal/>
    </border>
  </borders>
  <cellStyleXfs count="1">
    <xf numFmtId="0" fontId="0" fillId="0" borderId="0"/>
  </cellStyleXfs>
  <cellXfs count="146">
    <xf numFmtId="0" fontId="0" fillId="0" borderId="0" xfId="0"/>
    <xf numFmtId="0" fontId="1" fillId="0" borderId="1" xfId="0" applyFont="1" applyBorder="1"/>
    <xf numFmtId="0" fontId="1" fillId="0" borderId="1" xfId="0" applyFont="1" applyBorder="1" applyAlignment="1">
      <alignment horizontal="center" vertical="center"/>
    </xf>
    <xf numFmtId="0" fontId="1" fillId="0" borderId="0" xfId="0" applyFont="1"/>
    <xf numFmtId="0" fontId="1" fillId="2" borderId="0" xfId="0" applyFont="1" applyFill="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vertical="center"/>
    </xf>
    <xf numFmtId="0" fontId="1" fillId="2" borderId="0" xfId="0" applyFont="1" applyFill="1" applyAlignment="1">
      <alignment horizontal="center" vertical="center"/>
    </xf>
    <xf numFmtId="0" fontId="3" fillId="2" borderId="1" xfId="0" applyFont="1" applyFill="1" applyBorder="1" applyAlignment="1">
      <alignment horizontal="left" vertical="center"/>
    </xf>
    <xf numFmtId="0" fontId="4" fillId="0" borderId="1" xfId="0" applyFont="1" applyBorder="1"/>
    <xf numFmtId="0" fontId="5" fillId="0" borderId="1" xfId="0" applyFont="1" applyBorder="1"/>
    <xf numFmtId="0" fontId="5" fillId="0" borderId="1" xfId="0" applyFont="1" applyBorder="1" applyAlignment="1">
      <alignment horizontal="right"/>
    </xf>
    <xf numFmtId="0" fontId="1" fillId="0" borderId="2" xfId="0" applyFont="1" applyBorder="1" applyAlignment="1">
      <alignment horizontal="center" vertical="center" wrapText="1"/>
    </xf>
    <xf numFmtId="0" fontId="5" fillId="0" borderId="0" xfId="0" applyFont="1"/>
    <xf numFmtId="0" fontId="5" fillId="0" borderId="0" xfId="0" applyFont="1" applyAlignment="1">
      <alignment horizontal="right"/>
    </xf>
    <xf numFmtId="0" fontId="6" fillId="3" borderId="0" xfId="0" applyFont="1" applyFill="1"/>
    <xf numFmtId="0" fontId="6" fillId="2" borderId="3" xfId="0" applyFont="1" applyFill="1" applyBorder="1" applyAlignment="1">
      <alignment vertical="top" wrapText="1"/>
    </xf>
    <xf numFmtId="0" fontId="6" fillId="4" borderId="0" xfId="0" applyFont="1" applyFill="1"/>
    <xf numFmtId="0" fontId="6" fillId="5" borderId="0" xfId="0" applyFont="1" applyFill="1"/>
    <xf numFmtId="0" fontId="1" fillId="0" borderId="1" xfId="0" applyFont="1" applyBorder="1" applyAlignment="1">
      <alignment horizontal="left"/>
    </xf>
    <xf numFmtId="0" fontId="1" fillId="0" borderId="0" xfId="0" applyFont="1" applyAlignment="1">
      <alignment horizontal="center"/>
    </xf>
    <xf numFmtId="0" fontId="1" fillId="0" borderId="0" xfId="0" applyFont="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vertical="top" wrapText="1"/>
    </xf>
    <xf numFmtId="0" fontId="1" fillId="0" borderId="1" xfId="0" applyFont="1" applyBorder="1" applyAlignment="1">
      <alignment horizontal="left" vertical="top" wrapText="1"/>
    </xf>
    <xf numFmtId="0" fontId="7" fillId="2" borderId="0" xfId="0" applyFont="1" applyFill="1" applyAlignment="1">
      <alignment horizontal="center"/>
    </xf>
    <xf numFmtId="0" fontId="8" fillId="0" borderId="1" xfId="0" applyFont="1" applyBorder="1"/>
    <xf numFmtId="0" fontId="9" fillId="2" borderId="1" xfId="0" applyFont="1" applyFill="1" applyBorder="1" applyAlignment="1">
      <alignment vertical="center"/>
    </xf>
    <xf numFmtId="0" fontId="1" fillId="0" borderId="1" xfId="0" applyFont="1" applyBorder="1" applyAlignment="1">
      <alignment wrapText="1"/>
    </xf>
    <xf numFmtId="0" fontId="9" fillId="2" borderId="1" xfId="0" applyFont="1" applyFill="1" applyBorder="1" applyAlignment="1">
      <alignment vertical="center" wrapText="1"/>
    </xf>
    <xf numFmtId="0" fontId="9" fillId="2" borderId="1" xfId="0" applyFont="1" applyFill="1" applyBorder="1" applyAlignment="1">
      <alignment horizontal="lef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wrapText="1"/>
    </xf>
    <xf numFmtId="0" fontId="8"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vertical="center"/>
    </xf>
    <xf numFmtId="0" fontId="11" fillId="2" borderId="0" xfId="0" applyFont="1" applyFill="1"/>
    <xf numFmtId="0" fontId="8" fillId="0" borderId="0" xfId="0" applyFont="1"/>
    <xf numFmtId="0" fontId="12" fillId="0" borderId="0" xfId="0" applyFont="1"/>
    <xf numFmtId="0" fontId="15" fillId="0" borderId="4" xfId="0" applyFont="1" applyBorder="1" applyAlignment="1">
      <alignment vertical="center" wrapText="1"/>
    </xf>
    <xf numFmtId="0" fontId="18" fillId="0" borderId="1" xfId="0" applyFont="1" applyBorder="1" applyAlignment="1">
      <alignment horizontal="center" vertical="center" wrapText="1"/>
    </xf>
    <xf numFmtId="0" fontId="0" fillId="0" borderId="11" xfId="0" applyBorder="1"/>
    <xf numFmtId="0" fontId="18" fillId="2" borderId="17" xfId="0" applyFont="1" applyFill="1" applyBorder="1" applyAlignment="1">
      <alignment horizontal="center" vertical="center" wrapText="1"/>
    </xf>
    <xf numFmtId="164" fontId="16" fillId="0" borderId="17" xfId="0" applyNumberFormat="1" applyFont="1" applyBorder="1" applyAlignment="1">
      <alignment horizontal="center" vertical="center" wrapText="1"/>
    </xf>
    <xf numFmtId="0" fontId="15" fillId="0" borderId="1" xfId="0" applyFont="1" applyBorder="1" applyAlignment="1">
      <alignment vertical="center" wrapText="1"/>
    </xf>
    <xf numFmtId="0" fontId="15" fillId="0" borderId="4" xfId="0" applyFont="1" applyBorder="1" applyAlignment="1">
      <alignment horizontal="left" vertical="center" wrapText="1"/>
    </xf>
    <xf numFmtId="0" fontId="10" fillId="0" borderId="16" xfId="0" applyFont="1" applyBorder="1" applyAlignment="1">
      <alignment wrapText="1"/>
    </xf>
    <xf numFmtId="0" fontId="10" fillId="0" borderId="14" xfId="0" applyFont="1" applyBorder="1" applyAlignment="1">
      <alignment wrapText="1"/>
    </xf>
    <xf numFmtId="0" fontId="15" fillId="2" borderId="4" xfId="0" applyFont="1" applyFill="1" applyBorder="1" applyAlignment="1">
      <alignment horizontal="left" vertical="center" wrapText="1"/>
    </xf>
    <xf numFmtId="0" fontId="13" fillId="0" borderId="4" xfId="0" applyFont="1" applyBorder="1" applyAlignment="1">
      <alignment horizontal="left" vertical="center" wrapText="1"/>
    </xf>
    <xf numFmtId="0" fontId="27" fillId="0" borderId="4" xfId="0" applyFont="1" applyBorder="1" applyAlignment="1">
      <alignment horizontal="left" vertical="center" wrapText="1"/>
    </xf>
    <xf numFmtId="0" fontId="28" fillId="0" borderId="16" xfId="0" applyFont="1" applyBorder="1" applyAlignment="1">
      <alignment wrapText="1"/>
    </xf>
    <xf numFmtId="0" fontId="28" fillId="0" borderId="18" xfId="0" applyFont="1" applyBorder="1" applyAlignment="1">
      <alignment wrapText="1"/>
    </xf>
    <xf numFmtId="0" fontId="13" fillId="0" borderId="4" xfId="0" applyFont="1" applyBorder="1" applyAlignment="1">
      <alignment horizontal="left" vertical="top" wrapText="1"/>
    </xf>
    <xf numFmtId="0" fontId="10" fillId="0" borderId="18" xfId="0" applyFont="1" applyBorder="1" applyAlignment="1">
      <alignment wrapText="1"/>
    </xf>
    <xf numFmtId="0" fontId="13" fillId="0" borderId="3" xfId="0" applyFont="1" applyBorder="1" applyAlignment="1">
      <alignment horizontal="center" vertical="center" wrapText="1"/>
    </xf>
    <xf numFmtId="0" fontId="10" fillId="0" borderId="15" xfId="0" applyFont="1" applyBorder="1" applyAlignment="1">
      <alignment wrapText="1"/>
    </xf>
    <xf numFmtId="0" fontId="10" fillId="0" borderId="7" xfId="0" applyFont="1" applyBorder="1" applyAlignment="1">
      <alignment wrapText="1"/>
    </xf>
    <xf numFmtId="0" fontId="10" fillId="0" borderId="10" xfId="0" applyFont="1" applyBorder="1" applyAlignment="1">
      <alignment wrapText="1"/>
    </xf>
    <xf numFmtId="0" fontId="10" fillId="0" borderId="12" xfId="0" applyFont="1" applyBorder="1" applyAlignment="1">
      <alignment wrapText="1"/>
    </xf>
    <xf numFmtId="0" fontId="10" fillId="0" borderId="13" xfId="0" applyFont="1" applyBorder="1" applyAlignment="1">
      <alignment wrapText="1"/>
    </xf>
    <xf numFmtId="0" fontId="10" fillId="0" borderId="19" xfId="0" applyFont="1" applyBorder="1" applyAlignment="1">
      <alignment wrapText="1"/>
    </xf>
    <xf numFmtId="0" fontId="10" fillId="0" borderId="20" xfId="0" applyFont="1" applyBorder="1" applyAlignment="1">
      <alignment wrapText="1"/>
    </xf>
    <xf numFmtId="0" fontId="15" fillId="0" borderId="4"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8" xfId="0" applyFont="1" applyBorder="1" applyAlignment="1">
      <alignment horizontal="center" vertical="center" wrapText="1"/>
    </xf>
    <xf numFmtId="0" fontId="15" fillId="2" borderId="4" xfId="0" applyFont="1" applyFill="1" applyBorder="1" applyAlignment="1">
      <alignment horizontal="center" vertical="center" wrapText="1"/>
    </xf>
    <xf numFmtId="0" fontId="15" fillId="2" borderId="3" xfId="0" applyFont="1" applyFill="1" applyBorder="1" applyAlignment="1">
      <alignment horizontal="left" vertical="center" wrapText="1"/>
    </xf>
    <xf numFmtId="0" fontId="13" fillId="7" borderId="3" xfId="0" applyFont="1" applyFill="1" applyBorder="1" applyAlignment="1">
      <alignment horizontal="center" vertical="center" wrapText="1"/>
    </xf>
    <xf numFmtId="0" fontId="17" fillId="0" borderId="3" xfId="0" applyFont="1" applyBorder="1" applyAlignment="1">
      <alignment horizontal="center" vertical="center" wrapText="1"/>
    </xf>
    <xf numFmtId="0" fontId="10" fillId="0" borderId="15" xfId="0" applyFont="1" applyBorder="1" applyAlignment="1">
      <alignment horizontal="center" wrapText="1"/>
    </xf>
    <xf numFmtId="0" fontId="10" fillId="0" borderId="7" xfId="0" applyFont="1" applyBorder="1" applyAlignment="1">
      <alignment horizontal="center" wrapText="1"/>
    </xf>
    <xf numFmtId="0" fontId="10" fillId="0" borderId="8" xfId="0" applyFont="1" applyBorder="1" applyAlignment="1">
      <alignment horizontal="center" wrapText="1"/>
    </xf>
    <xf numFmtId="0" fontId="0" fillId="0" borderId="11" xfId="0" applyBorder="1" applyAlignment="1">
      <alignment horizontal="center" wrapText="1"/>
    </xf>
    <xf numFmtId="0" fontId="10" fillId="0" borderId="9" xfId="0" applyFont="1" applyBorder="1" applyAlignment="1">
      <alignment horizontal="center" wrapText="1"/>
    </xf>
    <xf numFmtId="0" fontId="13" fillId="6" borderId="4" xfId="0" applyFont="1" applyFill="1" applyBorder="1" applyAlignment="1">
      <alignment horizontal="center" vertical="center" wrapText="1"/>
    </xf>
    <xf numFmtId="0" fontId="10" fillId="0" borderId="10" xfId="0" applyFont="1" applyBorder="1" applyAlignment="1">
      <alignment horizontal="center" wrapText="1"/>
    </xf>
    <xf numFmtId="0" fontId="10" fillId="0" borderId="12" xfId="0" applyFont="1" applyBorder="1" applyAlignment="1">
      <alignment horizontal="center" wrapText="1"/>
    </xf>
    <xf numFmtId="0" fontId="10" fillId="0" borderId="13" xfId="0" applyFont="1" applyBorder="1" applyAlignment="1">
      <alignment horizontal="center" wrapText="1"/>
    </xf>
    <xf numFmtId="0" fontId="13" fillId="7" borderId="4" xfId="0" applyFont="1" applyFill="1" applyBorder="1" applyAlignment="1">
      <alignment horizontal="center" vertical="center" wrapText="1"/>
    </xf>
    <xf numFmtId="0" fontId="13" fillId="7" borderId="16" xfId="0" applyFont="1" applyFill="1" applyBorder="1" applyAlignment="1">
      <alignment horizontal="center" vertical="center" wrapText="1"/>
    </xf>
    <xf numFmtId="0" fontId="15" fillId="0" borderId="4" xfId="0" applyFont="1" applyBorder="1" applyAlignment="1">
      <alignment vertical="center" wrapText="1"/>
    </xf>
    <xf numFmtId="0" fontId="17" fillId="0" borderId="4" xfId="0" applyFont="1" applyBorder="1" applyAlignment="1">
      <alignment vertical="center" wrapText="1"/>
    </xf>
    <xf numFmtId="0" fontId="21" fillId="6" borderId="10" xfId="0" applyFont="1" applyFill="1" applyBorder="1" applyAlignment="1">
      <alignment horizontal="center" vertical="center" wrapText="1"/>
    </xf>
    <xf numFmtId="0" fontId="15" fillId="2" borderId="4" xfId="0" applyFont="1" applyFill="1" applyBorder="1" applyAlignment="1">
      <alignment vertical="center" wrapText="1"/>
    </xf>
    <xf numFmtId="0" fontId="7" fillId="0" borderId="4" xfId="0" applyFont="1" applyBorder="1" applyAlignment="1">
      <alignment horizontal="left" vertical="center" wrapText="1"/>
    </xf>
    <xf numFmtId="0" fontId="10" fillId="0" borderId="16" xfId="0" applyFont="1" applyBorder="1" applyAlignment="1">
      <alignment horizontal="left" vertical="center" wrapText="1"/>
    </xf>
    <xf numFmtId="0" fontId="10" fillId="0" borderId="14" xfId="0" applyFont="1" applyBorder="1" applyAlignment="1">
      <alignment horizontal="left" vertical="center" wrapText="1"/>
    </xf>
    <xf numFmtId="0" fontId="10" fillId="0" borderId="18" xfId="0" applyFont="1" applyBorder="1" applyAlignment="1">
      <alignment horizontal="left" vertical="center" wrapText="1"/>
    </xf>
    <xf numFmtId="0" fontId="15" fillId="0" borderId="10" xfId="0" applyFont="1" applyBorder="1" applyAlignment="1">
      <alignment vertical="center" wrapText="1"/>
    </xf>
    <xf numFmtId="0" fontId="13" fillId="6" borderId="3" xfId="0" applyFont="1" applyFill="1" applyBorder="1" applyAlignment="1">
      <alignment horizontal="center" vertical="center" wrapText="1"/>
    </xf>
    <xf numFmtId="0" fontId="10" fillId="0" borderId="16" xfId="0" applyFont="1" applyBorder="1" applyAlignment="1">
      <alignment vertical="center" wrapText="1"/>
    </xf>
    <xf numFmtId="0" fontId="10" fillId="0" borderId="14" xfId="0" applyFont="1" applyBorder="1" applyAlignment="1">
      <alignment vertical="center" wrapText="1"/>
    </xf>
    <xf numFmtId="0" fontId="15" fillId="0" borderId="16" xfId="0" applyFont="1" applyBorder="1" applyAlignment="1">
      <alignment horizontal="left" vertical="center" wrapText="1"/>
    </xf>
    <xf numFmtId="0" fontId="15" fillId="0" borderId="12" xfId="0" applyFont="1" applyBorder="1" applyAlignment="1">
      <alignment horizontal="left" vertical="center" wrapText="1"/>
    </xf>
    <xf numFmtId="0" fontId="15" fillId="0" borderId="16" xfId="0" applyFont="1" applyBorder="1" applyAlignment="1">
      <alignment vertical="center" wrapText="1"/>
    </xf>
    <xf numFmtId="0" fontId="7" fillId="0" borderId="4" xfId="0" applyFont="1" applyBorder="1" applyAlignment="1">
      <alignment vertical="center" wrapText="1"/>
    </xf>
    <xf numFmtId="0" fontId="10" fillId="0" borderId="8" xfId="0" applyFont="1" applyBorder="1" applyAlignment="1">
      <alignment wrapText="1"/>
    </xf>
    <xf numFmtId="0" fontId="0" fillId="0" borderId="11" xfId="0" applyBorder="1" applyAlignment="1">
      <alignment wrapText="1"/>
    </xf>
    <xf numFmtId="0" fontId="10" fillId="0" borderId="9" xfId="0" applyFont="1" applyBorder="1" applyAlignment="1">
      <alignment wrapText="1"/>
    </xf>
    <xf numFmtId="0" fontId="13" fillId="2" borderId="3" xfId="0" applyFont="1" applyFill="1" applyBorder="1" applyAlignment="1">
      <alignment horizontal="center" vertical="center" wrapText="1"/>
    </xf>
    <xf numFmtId="0" fontId="19" fillId="0" borderId="4" xfId="0" applyFont="1" applyBorder="1" applyAlignment="1">
      <alignment horizontal="center" vertical="center" wrapText="1"/>
    </xf>
    <xf numFmtId="0" fontId="14" fillId="6" borderId="4" xfId="0" applyFont="1" applyFill="1" applyBorder="1" applyAlignment="1">
      <alignment horizontal="center" vertical="center" wrapText="1"/>
    </xf>
    <xf numFmtId="165" fontId="15" fillId="0" borderId="4" xfId="0" applyNumberFormat="1" applyFont="1" applyBorder="1" applyAlignment="1">
      <alignment horizontal="left" vertical="center" wrapText="1"/>
    </xf>
    <xf numFmtId="0" fontId="15" fillId="2" borderId="16" xfId="0" applyFont="1" applyFill="1" applyBorder="1" applyAlignment="1">
      <alignment horizontal="left" vertical="center" wrapText="1"/>
    </xf>
    <xf numFmtId="0" fontId="15" fillId="2" borderId="18" xfId="0" applyFont="1" applyFill="1" applyBorder="1" applyAlignment="1">
      <alignment horizontal="left" vertical="center" wrapText="1"/>
    </xf>
    <xf numFmtId="0" fontId="15" fillId="0" borderId="10" xfId="0" applyFont="1" applyBorder="1" applyAlignment="1">
      <alignment horizontal="left" vertical="center" wrapText="1"/>
    </xf>
    <xf numFmtId="0" fontId="10" fillId="0" borderId="12" xfId="0" applyFont="1" applyBorder="1" applyAlignment="1">
      <alignment vertical="center" wrapText="1"/>
    </xf>
    <xf numFmtId="0" fontId="10" fillId="0" borderId="13" xfId="0" applyFont="1" applyBorder="1" applyAlignment="1">
      <alignment vertical="center" wrapText="1"/>
    </xf>
    <xf numFmtId="0" fontId="15" fillId="2" borderId="16" xfId="0" applyFont="1" applyFill="1" applyBorder="1" applyAlignment="1">
      <alignment vertical="center" wrapText="1"/>
    </xf>
    <xf numFmtId="166" fontId="15" fillId="0" borderId="16" xfId="0" applyNumberFormat="1" applyFont="1" applyBorder="1" applyAlignment="1">
      <alignment horizontal="left" vertical="center" wrapText="1"/>
    </xf>
    <xf numFmtId="0" fontId="10" fillId="0" borderId="15" xfId="0" applyFont="1" applyBorder="1" applyAlignment="1">
      <alignment vertical="center" wrapText="1"/>
    </xf>
    <xf numFmtId="0" fontId="10" fillId="0" borderId="8" xfId="0" applyFont="1" applyBorder="1" applyAlignment="1">
      <alignment vertical="center" wrapText="1"/>
    </xf>
    <xf numFmtId="0" fontId="0" fillId="0" borderId="11" xfId="0" applyBorder="1" applyAlignment="1">
      <alignment vertical="center" wrapText="1"/>
    </xf>
    <xf numFmtId="0" fontId="10" fillId="0" borderId="10" xfId="0" applyFont="1" applyBorder="1" applyAlignment="1">
      <alignment vertical="center" wrapText="1"/>
    </xf>
    <xf numFmtId="0" fontId="15" fillId="0" borderId="4" xfId="0" applyFont="1" applyBorder="1" applyAlignment="1">
      <alignment horizontal="center" vertical="center" wrapText="1"/>
      <extLst>
        <ext xmlns:xfpb="http://schemas.microsoft.com/office/spreadsheetml/2022/featurepropertybag" uri="{C7286773-470A-42A8-94C5-96B5CB345126}">
          <xfpb:xfComplement i="0"/>
        </ext>
      </extLst>
    </xf>
    <xf numFmtId="0" fontId="10" fillId="0" borderId="14" xfId="0" applyFont="1" applyBorder="1" applyAlignment="1">
      <alignment wrapText="1"/>
      <extLst>
        <ext xmlns:xfpb="http://schemas.microsoft.com/office/spreadsheetml/2022/featurepropertybag" uri="{C7286773-470A-42A8-94C5-96B5CB345126}">
          <xfpb:xfComplement i="0"/>
        </ext>
      </extLst>
    </xf>
    <xf numFmtId="0" fontId="15" fillId="0" borderId="4" xfId="0" applyFont="1" applyBorder="1" applyAlignment="1">
      <alignment wrapText="1"/>
    </xf>
    <xf numFmtId="0" fontId="20" fillId="0" borderId="4" xfId="0" applyFont="1" applyBorder="1" applyAlignment="1">
      <alignment horizontal="center" vertical="center" wrapText="1"/>
      <extLst>
        <ext xmlns:xfpb="http://schemas.microsoft.com/office/spreadsheetml/2022/featurepropertybag" uri="{C7286773-470A-42A8-94C5-96B5CB345126}">
          <xfpb:xfComplement i="0"/>
        </ext>
      </extLst>
    </xf>
    <xf numFmtId="0" fontId="7" fillId="2" borderId="4" xfId="0" applyFont="1" applyFill="1" applyBorder="1" applyAlignment="1">
      <alignment horizontal="left" vertical="center" wrapText="1"/>
    </xf>
    <xf numFmtId="0" fontId="10" fillId="0" borderId="18" xfId="0" applyFont="1" applyBorder="1" applyAlignment="1">
      <alignment wrapText="1"/>
      <extLst>
        <ext xmlns:xfpb="http://schemas.microsoft.com/office/spreadsheetml/2022/featurepropertybag" uri="{C7286773-470A-42A8-94C5-96B5CB345126}">
          <xfpb:xfComplement i="0"/>
        </ext>
      </extLst>
    </xf>
    <xf numFmtId="0" fontId="7" fillId="0" borderId="4" xfId="0" applyFont="1" applyBorder="1" applyAlignment="1">
      <alignment horizontal="center" vertical="center" wrapText="1"/>
      <extLst>
        <ext xmlns:xfpb="http://schemas.microsoft.com/office/spreadsheetml/2022/featurepropertybag" uri="{C7286773-470A-42A8-94C5-96B5CB345126}">
          <xfpb:xfComplement i="0"/>
        </ext>
      </extLst>
    </xf>
    <xf numFmtId="0" fontId="15" fillId="2" borderId="3" xfId="0" applyFont="1" applyFill="1" applyBorder="1" applyAlignment="1">
      <alignment vertical="center" wrapText="1"/>
    </xf>
    <xf numFmtId="0" fontId="10" fillId="0" borderId="21" xfId="0" applyFont="1" applyBorder="1" applyAlignment="1">
      <alignment wrapText="1"/>
    </xf>
    <xf numFmtId="0" fontId="2" fillId="0" borderId="4" xfId="0" applyFont="1" applyBorder="1" applyAlignment="1">
      <alignment vertical="center" wrapText="1"/>
    </xf>
    <xf numFmtId="0" fontId="13" fillId="0" borderId="15" xfId="0" applyFont="1" applyBorder="1" applyAlignment="1">
      <alignment horizontal="center" vertical="center" wrapText="1"/>
    </xf>
    <xf numFmtId="0" fontId="15" fillId="2" borderId="16"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15" fillId="0" borderId="4" xfId="0" applyFont="1" applyBorder="1" applyAlignment="1">
      <alignment horizontal="center" vertical="top" wrapText="1"/>
    </xf>
    <xf numFmtId="0" fontId="15" fillId="0" borderId="16" xfId="0" applyFont="1" applyBorder="1" applyAlignment="1">
      <alignment horizontal="center" vertical="top" wrapText="1"/>
    </xf>
    <xf numFmtId="0" fontId="15" fillId="0" borderId="18" xfId="0" applyFont="1" applyBorder="1" applyAlignment="1">
      <alignment horizontal="center" vertical="top" wrapText="1"/>
    </xf>
    <xf numFmtId="0" fontId="13" fillId="0" borderId="4"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3" fillId="2"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8" fillId="0" borderId="4" xfId="0" applyFont="1" applyBorder="1" applyAlignment="1">
      <alignment wrapText="1"/>
    </xf>
    <xf numFmtId="0" fontId="10" fillId="0" borderId="5" xfId="0" applyFont="1" applyBorder="1"/>
    <xf numFmtId="0" fontId="10" fillId="0" borderId="6" xfId="0" applyFont="1" applyBorder="1"/>
    <xf numFmtId="0" fontId="13" fillId="2" borderId="16"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15" fillId="2" borderId="4" xfId="0" applyFont="1" applyFill="1" applyBorder="1" applyAlignment="1">
      <alignment horizontal="left" vertical="top" wrapText="1"/>
    </xf>
    <xf numFmtId="0" fontId="10" fillId="0" borderId="16" xfId="0" applyFont="1" applyBorder="1" applyAlignment="1">
      <alignment vertical="top" wrapText="1"/>
    </xf>
    <xf numFmtId="0" fontId="10" fillId="0" borderId="18" xfId="0" applyFont="1" applyBorder="1" applyAlignment="1">
      <alignment vertical="top" wrapText="1"/>
    </xf>
  </cellXfs>
  <cellStyles count="1">
    <cellStyle name="Normal" xfId="0" builtinId="0"/>
  </cellStyles>
  <dxfs count="2">
    <dxf>
      <fill>
        <patternFill patternType="solid">
          <fgColor rgb="FFB7E1CD"/>
          <bgColor rgb="FFB7E1CD"/>
        </patternFill>
      </fill>
    </dxf>
    <dxf>
      <font>
        <color rgb="FFB7B7B7"/>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jp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jp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jp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jp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jp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0.jpeg"/></Relationships>
</file>

<file path=xl/drawings/drawing1.xml><?xml version="1.0" encoding="utf-8"?>
<xdr:wsDr xmlns:xdr="http://schemas.openxmlformats.org/drawingml/2006/spreadsheetDrawing" xmlns:a="http://schemas.openxmlformats.org/drawingml/2006/main">
  <xdr:oneCellAnchor>
    <xdr:from>
      <xdr:col>1</xdr:col>
      <xdr:colOff>0</xdr:colOff>
      <xdr:row>10</xdr:row>
      <xdr:rowOff>0</xdr:rowOff>
    </xdr:from>
    <xdr:ext cx="1619250" cy="781050"/>
    <xdr:pic>
      <xdr:nvPicPr>
        <xdr:cNvPr id="2" name="image1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11</xdr:row>
      <xdr:rowOff>0</xdr:rowOff>
    </xdr:from>
    <xdr:ext cx="1038225" cy="942975"/>
    <xdr:pic>
      <xdr:nvPicPr>
        <xdr:cNvPr id="3" name="image4.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12</xdr:row>
      <xdr:rowOff>0</xdr:rowOff>
    </xdr:from>
    <xdr:ext cx="1190625" cy="933450"/>
    <xdr:pic>
      <xdr:nvPicPr>
        <xdr:cNvPr id="4" name="image25.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13</xdr:row>
      <xdr:rowOff>0</xdr:rowOff>
    </xdr:from>
    <xdr:ext cx="1104900" cy="904875"/>
    <xdr:pic>
      <xdr:nvPicPr>
        <xdr:cNvPr id="5" name="image19.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14</xdr:row>
      <xdr:rowOff>0</xdr:rowOff>
    </xdr:from>
    <xdr:ext cx="962025" cy="1114425"/>
    <xdr:pic>
      <xdr:nvPicPr>
        <xdr:cNvPr id="6" name="image12.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15</xdr:row>
      <xdr:rowOff>0</xdr:rowOff>
    </xdr:from>
    <xdr:ext cx="866775" cy="638175"/>
    <xdr:pic>
      <xdr:nvPicPr>
        <xdr:cNvPr id="7" name="image6.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16</xdr:row>
      <xdr:rowOff>0</xdr:rowOff>
    </xdr:from>
    <xdr:ext cx="1257300" cy="885825"/>
    <xdr:pic>
      <xdr:nvPicPr>
        <xdr:cNvPr id="8" name="image5.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17</xdr:row>
      <xdr:rowOff>0</xdr:rowOff>
    </xdr:from>
    <xdr:ext cx="685800" cy="723900"/>
    <xdr:pic>
      <xdr:nvPicPr>
        <xdr:cNvPr id="9" name="image21.jp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18</xdr:row>
      <xdr:rowOff>0</xdr:rowOff>
    </xdr:from>
    <xdr:ext cx="628650" cy="352425"/>
    <xdr:pic>
      <xdr:nvPicPr>
        <xdr:cNvPr id="10" name="image3.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19</xdr:row>
      <xdr:rowOff>0</xdr:rowOff>
    </xdr:from>
    <xdr:ext cx="447675" cy="342900"/>
    <xdr:pic>
      <xdr:nvPicPr>
        <xdr:cNvPr id="11" name="image11.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20</xdr:row>
      <xdr:rowOff>0</xdr:rowOff>
    </xdr:from>
    <xdr:ext cx="428625" cy="400050"/>
    <xdr:pic>
      <xdr:nvPicPr>
        <xdr:cNvPr id="12" name="image16.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21</xdr:row>
      <xdr:rowOff>0</xdr:rowOff>
    </xdr:from>
    <xdr:ext cx="638175" cy="542925"/>
    <xdr:pic>
      <xdr:nvPicPr>
        <xdr:cNvPr id="13" name="image15.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22</xdr:row>
      <xdr:rowOff>0</xdr:rowOff>
    </xdr:from>
    <xdr:ext cx="1219200" cy="790575"/>
    <xdr:pic>
      <xdr:nvPicPr>
        <xdr:cNvPr id="14" name="image10.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23</xdr:row>
      <xdr:rowOff>0</xdr:rowOff>
    </xdr:from>
    <xdr:ext cx="1752600" cy="1333500"/>
    <xdr:pic>
      <xdr:nvPicPr>
        <xdr:cNvPr id="15" name="image34.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24</xdr:row>
      <xdr:rowOff>0</xdr:rowOff>
    </xdr:from>
    <xdr:ext cx="2400300" cy="1190625"/>
    <xdr:pic>
      <xdr:nvPicPr>
        <xdr:cNvPr id="16" name="image29.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25</xdr:row>
      <xdr:rowOff>0</xdr:rowOff>
    </xdr:from>
    <xdr:ext cx="2133600" cy="1257300"/>
    <xdr:pic>
      <xdr:nvPicPr>
        <xdr:cNvPr id="17" name="image30.pn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26</xdr:row>
      <xdr:rowOff>0</xdr:rowOff>
    </xdr:from>
    <xdr:ext cx="1866900" cy="1095375"/>
    <xdr:pic>
      <xdr:nvPicPr>
        <xdr:cNvPr id="18" name="image28.png">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27</xdr:row>
      <xdr:rowOff>0</xdr:rowOff>
    </xdr:from>
    <xdr:ext cx="2447925" cy="1504950"/>
    <xdr:pic>
      <xdr:nvPicPr>
        <xdr:cNvPr id="19" name="image7.png">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28</xdr:row>
      <xdr:rowOff>0</xdr:rowOff>
    </xdr:from>
    <xdr:ext cx="2438400" cy="1171575"/>
    <xdr:pic>
      <xdr:nvPicPr>
        <xdr:cNvPr id="20" name="image41.pn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29</xdr:row>
      <xdr:rowOff>0</xdr:rowOff>
    </xdr:from>
    <xdr:ext cx="1171575" cy="800100"/>
    <xdr:pic>
      <xdr:nvPicPr>
        <xdr:cNvPr id="21" name="image17.pn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30</xdr:row>
      <xdr:rowOff>0</xdr:rowOff>
    </xdr:from>
    <xdr:ext cx="2314575" cy="942975"/>
    <xdr:pic>
      <xdr:nvPicPr>
        <xdr:cNvPr id="22" name="image2.pn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31</xdr:row>
      <xdr:rowOff>0</xdr:rowOff>
    </xdr:from>
    <xdr:ext cx="1209675" cy="885825"/>
    <xdr:pic>
      <xdr:nvPicPr>
        <xdr:cNvPr id="23" name="image8.pn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32</xdr:row>
      <xdr:rowOff>0</xdr:rowOff>
    </xdr:from>
    <xdr:ext cx="933450" cy="1181100"/>
    <xdr:pic>
      <xdr:nvPicPr>
        <xdr:cNvPr id="24" name="image23.pn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33</xdr:row>
      <xdr:rowOff>0</xdr:rowOff>
    </xdr:from>
    <xdr:ext cx="1333500" cy="885825"/>
    <xdr:pic>
      <xdr:nvPicPr>
        <xdr:cNvPr id="25" name="image1.png">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34</xdr:row>
      <xdr:rowOff>0</xdr:rowOff>
    </xdr:from>
    <xdr:ext cx="990600" cy="962025"/>
    <xdr:pic>
      <xdr:nvPicPr>
        <xdr:cNvPr id="26" name="image9.pn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35</xdr:row>
      <xdr:rowOff>0</xdr:rowOff>
    </xdr:from>
    <xdr:ext cx="752475" cy="1028700"/>
    <xdr:pic>
      <xdr:nvPicPr>
        <xdr:cNvPr id="27" name="image40.png">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36</xdr:row>
      <xdr:rowOff>0</xdr:rowOff>
    </xdr:from>
    <xdr:ext cx="923925" cy="1219200"/>
    <xdr:pic>
      <xdr:nvPicPr>
        <xdr:cNvPr id="28" name="image14.png">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37</xdr:row>
      <xdr:rowOff>0</xdr:rowOff>
    </xdr:from>
    <xdr:ext cx="933450" cy="923925"/>
    <xdr:pic>
      <xdr:nvPicPr>
        <xdr:cNvPr id="29" name="image22.png">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38</xdr:row>
      <xdr:rowOff>0</xdr:rowOff>
    </xdr:from>
    <xdr:ext cx="1371600" cy="1038225"/>
    <xdr:pic>
      <xdr:nvPicPr>
        <xdr:cNvPr id="30" name="image37.jpg">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39</xdr:row>
      <xdr:rowOff>0</xdr:rowOff>
    </xdr:from>
    <xdr:ext cx="1819275" cy="962025"/>
    <xdr:pic>
      <xdr:nvPicPr>
        <xdr:cNvPr id="31" name="image26.png">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40</xdr:row>
      <xdr:rowOff>0</xdr:rowOff>
    </xdr:from>
    <xdr:ext cx="1028700" cy="762000"/>
    <xdr:pic>
      <xdr:nvPicPr>
        <xdr:cNvPr id="32" name="image24.png">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41</xdr:row>
      <xdr:rowOff>0</xdr:rowOff>
    </xdr:from>
    <xdr:ext cx="1000125" cy="809625"/>
    <xdr:pic>
      <xdr:nvPicPr>
        <xdr:cNvPr id="33" name="image32.png">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42</xdr:row>
      <xdr:rowOff>0</xdr:rowOff>
    </xdr:from>
    <xdr:ext cx="1371600" cy="1057275"/>
    <xdr:pic>
      <xdr:nvPicPr>
        <xdr:cNvPr id="34" name="image27.png">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43</xdr:row>
      <xdr:rowOff>0</xdr:rowOff>
    </xdr:from>
    <xdr:ext cx="1314450" cy="828675"/>
    <xdr:pic>
      <xdr:nvPicPr>
        <xdr:cNvPr id="35" name="image33.png">
          <a:extLst>
            <a:ext uri="{FF2B5EF4-FFF2-40B4-BE49-F238E27FC236}">
              <a16:creationId xmlns:a16="http://schemas.microsoft.com/office/drawing/2014/main" id="{00000000-0008-0000-00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44</xdr:row>
      <xdr:rowOff>0</xdr:rowOff>
    </xdr:from>
    <xdr:ext cx="1028700" cy="1323975"/>
    <xdr:pic>
      <xdr:nvPicPr>
        <xdr:cNvPr id="36" name="image35.png">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45</xdr:row>
      <xdr:rowOff>0</xdr:rowOff>
    </xdr:from>
    <xdr:ext cx="1104900" cy="1181100"/>
    <xdr:pic>
      <xdr:nvPicPr>
        <xdr:cNvPr id="37" name="image18.png">
          <a:extLst>
            <a:ext uri="{FF2B5EF4-FFF2-40B4-BE49-F238E27FC236}">
              <a16:creationId xmlns:a16="http://schemas.microsoft.com/office/drawing/2014/main" id="{00000000-0008-0000-00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46</xdr:row>
      <xdr:rowOff>0</xdr:rowOff>
    </xdr:from>
    <xdr:ext cx="904875" cy="800100"/>
    <xdr:pic>
      <xdr:nvPicPr>
        <xdr:cNvPr id="38" name="image20.jpg">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47</xdr:row>
      <xdr:rowOff>0</xdr:rowOff>
    </xdr:from>
    <xdr:ext cx="1276350" cy="676275"/>
    <xdr:pic>
      <xdr:nvPicPr>
        <xdr:cNvPr id="39" name="image39.jpg">
          <a:extLst>
            <a:ext uri="{FF2B5EF4-FFF2-40B4-BE49-F238E27FC236}">
              <a16:creationId xmlns:a16="http://schemas.microsoft.com/office/drawing/2014/main" id="{00000000-0008-0000-00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48</xdr:row>
      <xdr:rowOff>0</xdr:rowOff>
    </xdr:from>
    <xdr:ext cx="1676400" cy="1676400"/>
    <xdr:pic>
      <xdr:nvPicPr>
        <xdr:cNvPr id="40" name="image42.jpg">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827760</xdr:colOff>
      <xdr:row>3</xdr:row>
      <xdr:rowOff>180974</xdr:rowOff>
    </xdr:to>
    <xdr:pic>
      <xdr:nvPicPr>
        <xdr:cNvPr id="2" name="Imagen 1">
          <a:extLst>
            <a:ext uri="{FF2B5EF4-FFF2-40B4-BE49-F238E27FC236}">
              <a16:creationId xmlns:a16="http://schemas.microsoft.com/office/drawing/2014/main" id="{40341C63-52E1-5F30-6829-349A041A13CA}"/>
            </a:ext>
          </a:extLst>
        </xdr:cNvPr>
        <xdr:cNvPicPr>
          <a:picLocks noChangeAspect="1"/>
        </xdr:cNvPicPr>
      </xdr:nvPicPr>
      <xdr:blipFill>
        <a:blip xmlns:r="http://schemas.openxmlformats.org/officeDocument/2006/relationships" r:embed="rId1"/>
        <a:stretch>
          <a:fillRect/>
        </a:stretch>
      </xdr:blipFill>
      <xdr:spPr>
        <a:xfrm>
          <a:off x="0" y="0"/>
          <a:ext cx="3056610" cy="676274"/>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falabella.com/" TargetMode="External"/><Relationship Id="rId2" Type="http://schemas.openxmlformats.org/officeDocument/2006/relationships/hyperlink" Target="http://falabella.com/" TargetMode="External"/><Relationship Id="rId1" Type="http://schemas.openxmlformats.org/officeDocument/2006/relationships/hyperlink" Target="http://falabella.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www.recacolombi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O1198"/>
  <sheetViews>
    <sheetView workbookViewId="0"/>
  </sheetViews>
  <sheetFormatPr baseColWidth="10" defaultColWidth="12.5703125" defaultRowHeight="15.75" customHeight="1"/>
  <cols>
    <col min="1" max="1" width="48.140625" customWidth="1"/>
    <col min="2" max="2" width="43.5703125" customWidth="1"/>
    <col min="3" max="3" width="44" customWidth="1"/>
    <col min="4" max="4" width="36.140625" customWidth="1"/>
    <col min="5" max="5" width="45.7109375" customWidth="1"/>
    <col min="6" max="6" width="26.7109375" customWidth="1"/>
    <col min="7" max="7" width="16" customWidth="1"/>
    <col min="9" max="9" width="6.140625" customWidth="1"/>
    <col min="10" max="10" width="5.28515625" customWidth="1"/>
    <col min="11" max="11" width="6.42578125" customWidth="1"/>
    <col min="12" max="12" width="7.42578125" customWidth="1"/>
    <col min="16" max="16" width="10.7109375" customWidth="1"/>
    <col min="17" max="17" width="21.140625" customWidth="1"/>
    <col min="18" max="18" width="10.7109375" customWidth="1"/>
    <col min="19" max="45" width="4.7109375" customWidth="1"/>
    <col min="46" max="46" width="5.5703125" customWidth="1"/>
    <col min="47" max="50" width="4.7109375" customWidth="1"/>
    <col min="51" max="51" width="25.140625" customWidth="1"/>
    <col min="52" max="52" width="34.28515625" customWidth="1"/>
    <col min="53" max="53" width="30.140625" customWidth="1"/>
    <col min="54" max="62" width="24.5703125" customWidth="1"/>
    <col min="63" max="67" width="4.7109375" customWidth="1"/>
  </cols>
  <sheetData>
    <row r="1" spans="1:67" ht="12.75">
      <c r="A1" s="1"/>
      <c r="B1" s="2" t="s">
        <v>0</v>
      </c>
      <c r="C1" s="2"/>
      <c r="D1" s="2" t="s">
        <v>1</v>
      </c>
      <c r="E1" s="2"/>
      <c r="F1" s="2" t="s">
        <v>2</v>
      </c>
      <c r="G1" s="2"/>
      <c r="M1" s="3"/>
      <c r="N1" s="3"/>
      <c r="O1" s="3"/>
      <c r="P1" s="4"/>
      <c r="Q1" s="4"/>
      <c r="R1" s="4"/>
      <c r="S1" s="136" t="s">
        <v>3</v>
      </c>
      <c r="T1" s="137"/>
      <c r="U1" s="137"/>
      <c r="V1" s="137"/>
      <c r="W1" s="136" t="s">
        <v>4</v>
      </c>
      <c r="X1" s="137"/>
      <c r="Y1" s="137"/>
      <c r="Z1" s="137"/>
      <c r="AA1" s="136" t="s">
        <v>5</v>
      </c>
      <c r="AB1" s="137"/>
      <c r="AC1" s="137"/>
      <c r="AD1" s="137"/>
      <c r="AE1" s="136" t="s">
        <v>6</v>
      </c>
      <c r="AF1" s="137"/>
      <c r="AG1" s="137"/>
      <c r="AH1" s="137"/>
      <c r="AI1" s="136" t="s">
        <v>7</v>
      </c>
      <c r="AJ1" s="137"/>
      <c r="AK1" s="137"/>
      <c r="AL1" s="137"/>
      <c r="AM1" s="136" t="s">
        <v>8</v>
      </c>
      <c r="AN1" s="137"/>
      <c r="AO1" s="137"/>
      <c r="AP1" s="137"/>
      <c r="AQ1" s="4"/>
      <c r="AR1" s="136" t="s">
        <v>9</v>
      </c>
      <c r="AS1" s="137"/>
      <c r="AT1" s="137"/>
      <c r="AU1" s="4"/>
      <c r="AV1" s="4"/>
      <c r="AW1" s="4"/>
      <c r="AX1" s="4"/>
      <c r="AY1" s="4"/>
      <c r="AZ1" s="4"/>
      <c r="BA1" s="4"/>
      <c r="BB1" s="4"/>
      <c r="BC1" s="4"/>
      <c r="BD1" s="4"/>
      <c r="BE1" s="4"/>
      <c r="BF1" s="4"/>
      <c r="BG1" s="4"/>
      <c r="BH1" s="4"/>
      <c r="BI1" s="4"/>
      <c r="BJ1" s="4"/>
      <c r="BK1" s="4"/>
      <c r="BL1" s="4"/>
      <c r="BM1" s="4"/>
      <c r="BN1" s="4"/>
      <c r="BO1" s="4"/>
    </row>
    <row r="2" spans="1:67" ht="12.75">
      <c r="A2" s="5" t="s">
        <v>10</v>
      </c>
      <c r="B2" s="6" t="s">
        <v>11</v>
      </c>
      <c r="C2" s="6" t="s">
        <v>12</v>
      </c>
      <c r="D2" s="6" t="s">
        <v>13</v>
      </c>
      <c r="E2" s="6" t="s">
        <v>12</v>
      </c>
      <c r="F2" s="6" t="s">
        <v>14</v>
      </c>
      <c r="G2" s="6" t="s">
        <v>15</v>
      </c>
      <c r="L2" s="3"/>
      <c r="M2" s="3"/>
      <c r="N2" s="3"/>
      <c r="O2" s="3"/>
      <c r="P2" s="7"/>
      <c r="Q2" s="1" t="s">
        <v>16</v>
      </c>
      <c r="R2" s="1" t="s">
        <v>17</v>
      </c>
      <c r="S2" s="7"/>
      <c r="T2" s="7"/>
      <c r="U2" s="7"/>
      <c r="V2" s="7"/>
      <c r="W2" s="7"/>
      <c r="X2" s="7"/>
      <c r="Y2" s="7"/>
      <c r="Z2" s="7"/>
      <c r="AA2" s="7"/>
      <c r="AB2" s="7"/>
      <c r="AC2" s="7"/>
      <c r="AD2" s="7"/>
      <c r="AE2" s="7"/>
      <c r="AF2" s="7"/>
      <c r="AG2" s="7"/>
      <c r="AH2" s="7"/>
      <c r="AI2" s="7"/>
      <c r="AJ2" s="7"/>
      <c r="AK2" s="7"/>
      <c r="AL2" s="7"/>
      <c r="AM2" s="7"/>
      <c r="AN2" s="7"/>
      <c r="AO2" s="7"/>
      <c r="AP2" s="7"/>
      <c r="AQ2" s="7"/>
      <c r="AR2" s="136" t="s">
        <v>18</v>
      </c>
      <c r="AS2" s="137"/>
      <c r="AT2" s="137"/>
      <c r="AU2" s="7"/>
      <c r="AV2" s="7"/>
      <c r="AW2" s="7"/>
      <c r="AX2" s="7"/>
      <c r="AY2" s="7"/>
      <c r="AZ2" s="7"/>
      <c r="BA2" s="7"/>
      <c r="BB2" s="7"/>
      <c r="BC2" s="7"/>
      <c r="BD2" s="7"/>
      <c r="BE2" s="7"/>
      <c r="BF2" s="7"/>
      <c r="BG2" s="7"/>
      <c r="BH2" s="7"/>
      <c r="BI2" s="7"/>
      <c r="BJ2" s="7"/>
      <c r="BK2" s="7"/>
      <c r="BL2" s="7"/>
      <c r="BM2" s="7"/>
      <c r="BN2" s="7"/>
      <c r="BO2" s="7"/>
    </row>
    <row r="3" spans="1:67" ht="14.25">
      <c r="A3" s="5"/>
      <c r="B3" s="6" t="s">
        <v>19</v>
      </c>
      <c r="C3" s="6" t="s">
        <v>20</v>
      </c>
      <c r="D3" s="8" t="s">
        <v>20</v>
      </c>
      <c r="E3" s="6" t="s">
        <v>21</v>
      </c>
      <c r="F3" s="6" t="s">
        <v>22</v>
      </c>
      <c r="G3" s="6" t="s">
        <v>23</v>
      </c>
      <c r="L3" s="3"/>
      <c r="M3" s="3"/>
      <c r="N3" s="3"/>
      <c r="O3" s="3"/>
      <c r="P3" s="7"/>
      <c r="Q3" s="9" t="s">
        <v>24</v>
      </c>
      <c r="R3" s="10" t="e">
        <f>COUNTIF(#REF!,"No requiere apoyo.")+COUNTIF(#REF!,"No requiere apoyo.")+COUNTIF(#REF!,"No requiere apoyo.")+COUNTIF(#REF!,"No requiere apoyo.")+COUNTIF(#REF!,"No requiere apoyo.")+COUNTIF(#REF!,"No requiere apoyo.")</f>
        <v>#REF!</v>
      </c>
      <c r="S3" s="7"/>
      <c r="T3" s="7"/>
      <c r="U3" s="7"/>
      <c r="V3" s="7"/>
      <c r="W3" s="7"/>
      <c r="X3" s="7"/>
      <c r="Y3" s="7"/>
      <c r="Z3" s="7"/>
      <c r="AA3" s="7"/>
      <c r="AB3" s="7"/>
      <c r="AC3" s="7"/>
      <c r="AD3" s="7"/>
      <c r="AE3" s="7"/>
      <c r="AF3" s="7"/>
      <c r="AG3" s="7"/>
      <c r="AH3" s="7"/>
      <c r="AI3" s="7"/>
      <c r="AJ3" s="7"/>
      <c r="AK3" s="7"/>
      <c r="AL3" s="7"/>
      <c r="AM3" s="7"/>
      <c r="AN3" s="7"/>
      <c r="AO3" s="7"/>
      <c r="AP3" s="7"/>
      <c r="AQ3" s="7"/>
      <c r="AR3" s="136" t="s">
        <v>25</v>
      </c>
      <c r="AS3" s="137"/>
      <c r="AT3" s="137"/>
      <c r="AU3" s="7"/>
      <c r="AV3" s="7"/>
      <c r="AW3" s="7"/>
      <c r="AX3" s="7"/>
      <c r="AY3" s="7"/>
      <c r="AZ3" s="7"/>
      <c r="BA3" s="7"/>
      <c r="BB3" s="7"/>
      <c r="BC3" s="7"/>
      <c r="BD3" s="7"/>
      <c r="BE3" s="7"/>
      <c r="BF3" s="7"/>
      <c r="BG3" s="7"/>
      <c r="BH3" s="7"/>
      <c r="BI3" s="7"/>
      <c r="BJ3" s="7"/>
      <c r="BK3" s="7"/>
      <c r="BL3" s="7"/>
      <c r="BM3" s="7"/>
      <c r="BN3" s="7"/>
      <c r="BO3" s="7"/>
    </row>
    <row r="4" spans="1:67" ht="14.25">
      <c r="A4" s="5"/>
      <c r="B4" s="6" t="s">
        <v>21</v>
      </c>
      <c r="C4" s="6" t="s">
        <v>26</v>
      </c>
      <c r="D4" s="6" t="s">
        <v>27</v>
      </c>
      <c r="E4" s="6" t="s">
        <v>19</v>
      </c>
      <c r="F4" s="6" t="s">
        <v>27</v>
      </c>
      <c r="G4" s="6" t="s">
        <v>13</v>
      </c>
      <c r="L4" s="3"/>
      <c r="M4" s="3"/>
      <c r="N4" s="3"/>
      <c r="O4" s="3"/>
      <c r="P4" s="7"/>
      <c r="Q4" s="9" t="s">
        <v>28</v>
      </c>
      <c r="R4" s="11" t="e">
        <f>COUNTIF(#REF!,"Requiere apoyo bajo.")+COUNTIF(#REF!,"Requiere apoyo bajo.")+COUNTIF(#REF!,"Requiere apoyo bajo.")+COUNTIF(#REF!,"Requiere apoyo bajo.")+COUNTIF(#REF!,"Requiere apoyo bajo.")+COUNTIF(#REF!,"Requiere apoyo bajo.")</f>
        <v>#REF!</v>
      </c>
      <c r="S4" s="7"/>
      <c r="T4" s="7"/>
      <c r="U4" s="7"/>
      <c r="V4" s="7"/>
      <c r="W4" s="7"/>
      <c r="X4" s="7"/>
      <c r="Y4" s="7"/>
      <c r="Z4" s="7"/>
      <c r="AA4" s="7"/>
      <c r="AB4" s="7"/>
      <c r="AC4" s="7"/>
      <c r="AD4" s="7"/>
      <c r="AE4" s="7"/>
      <c r="AF4" s="7"/>
      <c r="AG4" s="7"/>
      <c r="AH4" s="7"/>
      <c r="AI4" s="7"/>
      <c r="AJ4" s="7"/>
      <c r="AK4" s="7"/>
      <c r="AL4" s="7"/>
      <c r="AM4" s="7"/>
      <c r="AN4" s="7"/>
      <c r="AO4" s="7"/>
      <c r="AP4" s="7"/>
      <c r="AQ4" s="7"/>
      <c r="AR4" s="136" t="s">
        <v>29</v>
      </c>
      <c r="AS4" s="137"/>
      <c r="AT4" s="137"/>
      <c r="AU4" s="7"/>
      <c r="AV4" s="7"/>
      <c r="AW4" s="7"/>
      <c r="AX4" s="7"/>
      <c r="AY4" s="7"/>
      <c r="AZ4" s="7"/>
      <c r="BA4" s="7"/>
      <c r="BB4" s="7"/>
      <c r="BC4" s="7"/>
      <c r="BD4" s="7"/>
      <c r="BE4" s="7"/>
      <c r="BF4" s="7"/>
      <c r="BG4" s="7"/>
      <c r="BH4" s="7"/>
      <c r="BI4" s="7"/>
      <c r="BJ4" s="7"/>
      <c r="BK4" s="7"/>
      <c r="BL4" s="7"/>
      <c r="BM4" s="7"/>
      <c r="BN4" s="7"/>
      <c r="BO4" s="7"/>
    </row>
    <row r="5" spans="1:67" ht="14.25">
      <c r="A5" s="5"/>
      <c r="B5" s="6" t="s">
        <v>27</v>
      </c>
      <c r="C5" s="6" t="s">
        <v>30</v>
      </c>
      <c r="D5" s="6" t="s">
        <v>31</v>
      </c>
      <c r="E5" s="6" t="s">
        <v>32</v>
      </c>
      <c r="F5" s="6" t="s">
        <v>12</v>
      </c>
      <c r="G5" s="6" t="s">
        <v>19</v>
      </c>
      <c r="L5" s="3"/>
      <c r="M5" s="3"/>
      <c r="N5" s="3"/>
      <c r="O5" s="3"/>
      <c r="P5" s="7"/>
      <c r="Q5" s="9" t="s">
        <v>33</v>
      </c>
      <c r="R5" s="11" t="e">
        <f>(COUNTIF(#REF!,"Requiere apoyo medio.")+COUNTIF(#REF!,"Requiere apoyo medio.")+COUNTIF(#REF!,"Requiere apoyo medio.")+COUNTIF(#REF!,"Requiere apoyo medio.")+COUNTIF(#REF!,"Requiere apoyo medio.")+COUNTIF(#REF!,"Requiere apoyo medio."))</f>
        <v>#REF!</v>
      </c>
      <c r="S5" s="7"/>
      <c r="T5" s="7"/>
      <c r="U5" s="7"/>
      <c r="V5" s="7"/>
      <c r="W5" s="7"/>
      <c r="X5" s="7"/>
      <c r="Y5" s="7"/>
      <c r="Z5" s="7"/>
      <c r="AA5" s="7"/>
      <c r="AB5" s="7"/>
      <c r="AC5" s="7"/>
      <c r="AD5" s="7"/>
      <c r="AE5" s="7"/>
      <c r="AF5" s="7"/>
      <c r="AG5" s="7"/>
      <c r="AH5" s="7"/>
      <c r="AI5" s="7"/>
      <c r="AJ5" s="7"/>
      <c r="AK5" s="7"/>
      <c r="AL5" s="7"/>
      <c r="AM5" s="7"/>
      <c r="AN5" s="7"/>
      <c r="AO5" s="7"/>
      <c r="AP5" s="7"/>
      <c r="AQ5" s="7"/>
      <c r="AR5" s="136" t="s">
        <v>34</v>
      </c>
      <c r="AS5" s="137"/>
      <c r="AT5" s="137"/>
      <c r="AU5" s="7"/>
      <c r="AV5" s="7"/>
      <c r="AW5" s="7"/>
      <c r="AX5" s="7"/>
      <c r="AY5" s="7"/>
      <c r="AZ5" s="7"/>
      <c r="BA5" s="7"/>
      <c r="BB5" s="7"/>
      <c r="BC5" s="7"/>
      <c r="BD5" s="7"/>
      <c r="BE5" s="7"/>
      <c r="BF5" s="7"/>
      <c r="BG5" s="7"/>
      <c r="BH5" s="7"/>
      <c r="BI5" s="7"/>
      <c r="BJ5" s="7"/>
      <c r="BK5" s="7"/>
      <c r="BL5" s="7"/>
      <c r="BM5" s="7"/>
      <c r="BN5" s="7"/>
      <c r="BO5" s="7"/>
    </row>
    <row r="6" spans="1:67" ht="14.25">
      <c r="A6" s="5"/>
      <c r="B6" s="6" t="s">
        <v>35</v>
      </c>
      <c r="C6" s="6" t="s">
        <v>31</v>
      </c>
      <c r="D6" s="1"/>
      <c r="E6" s="1"/>
      <c r="F6" s="6" t="s">
        <v>20</v>
      </c>
      <c r="G6" s="1"/>
      <c r="L6" s="3"/>
      <c r="M6" s="3"/>
      <c r="N6" s="3"/>
      <c r="O6" s="3"/>
      <c r="P6" s="7"/>
      <c r="Q6" s="9" t="s">
        <v>36</v>
      </c>
      <c r="R6" s="11" t="e">
        <f>COUNTIF(#REF!,"Requiere apoyo alto.")+COUNTIF(#REF!,"Requiere apoyo alto.")+COUNTIF(#REF!,"Requiere apoyo alto.")+COUNTIF(#REF!,"Requiere apoyo alto.")+COUNTIF(#REF!,"Requiere apoyo alto.")+COUNTIF(#REF!,"Requiere apoyo alto.")</f>
        <v>#REF!</v>
      </c>
      <c r="S6" s="7"/>
      <c r="T6" s="7"/>
      <c r="U6" s="7"/>
      <c r="V6" s="7"/>
      <c r="W6" s="7"/>
      <c r="X6" s="7"/>
      <c r="Y6" s="7"/>
      <c r="Z6" s="7"/>
      <c r="AA6" s="7"/>
      <c r="AB6" s="7"/>
      <c r="AC6" s="7"/>
      <c r="AD6" s="7"/>
      <c r="AE6" s="7"/>
      <c r="AF6" s="7"/>
      <c r="AG6" s="7"/>
      <c r="AH6" s="7"/>
      <c r="AI6" s="7"/>
      <c r="AJ6" s="7"/>
      <c r="AK6" s="7"/>
      <c r="AL6" s="7"/>
      <c r="AM6" s="7"/>
      <c r="AN6" s="7"/>
      <c r="AO6" s="7"/>
      <c r="AP6" s="7"/>
      <c r="AQ6" s="7"/>
      <c r="AR6" s="136" t="s">
        <v>37</v>
      </c>
      <c r="AS6" s="137"/>
      <c r="AT6" s="137"/>
      <c r="AU6" s="7"/>
      <c r="AV6" s="7"/>
      <c r="AW6" s="7"/>
      <c r="AX6" s="7"/>
      <c r="AY6" s="7"/>
      <c r="AZ6" s="7"/>
      <c r="BA6" s="7"/>
      <c r="BB6" s="7"/>
      <c r="BC6" s="7"/>
      <c r="BD6" s="7"/>
      <c r="BE6" s="7"/>
      <c r="BF6" s="7"/>
      <c r="BG6" s="7"/>
      <c r="BH6" s="7"/>
      <c r="BI6" s="7"/>
      <c r="BJ6" s="7"/>
      <c r="BK6" s="7"/>
      <c r="BL6" s="7"/>
      <c r="BM6" s="7"/>
      <c r="BN6" s="7"/>
      <c r="BO6" s="7"/>
    </row>
    <row r="7" spans="1:67" ht="14.25">
      <c r="A7" s="12"/>
      <c r="L7" s="3"/>
      <c r="M7" s="3"/>
      <c r="N7" s="3"/>
      <c r="O7" s="3"/>
      <c r="P7" s="7"/>
      <c r="Q7" s="13"/>
      <c r="R7" s="14"/>
      <c r="S7" s="7"/>
      <c r="T7" s="7"/>
      <c r="U7" s="7"/>
      <c r="V7" s="7"/>
      <c r="W7" s="7"/>
      <c r="X7" s="7"/>
      <c r="Y7" s="7"/>
      <c r="Z7" s="7"/>
      <c r="AA7" s="7"/>
      <c r="AB7" s="7"/>
      <c r="AC7" s="7"/>
      <c r="AD7" s="7"/>
      <c r="AE7" s="7"/>
      <c r="AF7" s="7"/>
      <c r="AG7" s="7"/>
      <c r="AH7" s="7"/>
      <c r="AI7" s="7"/>
      <c r="AJ7" s="7"/>
      <c r="AK7" s="7"/>
      <c r="AL7" s="7"/>
      <c r="AM7" s="7"/>
      <c r="AN7" s="7"/>
      <c r="AO7" s="7"/>
      <c r="AP7" s="7"/>
      <c r="AQ7" s="7"/>
      <c r="AR7" s="4"/>
      <c r="AS7" s="4"/>
      <c r="AT7" s="4"/>
      <c r="AU7" s="7"/>
      <c r="AV7" s="7"/>
      <c r="AW7" s="7"/>
      <c r="AX7" s="7"/>
      <c r="AY7" s="7"/>
      <c r="AZ7" s="7"/>
      <c r="BA7" s="7"/>
      <c r="BB7" s="7"/>
      <c r="BC7" s="7"/>
      <c r="BD7" s="7"/>
      <c r="BE7" s="7"/>
      <c r="BF7" s="7"/>
      <c r="BG7" s="7"/>
      <c r="BH7" s="7"/>
      <c r="BI7" s="7"/>
      <c r="BJ7" s="7"/>
      <c r="BK7" s="7"/>
      <c r="BL7" s="7"/>
      <c r="BM7" s="7"/>
      <c r="BN7" s="7"/>
      <c r="BO7" s="7"/>
    </row>
    <row r="8" spans="1:67" ht="12.75">
      <c r="A8" s="12"/>
      <c r="L8" s="3"/>
      <c r="M8" s="3"/>
      <c r="N8" s="3"/>
      <c r="O8" s="3"/>
      <c r="P8" s="7"/>
      <c r="Q8" s="7"/>
      <c r="R8" s="7"/>
      <c r="S8" s="7"/>
      <c r="T8" s="7"/>
      <c r="U8" s="7"/>
      <c r="V8" s="7"/>
      <c r="W8" s="7"/>
      <c r="X8" s="7"/>
      <c r="Y8" s="7"/>
      <c r="Z8" s="7"/>
      <c r="AA8" s="7"/>
      <c r="AB8" s="7"/>
      <c r="AC8" s="7"/>
      <c r="AD8" s="7"/>
      <c r="AE8" s="7"/>
      <c r="AF8" s="7"/>
      <c r="AG8" s="7"/>
      <c r="AH8" s="7"/>
      <c r="AI8" s="7"/>
      <c r="AJ8" s="7"/>
      <c r="AK8" s="7"/>
      <c r="AL8" s="7"/>
      <c r="AM8" s="7"/>
      <c r="AN8" s="7"/>
      <c r="AO8" s="7"/>
      <c r="AP8" s="7"/>
      <c r="AQ8" s="7"/>
      <c r="AR8" s="4"/>
      <c r="AS8" s="4"/>
      <c r="AT8" s="4"/>
      <c r="AU8" s="7"/>
      <c r="AV8" s="7"/>
      <c r="AW8" s="7"/>
      <c r="AX8" s="7"/>
      <c r="AY8" s="7"/>
      <c r="AZ8" s="7"/>
      <c r="BA8" s="7"/>
      <c r="BB8" s="7"/>
      <c r="BC8" s="7"/>
      <c r="BD8" s="7"/>
      <c r="BE8" s="7"/>
      <c r="BF8" s="7"/>
      <c r="BG8" s="7"/>
      <c r="BH8" s="7"/>
      <c r="BI8" s="7"/>
      <c r="BJ8" s="7"/>
      <c r="BK8" s="7"/>
      <c r="BL8" s="7"/>
      <c r="BM8" s="7"/>
      <c r="BN8" s="7"/>
      <c r="BO8" s="7"/>
    </row>
    <row r="9" spans="1:67" ht="12.75">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row>
    <row r="10" spans="1:67" ht="114.75">
      <c r="A10" s="1" t="s">
        <v>38</v>
      </c>
      <c r="B10" s="1" t="s">
        <v>39</v>
      </c>
      <c r="D10" s="15" t="s">
        <v>40</v>
      </c>
      <c r="E10" s="16" t="s">
        <v>41</v>
      </c>
      <c r="F10" s="16" t="s">
        <v>42</v>
      </c>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row>
    <row r="11" spans="1:67" ht="61.5" customHeight="1">
      <c r="A11" s="1" t="s">
        <v>43</v>
      </c>
      <c r="B11" s="1"/>
      <c r="D11" s="17" t="s">
        <v>44</v>
      </c>
      <c r="E11" s="16" t="s">
        <v>45</v>
      </c>
      <c r="F11" s="16" t="s">
        <v>46</v>
      </c>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row>
    <row r="12" spans="1:67" ht="74.25" customHeight="1">
      <c r="A12" s="1" t="s">
        <v>47</v>
      </c>
      <c r="B12" s="1"/>
      <c r="D12" s="18" t="s">
        <v>48</v>
      </c>
      <c r="E12" s="16" t="s">
        <v>49</v>
      </c>
      <c r="F12" s="16" t="s">
        <v>50</v>
      </c>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row>
    <row r="13" spans="1:67" ht="73.5" customHeight="1">
      <c r="A13" s="1" t="s">
        <v>51</v>
      </c>
      <c r="B13" s="1"/>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row>
    <row r="14" spans="1:67" ht="71.25" customHeight="1">
      <c r="A14" s="1" t="s">
        <v>52</v>
      </c>
      <c r="B14" s="1"/>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row>
    <row r="15" spans="1:67" ht="87.75" customHeight="1">
      <c r="A15" s="1" t="s">
        <v>53</v>
      </c>
      <c r="B15" s="1"/>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row>
    <row r="16" spans="1:67" ht="50.25" customHeight="1">
      <c r="A16" s="1" t="s">
        <v>54</v>
      </c>
      <c r="B16" s="1"/>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row>
    <row r="17" spans="1:67" ht="69.75" customHeight="1">
      <c r="A17" s="1" t="s">
        <v>55</v>
      </c>
      <c r="B17" s="1"/>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row>
    <row r="18" spans="1:67" ht="57" customHeight="1">
      <c r="A18" s="1" t="s">
        <v>56</v>
      </c>
      <c r="B18" s="1"/>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row>
    <row r="19" spans="1:67" ht="27.75" customHeight="1">
      <c r="A19" s="1" t="s">
        <v>57</v>
      </c>
      <c r="B19" s="1"/>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row>
    <row r="20" spans="1:67" ht="27.75" customHeight="1">
      <c r="A20" s="1" t="s">
        <v>58</v>
      </c>
      <c r="B20" s="1"/>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row>
    <row r="21" spans="1:67" ht="31.5" customHeight="1">
      <c r="A21" s="1" t="s">
        <v>59</v>
      </c>
      <c r="B21" s="1"/>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row>
    <row r="22" spans="1:67" ht="42.75" customHeight="1">
      <c r="A22" s="1" t="s">
        <v>60</v>
      </c>
      <c r="B22" s="1"/>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row>
    <row r="23" spans="1:67" ht="62.25" customHeight="1">
      <c r="A23" s="1" t="s">
        <v>61</v>
      </c>
      <c r="B23" s="1"/>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row>
    <row r="24" spans="1:67" ht="105" customHeight="1">
      <c r="A24" s="1" t="s">
        <v>62</v>
      </c>
      <c r="B24" s="1"/>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row>
    <row r="25" spans="1:67" ht="93.75" customHeight="1">
      <c r="A25" s="1" t="s">
        <v>63</v>
      </c>
      <c r="B25" s="1"/>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row>
    <row r="26" spans="1:67" ht="99" customHeight="1">
      <c r="A26" s="1" t="s">
        <v>64</v>
      </c>
      <c r="B26" s="1"/>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row>
    <row r="27" spans="1:67" ht="86.25" customHeight="1">
      <c r="A27" s="1" t="s">
        <v>65</v>
      </c>
      <c r="B27" s="1"/>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row>
    <row r="28" spans="1:67" ht="118.5" customHeight="1">
      <c r="A28" s="1" t="s">
        <v>66</v>
      </c>
      <c r="B28" s="1"/>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row>
    <row r="29" spans="1:67" ht="92.25" customHeight="1">
      <c r="A29" s="1" t="s">
        <v>67</v>
      </c>
      <c r="B29" s="1"/>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row>
    <row r="30" spans="1:67" ht="63" customHeight="1">
      <c r="A30" s="1" t="s">
        <v>68</v>
      </c>
      <c r="B30" s="1"/>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row>
    <row r="31" spans="1:67" ht="74.25" customHeight="1">
      <c r="A31" s="1" t="s">
        <v>69</v>
      </c>
      <c r="B31" s="1"/>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row>
    <row r="32" spans="1:67" ht="69.75" customHeight="1">
      <c r="A32" s="1" t="s">
        <v>70</v>
      </c>
      <c r="B32" s="1"/>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row>
    <row r="33" spans="1:67" ht="93" customHeight="1">
      <c r="A33" s="1" t="s">
        <v>71</v>
      </c>
      <c r="B33" s="1"/>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row>
    <row r="34" spans="1:67" ht="69.75" customHeight="1">
      <c r="A34" s="1" t="s">
        <v>72</v>
      </c>
      <c r="B34" s="1"/>
    </row>
    <row r="35" spans="1:67" ht="76.5" customHeight="1">
      <c r="A35" s="1" t="s">
        <v>73</v>
      </c>
      <c r="B35" s="1"/>
    </row>
    <row r="36" spans="1:67" ht="81" customHeight="1">
      <c r="A36" s="1" t="s">
        <v>74</v>
      </c>
      <c r="B36" s="1"/>
    </row>
    <row r="37" spans="1:67" ht="96" customHeight="1">
      <c r="A37" s="1" t="s">
        <v>75</v>
      </c>
      <c r="B37" s="19"/>
      <c r="C37" s="20"/>
      <c r="D37" s="20"/>
      <c r="E37" s="20"/>
      <c r="F37" s="20"/>
    </row>
    <row r="38" spans="1:67" ht="72.75" customHeight="1">
      <c r="A38" s="19" t="s">
        <v>76</v>
      </c>
      <c r="B38" s="19"/>
      <c r="C38" s="20"/>
      <c r="D38" s="20"/>
      <c r="E38" s="20"/>
      <c r="F38" s="21"/>
    </row>
    <row r="39" spans="1:67" ht="81.75" customHeight="1">
      <c r="A39" s="19" t="s">
        <v>77</v>
      </c>
      <c r="B39" s="22"/>
      <c r="C39" s="23"/>
      <c r="D39" s="23"/>
      <c r="E39" s="23"/>
      <c r="F39" s="23"/>
    </row>
    <row r="40" spans="1:67" ht="75.75" customHeight="1">
      <c r="A40" s="24" t="s">
        <v>78</v>
      </c>
      <c r="B40" s="22"/>
      <c r="C40" s="23"/>
      <c r="D40" s="23"/>
      <c r="E40" s="23"/>
      <c r="F40" s="23"/>
    </row>
    <row r="41" spans="1:67" ht="60" customHeight="1">
      <c r="A41" s="24" t="s">
        <v>79</v>
      </c>
      <c r="B41" s="22"/>
      <c r="C41" s="23"/>
      <c r="D41" s="23"/>
      <c r="E41" s="23"/>
      <c r="F41" s="23"/>
    </row>
    <row r="42" spans="1:67" ht="63.75" customHeight="1">
      <c r="A42" s="24" t="s">
        <v>80</v>
      </c>
      <c r="B42" s="22"/>
      <c r="C42" s="23"/>
      <c r="D42" s="23"/>
      <c r="E42" s="23"/>
      <c r="F42" s="23"/>
    </row>
    <row r="43" spans="1:67" ht="83.25" customHeight="1">
      <c r="A43" s="25" t="s">
        <v>81</v>
      </c>
      <c r="B43" s="22"/>
      <c r="C43" s="23"/>
      <c r="D43" s="23"/>
      <c r="E43" s="23"/>
      <c r="F43" s="23"/>
    </row>
    <row r="44" spans="1:67" ht="65.25" customHeight="1">
      <c r="A44" s="24" t="s">
        <v>82</v>
      </c>
      <c r="B44" s="22"/>
      <c r="C44" s="23"/>
      <c r="D44" s="23"/>
      <c r="E44" s="23"/>
      <c r="F44" s="23"/>
    </row>
    <row r="45" spans="1:67" ht="104.25" customHeight="1">
      <c r="A45" s="24" t="s">
        <v>83</v>
      </c>
      <c r="B45" s="22"/>
      <c r="C45" s="23"/>
      <c r="D45" s="23"/>
      <c r="E45" s="23"/>
      <c r="F45" s="23"/>
    </row>
    <row r="46" spans="1:67" ht="93" customHeight="1">
      <c r="A46" s="24" t="s">
        <v>84</v>
      </c>
      <c r="B46" s="22"/>
      <c r="C46" s="23"/>
      <c r="D46" s="23"/>
      <c r="E46" s="23"/>
      <c r="F46" s="23"/>
    </row>
    <row r="47" spans="1:67" ht="63" customHeight="1">
      <c r="A47" s="24" t="s">
        <v>85</v>
      </c>
      <c r="B47" s="22"/>
      <c r="C47" s="23"/>
      <c r="D47" s="23"/>
      <c r="E47" s="23"/>
      <c r="F47" s="23"/>
    </row>
    <row r="48" spans="1:67" ht="53.25" customHeight="1">
      <c r="A48" s="24" t="s">
        <v>86</v>
      </c>
      <c r="B48" s="22"/>
      <c r="C48" s="23"/>
      <c r="D48" s="23"/>
      <c r="E48" s="23"/>
      <c r="F48" s="23"/>
    </row>
    <row r="49" spans="1:6" ht="132" customHeight="1">
      <c r="A49" s="24" t="s">
        <v>87</v>
      </c>
      <c r="B49" s="22"/>
      <c r="C49" s="23"/>
      <c r="D49" s="23"/>
      <c r="E49" s="23"/>
      <c r="F49" s="23"/>
    </row>
    <row r="51" spans="1:6" ht="14.25">
      <c r="A51" s="26" t="s">
        <v>88</v>
      </c>
      <c r="B51" s="26" t="s">
        <v>89</v>
      </c>
    </row>
    <row r="52" spans="1:6" ht="306">
      <c r="A52" s="27" t="s">
        <v>90</v>
      </c>
      <c r="B52" s="28" t="s">
        <v>91</v>
      </c>
    </row>
    <row r="53" spans="1:6" ht="242.25">
      <c r="A53" s="27" t="s">
        <v>92</v>
      </c>
      <c r="B53" s="28" t="s">
        <v>93</v>
      </c>
    </row>
    <row r="54" spans="1:6" ht="395.25">
      <c r="A54" s="27" t="s">
        <v>94</v>
      </c>
      <c r="B54" s="28" t="s">
        <v>95</v>
      </c>
    </row>
    <row r="55" spans="1:6" ht="306">
      <c r="A55" s="27" t="s">
        <v>96</v>
      </c>
      <c r="B55" s="28" t="s">
        <v>97</v>
      </c>
    </row>
    <row r="56" spans="1:6" ht="409.5">
      <c r="A56" s="29" t="s">
        <v>98</v>
      </c>
      <c r="B56" s="28" t="s">
        <v>99</v>
      </c>
    </row>
    <row r="57" spans="1:6" ht="409.5">
      <c r="A57" s="30" t="s">
        <v>100</v>
      </c>
      <c r="B57" s="28" t="s">
        <v>101</v>
      </c>
    </row>
    <row r="58" spans="1:6" ht="331.5">
      <c r="A58" s="27" t="s">
        <v>102</v>
      </c>
      <c r="B58" s="28" t="s">
        <v>103</v>
      </c>
    </row>
    <row r="59" spans="1:6" ht="178.5">
      <c r="A59" s="27" t="s">
        <v>104</v>
      </c>
      <c r="B59" s="28" t="s">
        <v>105</v>
      </c>
    </row>
    <row r="60" spans="1:6" ht="357">
      <c r="A60" s="27" t="s">
        <v>106</v>
      </c>
      <c r="B60" s="28" t="s">
        <v>107</v>
      </c>
    </row>
    <row r="61" spans="1:6" ht="273.75" customHeight="1">
      <c r="A61" s="31" t="s">
        <v>108</v>
      </c>
      <c r="B61" s="32" t="s">
        <v>109</v>
      </c>
    </row>
    <row r="62" spans="1:6" ht="147.75" customHeight="1">
      <c r="A62" s="31" t="s">
        <v>110</v>
      </c>
      <c r="B62" s="33" t="s">
        <v>111</v>
      </c>
    </row>
    <row r="63" spans="1:6" ht="161.25" customHeight="1">
      <c r="A63" s="31" t="s">
        <v>112</v>
      </c>
      <c r="B63" s="33" t="s">
        <v>113</v>
      </c>
    </row>
    <row r="64" spans="1:6" ht="166.5" customHeight="1">
      <c r="A64" s="31" t="s">
        <v>114</v>
      </c>
      <c r="B64" s="33" t="s">
        <v>115</v>
      </c>
    </row>
    <row r="65" spans="1:4" ht="166.5" customHeight="1">
      <c r="A65" s="31" t="s">
        <v>116</v>
      </c>
      <c r="B65" s="33" t="s">
        <v>117</v>
      </c>
    </row>
    <row r="66" spans="1:4" ht="166.5" customHeight="1">
      <c r="A66" s="31" t="s">
        <v>118</v>
      </c>
      <c r="B66" s="33" t="s">
        <v>119</v>
      </c>
    </row>
    <row r="67" spans="1:4" ht="166.5" customHeight="1">
      <c r="A67" s="31" t="s">
        <v>120</v>
      </c>
      <c r="B67" s="33" t="s">
        <v>121</v>
      </c>
    </row>
    <row r="68" spans="1:4" ht="166.5" customHeight="1">
      <c r="A68" s="31" t="s">
        <v>122</v>
      </c>
      <c r="B68" s="32" t="s">
        <v>123</v>
      </c>
    </row>
    <row r="69" spans="1:4" ht="166.5" customHeight="1">
      <c r="A69" s="31" t="s">
        <v>124</v>
      </c>
      <c r="B69" s="32" t="s">
        <v>125</v>
      </c>
    </row>
    <row r="70" spans="1:4" ht="166.5" customHeight="1">
      <c r="A70" s="31" t="s">
        <v>126</v>
      </c>
      <c r="B70" s="32" t="s">
        <v>127</v>
      </c>
    </row>
    <row r="71" spans="1:4" ht="166.5" customHeight="1">
      <c r="A71" s="31" t="s">
        <v>128</v>
      </c>
      <c r="B71" s="32" t="s">
        <v>129</v>
      </c>
    </row>
    <row r="72" spans="1:4" ht="166.5" customHeight="1">
      <c r="A72" s="31" t="s">
        <v>130</v>
      </c>
      <c r="B72" s="32" t="s">
        <v>131</v>
      </c>
    </row>
    <row r="73" spans="1:4" ht="166.5" customHeight="1">
      <c r="A73" s="31" t="s">
        <v>132</v>
      </c>
      <c r="B73" s="32" t="s">
        <v>133</v>
      </c>
    </row>
    <row r="75" spans="1:4" ht="14.25">
      <c r="A75" s="34" t="s">
        <v>134</v>
      </c>
      <c r="B75" s="138" t="s">
        <v>135</v>
      </c>
      <c r="C75" s="139"/>
      <c r="D75" s="140"/>
    </row>
    <row r="76" spans="1:4" ht="25.5">
      <c r="A76" s="35" t="s">
        <v>136</v>
      </c>
      <c r="B76" s="138" t="s">
        <v>137</v>
      </c>
      <c r="C76" s="139"/>
      <c r="D76" s="140"/>
    </row>
    <row r="77" spans="1:4" ht="12.75">
      <c r="A77" s="36" t="s">
        <v>138</v>
      </c>
      <c r="B77" s="138" t="s">
        <v>139</v>
      </c>
      <c r="C77" s="139"/>
      <c r="D77" s="140"/>
    </row>
    <row r="82" spans="1:5" ht="17.25">
      <c r="A82" s="3" t="str">
        <f ca="1">IFERROR(__xludf.DUMMYFUNCTION("IMPORTRANGE(""https://docs.google.com/spreadsheets/d/1OG8OlozND839R5savNsWzeivYu4QVdLazlWgivjPDhA"",""BD!$A$2:$A$5000"")")," BAKER MCKENZIE")</f>
        <v xml:space="preserve"> BAKER MCKENZIE</v>
      </c>
      <c r="B82" s="37"/>
      <c r="D82" s="38"/>
    </row>
    <row r="83" spans="1:5" ht="12.75">
      <c r="A83" s="3" t="str">
        <f ca="1">IFERROR(__xludf.DUMMYFUNCTION("""COMPUTED_VALUE"""),"JJ INSTALACIONES ELÉCTRICAS SAS")</f>
        <v>JJ INSTALACIONES ELÉCTRICAS SAS</v>
      </c>
    </row>
    <row r="84" spans="1:5" ht="12.75">
      <c r="A84" s="3" t="str">
        <f ca="1">IFERROR(__xludf.DUMMYFUNCTION("""COMPUTED_VALUE"""),"KPMG S.A.S")</f>
        <v>KPMG S.A.S</v>
      </c>
    </row>
    <row r="85" spans="1:5" ht="12.75">
      <c r="A85" s="3" t="str">
        <f ca="1">IFERROR(__xludf.DUMMYFUNCTION("""COMPUTED_VALUE"""),"CONSORCIO GESTION INCOFEM 3")</f>
        <v>CONSORCIO GESTION INCOFEM 3</v>
      </c>
    </row>
    <row r="86" spans="1:5" ht="12.75">
      <c r="A86" s="3" t="str">
        <f ca="1">IFERROR(__xludf.DUMMYFUNCTION("""COMPUTED_VALUE"""),"UNION TEMPORAL GESTORES - ALIANZA EDUCATIVA")</f>
        <v>UNION TEMPORAL GESTORES - ALIANZA EDUCATIVA</v>
      </c>
    </row>
    <row r="87" spans="1:5" ht="12.75">
      <c r="A87" s="3" t="str">
        <f ca="1">IFERROR(__xludf.DUMMYFUNCTION("""COMPUTED_VALUE"""),"BANCO DE BOGOTA")</f>
        <v>BANCO DE BOGOTA</v>
      </c>
    </row>
    <row r="88" spans="1:5" ht="12.75">
      <c r="A88" s="3" t="str">
        <f ca="1">IFERROR(__xludf.DUMMYFUNCTION("""COMPUTED_VALUE"""),"NESTLE PURINA PET CARE DE COLOMBIA S.A.")</f>
        <v>NESTLE PURINA PET CARE DE COLOMBIA S.A.</v>
      </c>
    </row>
    <row r="89" spans="1:5" ht="12.75">
      <c r="A89" s="3" t="str">
        <f ca="1">IFERROR(__xludf.DUMMYFUNCTION("""COMPUTED_VALUE"""),"VGMOBILITY SERVICES SAS")</f>
        <v>VGMOBILITY SERVICES SAS</v>
      </c>
      <c r="E89" s="3" t="s">
        <v>140</v>
      </c>
    </row>
    <row r="90" spans="1:5" ht="12.75">
      <c r="A90" s="3" t="str">
        <f ca="1">IFERROR(__xludf.DUMMYFUNCTION("""COMPUTED_VALUE"""),"INVERFARMA SAS")</f>
        <v>INVERFARMA SAS</v>
      </c>
    </row>
    <row r="91" spans="1:5" ht="12.75">
      <c r="A91" s="3" t="str">
        <f ca="1">IFERROR(__xludf.DUMMYFUNCTION("""COMPUTED_VALUE"""),"AGENCIA DE VIAJES Y TURISMO CIELOS ABIERTOS LTDA")</f>
        <v>AGENCIA DE VIAJES Y TURISMO CIELOS ABIERTOS LTDA</v>
      </c>
    </row>
    <row r="92" spans="1:5" ht="12.75">
      <c r="A92" s="3" t="str">
        <f ca="1">IFERROR(__xludf.DUMMYFUNCTION("""COMPUTED_VALUE"""),"BLUSH BAR S.A.S")</f>
        <v>BLUSH BAR S.A.S</v>
      </c>
    </row>
    <row r="93" spans="1:5" ht="12.75">
      <c r="A93" s="3" t="str">
        <f ca="1">IFERROR(__xludf.DUMMYFUNCTION("""COMPUTED_VALUE"""),"OCTOPUS TRAVEL LTDA")</f>
        <v>OCTOPUS TRAVEL LTDA</v>
      </c>
    </row>
    <row r="94" spans="1:5" ht="12.75">
      <c r="A94" s="3" t="str">
        <f ca="1">IFERROR(__xludf.DUMMYFUNCTION("""COMPUTED_VALUE""")," OPERADORA DE HOTELES AVIA SAS")</f>
        <v xml:space="preserve"> OPERADORA DE HOTELES AVIA SAS</v>
      </c>
    </row>
    <row r="95" spans="1:5" ht="12.75">
      <c r="A95" s="3" t="str">
        <f ca="1">IFERROR(__xludf.DUMMYFUNCTION("""COMPUTED_VALUE"""),"QUIRÓN PREVENCIÓN COLOMBIA")</f>
        <v>QUIRÓN PREVENCIÓN COLOMBIA</v>
      </c>
    </row>
    <row r="96" spans="1:5" ht="12.75">
      <c r="A96" s="3" t="str">
        <f ca="1">IFERROR(__xludf.DUMMYFUNCTION("""COMPUTED_VALUE"""),"OSPINAS Y CIA S.A")</f>
        <v>OSPINAS Y CIA S.A</v>
      </c>
    </row>
    <row r="97" spans="1:1" ht="12.75">
      <c r="A97" s="3" t="str">
        <f ca="1">IFERROR(__xludf.DUMMYFUNCTION("""COMPUTED_VALUE"""),"AZTECA COMUNICACIONES COLOMBIA S A S")</f>
        <v>AZTECA COMUNICACIONES COLOMBIA S A S</v>
      </c>
    </row>
    <row r="98" spans="1:1" ht="12.75">
      <c r="A98" s="3" t="str">
        <f ca="1">IFERROR(__xludf.DUMMYFUNCTION("""COMPUTED_VALUE"""),"MMS COMUNICACIONES COLOMBIA S.A.S.")</f>
        <v>MMS COMUNICACIONES COLOMBIA S.A.S.</v>
      </c>
    </row>
    <row r="99" spans="1:1" ht="12.75">
      <c r="A99" s="3" t="str">
        <f ca="1">IFERROR(__xludf.DUMMYFUNCTION("""COMPUTED_VALUE"""),"
SERVICE LOGISTIC")</f>
        <v xml:space="preserve">
SERVICE LOGISTIC</v>
      </c>
    </row>
    <row r="100" spans="1:1" ht="12.75">
      <c r="A100" s="3" t="str">
        <f ca="1">IFERROR(__xludf.DUMMYFUNCTION("""COMPUTED_VALUE"""),"TRANSPORTADORA DE VALORES ATLAS. LTDA")</f>
        <v>TRANSPORTADORA DE VALORES ATLAS. LTDA</v>
      </c>
    </row>
    <row r="101" spans="1:1" ht="12.75">
      <c r="A101" s="3" t="str">
        <f ca="1">IFERROR(__xludf.DUMMYFUNCTION("""COMPUTED_VALUE"""),"COMBUSTIBLES DE COLOMBIA")</f>
        <v>COMBUSTIBLES DE COLOMBIA</v>
      </c>
    </row>
    <row r="102" spans="1:1" ht="12.75">
      <c r="A102" s="3" t="str">
        <f ca="1">IFERROR(__xludf.DUMMYFUNCTION("""COMPUTED_VALUE"""),"INTERACTIVO CONTACT CENTER")</f>
        <v>INTERACTIVO CONTACT CENTER</v>
      </c>
    </row>
    <row r="103" spans="1:1" ht="12.75">
      <c r="A103" s="3" t="str">
        <f ca="1">IFERROR(__xludf.DUMMYFUNCTION("""COMPUTED_VALUE"""),"
CLETUS CATERING COLOMBIA S A S")</f>
        <v xml:space="preserve">
CLETUS CATERING COLOMBIA S A S</v>
      </c>
    </row>
    <row r="104" spans="1:1" ht="12.75">
      <c r="A104" s="3" t="str">
        <f ca="1">IFERROR(__xludf.DUMMYFUNCTION("""COMPUTED_VALUE"""),"FRISBY S.A. BIC ")</f>
        <v xml:space="preserve">FRISBY S.A. BIC </v>
      </c>
    </row>
    <row r="105" spans="1:1" ht="12.75">
      <c r="A105" s="3" t="str">
        <f ca="1">IFERROR(__xludf.DUMMYFUNCTION("""COMPUTED_VALUE"""),"VOLVO GROUP COLOMBIA SAS")</f>
        <v>VOLVO GROUP COLOMBIA SAS</v>
      </c>
    </row>
    <row r="106" spans="1:1" ht="12.75">
      <c r="A106" s="3" t="str">
        <f ca="1">IFERROR(__xludf.DUMMYFUNCTION("""COMPUTED_VALUE"""),"SUNCOLOMBIA SAS")</f>
        <v>SUNCOLOMBIA SAS</v>
      </c>
    </row>
    <row r="107" spans="1:1" ht="12.75">
      <c r="A107" s="3" t="str">
        <f ca="1">IFERROR(__xludf.DUMMYFUNCTION("""COMPUTED_VALUE"""),"BRAVOAUTO SAS")</f>
        <v>BRAVOAUTO SAS</v>
      </c>
    </row>
    <row r="108" spans="1:1" ht="12.75">
      <c r="A108" s="3" t="str">
        <f ca="1">IFERROR(__xludf.DUMMYFUNCTION("""COMPUTED_VALUE"""),"PRACODIDACOL SAS")</f>
        <v>PRACODIDACOL SAS</v>
      </c>
    </row>
    <row r="109" spans="1:1" ht="12.75">
      <c r="A109" s="3" t="str">
        <f ca="1">IFERROR(__xludf.DUMMYFUNCTION("""COMPUTED_VALUE"""),"COMESTIBLES RICOS S.A.S")</f>
        <v>COMESTIBLES RICOS S.A.S</v>
      </c>
    </row>
    <row r="110" spans="1:1" ht="12.75">
      <c r="A110" s="3" t="str">
        <f ca="1">IFERROR(__xludf.DUMMYFUNCTION("""COMPUTED_VALUE"""),"COMWARE")</f>
        <v>COMWARE</v>
      </c>
    </row>
    <row r="111" spans="1:1" ht="12.75">
      <c r="A111" s="3" t="str">
        <f ca="1">IFERROR(__xludf.DUMMYFUNCTION("""COMPUTED_VALUE"""),"FUNDACION LOS PISINGOS")</f>
        <v>FUNDACION LOS PISINGOS</v>
      </c>
    </row>
    <row r="112" spans="1:1" ht="12.75">
      <c r="A112" s="3" t="str">
        <f ca="1">IFERROR(__xludf.DUMMYFUNCTION("""COMPUTED_VALUE"""),"COMERCIALIZADORA INTERNACIONAL FLORES DE APOSENTOS")</f>
        <v>COMERCIALIZADORA INTERNACIONAL FLORES DE APOSENTOS</v>
      </c>
    </row>
    <row r="113" spans="1:1" ht="12.75">
      <c r="A113" s="3" t="str">
        <f ca="1">IFERROR(__xludf.DUMMYFUNCTION("""COMPUTED_VALUE"""),"UNIVERSIDAD EAN")</f>
        <v>UNIVERSIDAD EAN</v>
      </c>
    </row>
    <row r="114" spans="1:1" ht="12.75">
      <c r="A114" s="3" t="str">
        <f ca="1">IFERROR(__xludf.DUMMYFUNCTION("""COMPUTED_VALUE"""),"INCHCAPE GLOBAL BUSINESS SERVICES SAS")</f>
        <v>INCHCAPE GLOBAL BUSINESS SERVICES SAS</v>
      </c>
    </row>
    <row r="115" spans="1:1" ht="12.75">
      <c r="A115" s="3" t="str">
        <f ca="1">IFERROR(__xludf.DUMMYFUNCTION("""COMPUTED_VALUE"""),"INCHCAPE DIGITAL DELIVERY CENTER COLOMBIA")</f>
        <v>INCHCAPE DIGITAL DELIVERY CENTER COLOMBIA</v>
      </c>
    </row>
    <row r="116" spans="1:1" ht="12.75">
      <c r="A116" s="3" t="str">
        <f ca="1">IFERROR(__xludf.DUMMYFUNCTION("""COMPUTED_VALUE"""),"DERCO AGENCIA DE SEGUROS LTDA")</f>
        <v>DERCO AGENCIA DE SEGUROS LTDA</v>
      </c>
    </row>
    <row r="117" spans="1:1" ht="12.75">
      <c r="A117" s="3" t="str">
        <f ca="1">IFERROR(__xludf.DUMMYFUNCTION("""COMPUTED_VALUE"""),"INMOBILIARIA INCHCAPE COLOMBIA SAS")</f>
        <v>INMOBILIARIA INCHCAPE COLOMBIA SAS</v>
      </c>
    </row>
    <row r="118" spans="1:1" ht="12.75">
      <c r="A118" s="3" t="str">
        <f ca="1">IFERROR(__xludf.DUMMYFUNCTION("""COMPUTED_VALUE"""),"MATRASE SAS")</f>
        <v>MATRASE SAS</v>
      </c>
    </row>
    <row r="119" spans="1:1" ht="12.75">
      <c r="A119" s="3" t="str">
        <f ca="1">IFERROR(__xludf.DUMMYFUNCTION("""COMPUTED_VALUE"""),"DISTRIBUIDORA HINO DE COLOMBIA SAS")</f>
        <v>DISTRIBUIDORA HINO DE COLOMBIA SAS</v>
      </c>
    </row>
    <row r="120" spans="1:1" ht="12.75">
      <c r="A120" s="3" t="str">
        <f ca="1">IFERROR(__xludf.DUMMYFUNCTION("""COMPUTED_VALUE"""),"DERCO COLOMBIA SAS")</f>
        <v>DERCO COLOMBIA SAS</v>
      </c>
    </row>
    <row r="121" spans="1:1" ht="12.75">
      <c r="A121" s="3" t="str">
        <f ca="1">IFERROR(__xludf.DUMMYFUNCTION("""COMPUTED_VALUE"""),"CPS INFRAESTRUCTURAS COLOMBIA SAS")</f>
        <v>CPS INFRAESTRUCTURAS COLOMBIA SAS</v>
      </c>
    </row>
    <row r="122" spans="1:1" ht="12.75">
      <c r="A122" s="3" t="str">
        <f ca="1">IFERROR(__xludf.DUMMYFUNCTION("""COMPUTED_VALUE"""),"CPS INFRAESTRUCTURAS MOVILIDAD Y MEDIO AMBIENTE SL SUCURSAL COLOMBIA")</f>
        <v>CPS INFRAESTRUCTURAS MOVILIDAD Y MEDIO AMBIENTE SL SUCURSAL COLOMBIA</v>
      </c>
    </row>
    <row r="123" spans="1:1" ht="12.75">
      <c r="A123" s="3" t="str">
        <f ca="1">IFERROR(__xludf.DUMMYFUNCTION("""COMPUTED_VALUE"""),"MASSER S.A.S")</f>
        <v>MASSER S.A.S</v>
      </c>
    </row>
    <row r="124" spans="1:1" ht="12.75">
      <c r="A124" s="3" t="str">
        <f ca="1">IFERROR(__xludf.DUMMYFUNCTION("""COMPUTED_VALUE"""),"MASSER S.A.S - TDC Compostela")</f>
        <v>MASSER S.A.S - TDC Compostela</v>
      </c>
    </row>
    <row r="125" spans="1:1" ht="12.75">
      <c r="A125" s="3" t="str">
        <f ca="1">IFERROR(__xludf.DUMMYFUNCTION("""COMPUTED_VALUE"""),"INCODEPF S.A")</f>
        <v>INCODEPF S.A</v>
      </c>
    </row>
    <row r="126" spans="1:1" ht="12.75">
      <c r="A126" s="3" t="str">
        <f ca="1">IFERROR(__xludf.DUMMYFUNCTION("""COMPUTED_VALUE"""),"DISMAFUSA")</f>
        <v>DISMAFUSA</v>
      </c>
    </row>
    <row r="127" spans="1:1" ht="12.75">
      <c r="A127" s="3" t="str">
        <f ca="1">IFERROR(__xludf.DUMMYFUNCTION("""COMPUTED_VALUE"""),"JARDINES DEL RENACER")</f>
        <v>JARDINES DEL RENACER</v>
      </c>
    </row>
    <row r="128" spans="1:1" ht="12.75">
      <c r="A128" s="3" t="str">
        <f ca="1">IFERROR(__xludf.DUMMYFUNCTION("""COMPUTED_VALUE"""),"        
SUPERTIENDAS Y DROGUERÍAS OLIMPICA")</f>
        <v xml:space="preserve">        
SUPERTIENDAS Y DROGUERÍAS OLIMPICA</v>
      </c>
    </row>
    <row r="129" spans="1:1" ht="12.75">
      <c r="A129" s="3" t="str">
        <f ca="1">IFERROR(__xludf.DUMMYFUNCTION("""COMPUTED_VALUE"""),"        
TF AUDITORES Y ASESORES SAS BIC")</f>
        <v xml:space="preserve">        
TF AUDITORES Y ASESORES SAS BIC</v>
      </c>
    </row>
    <row r="130" spans="1:1" ht="12.75">
      <c r="A130" s="3" t="str">
        <f ca="1">IFERROR(__xludf.DUMMYFUNCTION("""COMPUTED_VALUE"""),"
GEOCOL CONSULTORES SA 
")</f>
        <v xml:space="preserve">
GEOCOL CONSULTORES SA 
</v>
      </c>
    </row>
    <row r="131" spans="1:1" ht="12.75">
      <c r="A131" s="3" t="str">
        <f ca="1">IFERROR(__xludf.DUMMYFUNCTION("""COMPUTED_VALUE"""),"TGT GAMAS S.A.S")</f>
        <v>TGT GAMAS S.A.S</v>
      </c>
    </row>
    <row r="132" spans="1:1" ht="12.75">
      <c r="A132" s="3" t="str">
        <f ca="1">IFERROR(__xludf.DUMMYFUNCTION("""COMPUTED_VALUE"""),"CERES BOGOTÁ SAS")</f>
        <v>CERES BOGOTÁ SAS</v>
      </c>
    </row>
    <row r="133" spans="1:1" ht="12.75">
      <c r="A133" s="3" t="str">
        <f ca="1">IFERROR(__xludf.DUMMYFUNCTION("""COMPUTED_VALUE"""),"PETROLEUM GOLD SERVICES S.A.S ")</f>
        <v xml:space="preserve">PETROLEUM GOLD SERVICES S.A.S </v>
      </c>
    </row>
    <row r="134" spans="1:1" ht="12.75">
      <c r="A134" s="3" t="str">
        <f ca="1">IFERROR(__xludf.DUMMYFUNCTION("""COMPUTED_VALUE"""),"IMPULSO TEMPORAL SAS ")</f>
        <v xml:space="preserve">IMPULSO TEMPORAL SAS </v>
      </c>
    </row>
    <row r="135" spans="1:1" ht="12.75">
      <c r="A135" s="3" t="str">
        <f ca="1">IFERROR(__xludf.DUMMYFUNCTION("""COMPUTED_VALUE"""),"PIPE SUPPLY AND SERVICES SAS")</f>
        <v>PIPE SUPPLY AND SERVICES SAS</v>
      </c>
    </row>
    <row r="136" spans="1:1" ht="12.75">
      <c r="A136" s="3" t="str">
        <f ca="1">IFERROR(__xludf.DUMMYFUNCTION("""COMPUTED_VALUE"""),"DHL EXPRESS COLOMBIA LTDA")</f>
        <v>DHL EXPRESS COLOMBIA LTDA</v>
      </c>
    </row>
    <row r="137" spans="1:1" ht="12.75">
      <c r="A137" s="3" t="str">
        <f ca="1">IFERROR(__xludf.DUMMYFUNCTION("""COMPUTED_VALUE"""),"GRÚAS &amp; EQUIPOS")</f>
        <v>GRÚAS &amp; EQUIPOS</v>
      </c>
    </row>
    <row r="138" spans="1:1" ht="12.75">
      <c r="A138" s="3" t="str">
        <f ca="1">IFERROR(__xludf.DUMMYFUNCTION("""COMPUTED_VALUE"""),"MEGAOBRAS URBANAS BHL SAS")</f>
        <v>MEGAOBRAS URBANAS BHL SAS</v>
      </c>
    </row>
    <row r="139" spans="1:1" ht="12.75">
      <c r="A139" s="3" t="str">
        <f ca="1">IFERROR(__xludf.DUMMYFUNCTION("""COMPUTED_VALUE"""),"BHL CONSTRUCCIONES SAS")</f>
        <v>BHL CONSTRUCCIONES SAS</v>
      </c>
    </row>
    <row r="140" spans="1:1" ht="12.75">
      <c r="A140" s="3" t="str">
        <f ca="1">IFERROR(__xludf.DUMMYFUNCTION("""COMPUTED_VALUE"""),"SAC BE VENTURES")</f>
        <v>SAC BE VENTURES</v>
      </c>
    </row>
    <row r="141" spans="1:1" ht="12.75">
      <c r="A141" s="3" t="str">
        <f ca="1">IFERROR(__xludf.DUMMYFUNCTION("""COMPUTED_VALUE"""),"AMBIENTII CONSTRUCTORA INMOBILIARIA S.A.S")</f>
        <v>AMBIENTII CONSTRUCTORA INMOBILIARIA S.A.S</v>
      </c>
    </row>
    <row r="142" spans="1:1" ht="12.75">
      <c r="A142" s="3" t="str">
        <f ca="1">IFERROR(__xludf.DUMMYFUNCTION("""COMPUTED_VALUE"""),"EQUIPOS Y TERRATEST S A S")</f>
        <v>EQUIPOS Y TERRATEST S A S</v>
      </c>
    </row>
    <row r="143" spans="1:1" ht="12.75">
      <c r="A143" s="3" t="str">
        <f ca="1">IFERROR(__xludf.DUMMYFUNCTION("""COMPUTED_VALUE"""),"ALTIPAL S.A.")</f>
        <v>ALTIPAL S.A.</v>
      </c>
    </row>
    <row r="144" spans="1:1" ht="12.75">
      <c r="A144" s="3" t="str">
        <f ca="1">IFERROR(__xludf.DUMMYFUNCTION("""COMPUTED_VALUE"""),"MORE PRODUCTS SAS - BOGOTA")</f>
        <v>MORE PRODUCTS SAS - BOGOTA</v>
      </c>
    </row>
    <row r="145" spans="1:1" ht="12.75">
      <c r="A145" s="3" t="str">
        <f ca="1">IFERROR(__xludf.DUMMYFUNCTION("""COMPUTED_VALUE"""),"MORE PRODUCTS SAS - FUNZA")</f>
        <v>MORE PRODUCTS SAS - FUNZA</v>
      </c>
    </row>
    <row r="146" spans="1:1" ht="12.75">
      <c r="A146" s="3" t="str">
        <f ca="1">IFERROR(__xludf.DUMMYFUNCTION("""COMPUTED_VALUE"""),"EMTELCO S.A")</f>
        <v>EMTELCO S.A</v>
      </c>
    </row>
    <row r="147" spans="1:1" ht="12.75">
      <c r="A147" s="3" t="str">
        <f ca="1">IFERROR(__xludf.DUMMYFUNCTION("""COMPUTED_VALUE"""),"MINISTERIO DE LAS CULTURAS, LAS ARTES Y LOS SABERES")</f>
        <v>MINISTERIO DE LAS CULTURAS, LAS ARTES Y LOS SABERES</v>
      </c>
    </row>
    <row r="148" spans="1:1" ht="12.75">
      <c r="A148" s="3" t="str">
        <f ca="1">IFERROR(__xludf.DUMMYFUNCTION("""COMPUTED_VALUE"""),"TELEMÁTICA SAS.")</f>
        <v>TELEMÁTICA SAS.</v>
      </c>
    </row>
    <row r="149" spans="1:1" ht="12.75">
      <c r="A149" s="3" t="str">
        <f ca="1">IFERROR(__xludf.DUMMYFUNCTION("""COMPUTED_VALUE"""),"EQUIPOS Y TERRATEST SAS")</f>
        <v>EQUIPOS Y TERRATEST SAS</v>
      </c>
    </row>
    <row r="150" spans="1:1" ht="12.75">
      <c r="A150" s="3" t="str">
        <f ca="1">IFERROR(__xludf.DUMMYFUNCTION("""COMPUTED_VALUE"""),"
ETIQUETAS Y ETIQUETADOS SAS")</f>
        <v xml:space="preserve">
ETIQUETAS Y ETIQUETADOS SAS</v>
      </c>
    </row>
    <row r="151" spans="1:1" ht="12.75">
      <c r="A151" s="3" t="str">
        <f ca="1">IFERROR(__xludf.DUMMYFUNCTION("""COMPUTED_VALUE"""),"BANCO DE OCCIDENTE S.A")</f>
        <v>BANCO DE OCCIDENTE S.A</v>
      </c>
    </row>
    <row r="152" spans="1:1" ht="12.75">
      <c r="A152" s="3" t="str">
        <f ca="1">IFERROR(__xludf.DUMMYFUNCTION("""COMPUTED_VALUE"""),"EXPRESO AGENCIA DE VIAJES CAFAM")</f>
        <v>EXPRESO AGENCIA DE VIAJES CAFAM</v>
      </c>
    </row>
    <row r="153" spans="1:1" ht="12.75">
      <c r="A153" s="3" t="str">
        <f ca="1">IFERROR(__xludf.DUMMYFUNCTION("""COMPUTED_VALUE"""),"PROES LATAM S.A.S")</f>
        <v>PROES LATAM S.A.S</v>
      </c>
    </row>
    <row r="154" spans="1:1" ht="12.75">
      <c r="A154" s="3" t="str">
        <f ca="1">IFERROR(__xludf.DUMMYFUNCTION("""COMPUTED_VALUE"""),"UNIVISION COLOMBIA S A S")</f>
        <v>UNIVISION COLOMBIA S A S</v>
      </c>
    </row>
    <row r="155" spans="1:1" ht="12.75">
      <c r="A155" s="3" t="str">
        <f ca="1">IFERROR(__xludf.DUMMYFUNCTION("""COMPUTED_VALUE"""),"CORPARQUES")</f>
        <v>CORPARQUES</v>
      </c>
    </row>
    <row r="156" spans="1:1" ht="12.75">
      <c r="A156" s="39" t="str">
        <f ca="1">IFERROR(__xludf.DUMMYFUNCTION("""COMPUTED_VALUE"""),"FALABELLA.COM")</f>
        <v>FALABELLA.COM</v>
      </c>
    </row>
    <row r="157" spans="1:1" ht="12.75">
      <c r="A157" s="3" t="str">
        <f ca="1">IFERROR(__xludf.DUMMYFUNCTION("""COMPUTED_VALUE"""),"KPMG S.A.S.")</f>
        <v>KPMG S.A.S.</v>
      </c>
    </row>
    <row r="158" spans="1:1" ht="12.75">
      <c r="A158" s="3" t="str">
        <f ca="1">IFERROR(__xludf.DUMMYFUNCTION("""COMPUTED_VALUE"""),"KPMG ADVISORY, TAX &amp; LEGAL S.A.S.")</f>
        <v>KPMG ADVISORY, TAX &amp; LEGAL S.A.S.</v>
      </c>
    </row>
    <row r="159" spans="1:1" ht="12.75">
      <c r="A159" s="3" t="str">
        <f ca="1">IFERROR(__xludf.DUMMYFUNCTION("""COMPUTED_VALUE"""),"TELEMÁTICA SAS.")</f>
        <v>TELEMÁTICA SAS.</v>
      </c>
    </row>
    <row r="160" spans="1:1" ht="12.75">
      <c r="A160" s="39" t="str">
        <f ca="1">IFERROR(__xludf.DUMMYFUNCTION("""COMPUTED_VALUE"""),"FALABELLA.COM")</f>
        <v>FALABELLA.COM</v>
      </c>
    </row>
    <row r="161" spans="1:1" ht="12.75">
      <c r="A161" s="3" t="str">
        <f ca="1">IFERROR(__xludf.DUMMYFUNCTION("""COMPUTED_VALUE"""),"Distribuidora Toyota SAS")</f>
        <v>Distribuidora Toyota SAS</v>
      </c>
    </row>
    <row r="162" spans="1:1" ht="12.75">
      <c r="A162" s="3" t="str">
        <f ca="1">IFERROR(__xludf.DUMMYFUNCTION("""COMPUTED_VALUE"""),"CORPARQUES")</f>
        <v>CORPARQUES</v>
      </c>
    </row>
    <row r="163" spans="1:1" ht="12.75">
      <c r="A163" s="3" t="str">
        <f ca="1">IFERROR(__xludf.DUMMYFUNCTION("""COMPUTED_VALUE"""),"BANCO DE LA REPÚBLICA")</f>
        <v>BANCO DE LA REPÚBLICA</v>
      </c>
    </row>
    <row r="164" spans="1:1" ht="12.75">
      <c r="A164" s="3" t="str">
        <f ca="1">IFERROR(__xludf.DUMMYFUNCTION("""COMPUTED_VALUE"""),"SOLETANCHE BACHY COLOMBIA SAS")</f>
        <v>SOLETANCHE BACHY COLOMBIA SAS</v>
      </c>
    </row>
    <row r="165" spans="1:1" ht="12.75">
      <c r="A165" s="3" t="str">
        <f ca="1">IFERROR(__xludf.DUMMYFUNCTION("""COMPUTED_VALUE"""),"CONSTRUCTORA CAPITAL BogotáSAS")</f>
        <v>CONSTRUCTORA CAPITAL BogotáSAS</v>
      </c>
    </row>
    <row r="166" spans="1:1" ht="12.75">
      <c r="A166" s="3" t="str">
        <f ca="1">IFERROR(__xludf.DUMMYFUNCTION("""COMPUTED_VALUE"""),"KONFYTEX SAS")</f>
        <v>KONFYTEX SAS</v>
      </c>
    </row>
    <row r="167" spans="1:1" ht="12.75">
      <c r="A167" s="3" t="str">
        <f ca="1">IFERROR(__xludf.DUMMYFUNCTION("""COMPUTED_VALUE"""),"CLEAN HOUSE'S")</f>
        <v>CLEAN HOUSE'S</v>
      </c>
    </row>
    <row r="168" spans="1:1" ht="12.75">
      <c r="A168" s="3" t="str">
        <f ca="1">IFERROR(__xludf.DUMMYFUNCTION("""COMPUTED_VALUE"""),"SECRETARÍA JURÍDICA DISTRITAL ALCALDÍA MAYOR DE BOGOTÁ")</f>
        <v>SECRETARÍA JURÍDICA DISTRITAL ALCALDÍA MAYOR DE BOGOTÁ</v>
      </c>
    </row>
    <row r="169" spans="1:1" ht="12.75">
      <c r="A169" s="3" t="str">
        <f ca="1">IFERROR(__xludf.DUMMYFUNCTION("""COMPUTED_VALUE""")," SUSTS COLOMBIA LTDA")</f>
        <v xml:space="preserve"> SUSTS COLOMBIA LTDA</v>
      </c>
    </row>
    <row r="170" spans="1:1" ht="12.75">
      <c r="A170" s="3" t="str">
        <f ca="1">IFERROR(__xludf.DUMMYFUNCTION("""COMPUTED_VALUE"""),"UNISYS DE COLOMBIA S A")</f>
        <v>UNISYS DE COLOMBIA S A</v>
      </c>
    </row>
    <row r="171" spans="1:1" ht="12.75">
      <c r="A171" s="3" t="str">
        <f ca="1">IFERROR(__xludf.DUMMYFUNCTION("""COMPUTED_VALUE"""),"APPLUS NORCONTROL COLOMBIA LTDA")</f>
        <v>APPLUS NORCONTROL COLOMBIA LTDA</v>
      </c>
    </row>
    <row r="172" spans="1:1" ht="12.75">
      <c r="A172" s="3" t="str">
        <f ca="1">IFERROR(__xludf.DUMMYFUNCTION("""COMPUTED_VALUE"""),"BANCO FINANDINA - SEDE SA BIC Chía")</f>
        <v>BANCO FINANDINA - SEDE SA BIC Chía</v>
      </c>
    </row>
    <row r="173" spans="1:1" ht="12.75">
      <c r="A173" s="3" t="str">
        <f ca="1">IFERROR(__xludf.DUMMYFUNCTION("""COMPUTED_VALUE"""),"BANCO BILBAO VIZCAYA ARGENTARIA COLOMBIA S A")</f>
        <v>BANCO BILBAO VIZCAYA ARGENTARIA COLOMBIA S A</v>
      </c>
    </row>
    <row r="174" spans="1:1" ht="12.75">
      <c r="A174" s="3" t="str">
        <f ca="1">IFERROR(__xludf.DUMMYFUNCTION("""COMPUTED_VALUE"""),"HORATIO CO SAS")</f>
        <v>HORATIO CO SAS</v>
      </c>
    </row>
    <row r="175" spans="1:1" ht="12.75">
      <c r="A175" s="3" t="str">
        <f ca="1">IFERROR(__xludf.DUMMYFUNCTION("""COMPUTED_VALUE"""),"INCHCAPE COLOMBIA SAS")</f>
        <v>INCHCAPE COLOMBIA SAS</v>
      </c>
    </row>
    <row r="176" spans="1:1" ht="12.75">
      <c r="A176" s="3" t="str">
        <f ca="1">IFERROR(__xludf.DUMMYFUNCTION("""COMPUTED_VALUE"""),"PHARI S.A.S")</f>
        <v>PHARI S.A.S</v>
      </c>
    </row>
    <row r="177" spans="1:1" ht="12.75">
      <c r="A177" s="3" t="str">
        <f ca="1">IFERROR(__xludf.DUMMYFUNCTION("""COMPUTED_VALUE"""),"PHARI TECH SERVICES S.A.S")</f>
        <v>PHARI TECH SERVICES S.A.S</v>
      </c>
    </row>
    <row r="178" spans="1:1" ht="12.75">
      <c r="A178" s="3" t="str">
        <f ca="1">IFERROR(__xludf.DUMMYFUNCTION("""COMPUTED_VALUE"""),"VIGIA SERVICIO ESPECIAL S.A.S.")</f>
        <v>VIGIA SERVICIO ESPECIAL S.A.S.</v>
      </c>
    </row>
    <row r="179" spans="1:1" ht="12.75">
      <c r="A179" s="3" t="str">
        <f ca="1">IFERROR(__xludf.DUMMYFUNCTION("""COMPUTED_VALUE"""),"TRUCKSLOGIC S.A.S")</f>
        <v>TRUCKSLOGIC S.A.S</v>
      </c>
    </row>
    <row r="180" spans="1:1" ht="12.75">
      <c r="A180" s="3" t="str">
        <f ca="1">IFERROR(__xludf.DUMMYFUNCTION("""COMPUTED_VALUE"""),"ENERGIKA SOLUTIONS S.A.S. E.S.P.")</f>
        <v>ENERGIKA SOLUTIONS S.A.S. E.S.P.</v>
      </c>
    </row>
    <row r="181" spans="1:1" ht="12.75">
      <c r="A181" s="3" t="str">
        <f ca="1">IFERROR(__xludf.DUMMYFUNCTION("""COMPUTED_VALUE"""),"PRODYGYTEK PROCESS DOCUMENT AND DATA SOLUTIONS S. A. S.")</f>
        <v>PRODYGYTEK PROCESS DOCUMENT AND DATA SOLUTIONS S. A. S.</v>
      </c>
    </row>
    <row r="182" spans="1:1" ht="12.75">
      <c r="A182" s="3" t="str">
        <f ca="1">IFERROR(__xludf.DUMMYFUNCTION("""COMPUTED_VALUE"""),"FUNDACION CARDIO INFANTIL - INSTITUTO DE CARDIOLOGIA")</f>
        <v>FUNDACION CARDIO INFANTIL - INSTITUTO DE CARDIOLOGIA</v>
      </c>
    </row>
    <row r="183" spans="1:1" ht="12.75">
      <c r="A183" s="3" t="str">
        <f ca="1">IFERROR(__xludf.DUMMYFUNCTION("""COMPUTED_VALUE"""),"DASEB COMPUTO SAS")</f>
        <v>DASEB COMPUTO SAS</v>
      </c>
    </row>
    <row r="184" spans="1:1" ht="12.75">
      <c r="A184" s="3" t="str">
        <f ca="1">IFERROR(__xludf.DUMMYFUNCTION("""COMPUTED_VALUE"""),"MEJIA Y CIA S.A")</f>
        <v>MEJIA Y CIA S.A</v>
      </c>
    </row>
    <row r="185" spans="1:1" ht="12.75">
      <c r="A185" s="3" t="str">
        <f ca="1">IFERROR(__xludf.DUMMYFUNCTION("""COMPUTED_VALUE"""),"INTERACTIVO CONTACT CENTER")</f>
        <v>INTERACTIVO CONTACT CENTER</v>
      </c>
    </row>
    <row r="186" spans="1:1" ht="12.75">
      <c r="A186" s="3" t="str">
        <f ca="1">IFERROR(__xludf.DUMMYFUNCTION("""COMPUTED_VALUE"""),"FINANCIERA DE DESARROLLO NACIONAL SA")</f>
        <v>FINANCIERA DE DESARROLLO NACIONAL SA</v>
      </c>
    </row>
    <row r="187" spans="1:1" ht="12.75">
      <c r="A187" s="3" t="str">
        <f ca="1">IFERROR(__xludf.DUMMYFUNCTION("""COMPUTED_VALUE"""),"IKSO S.A.S")</f>
        <v>IKSO S.A.S</v>
      </c>
    </row>
    <row r="188" spans="1:1" ht="12.75">
      <c r="A188" s="3" t="str">
        <f ca="1">IFERROR(__xludf.DUMMYFUNCTION("""COMPUTED_VALUE"""),"PACTIA SAS")</f>
        <v>PACTIA SAS</v>
      </c>
    </row>
    <row r="189" spans="1:1" ht="12.75">
      <c r="A189" s="3" t="str">
        <f ca="1">IFERROR(__xludf.DUMMYFUNCTION("""COMPUTED_VALUE"""),"ECOBIOR SAS ESP")</f>
        <v>ECOBIOR SAS ESP</v>
      </c>
    </row>
    <row r="190" spans="1:1" ht="12.75">
      <c r="A190" s="3" t="str">
        <f ca="1">IFERROR(__xludf.DUMMYFUNCTION("""COMPUTED_VALUE"""),"NUTRIALIMENTOS CARNICOS SAS")</f>
        <v>NUTRIALIMENTOS CARNICOS SAS</v>
      </c>
    </row>
    <row r="191" spans="1:1" ht="12.75">
      <c r="A191" s="3" t="str">
        <f ca="1">IFERROR(__xludf.DUMMYFUNCTION("""COMPUTED_VALUE"""),"BERLITZ")</f>
        <v>BERLITZ</v>
      </c>
    </row>
    <row r="192" spans="1:1" ht="12.75">
      <c r="A192" s="3" t="str">
        <f ca="1">IFERROR(__xludf.DUMMYFUNCTION("""COMPUTED_VALUE"""),"RASCHELTEX INTERNATIONAL S.A.")</f>
        <v>RASCHELTEX INTERNATIONAL S.A.</v>
      </c>
    </row>
    <row r="193" spans="1:1" ht="12.75">
      <c r="A193" s="3" t="str">
        <f ca="1">IFERROR(__xludf.DUMMYFUNCTION("""COMPUTED_VALUE"""),"ABC DE SERVICIOS S.A.S")</f>
        <v>ABC DE SERVICIOS S.A.S</v>
      </c>
    </row>
    <row r="194" spans="1:1" ht="12.75">
      <c r="A194" s="3" t="str">
        <f ca="1">IFERROR(__xludf.DUMMYFUNCTION("""COMPUTED_VALUE"""),"ABBOTT LABORATORIES DE COLOMBIA SAS")</f>
        <v>ABBOTT LABORATORIES DE COLOMBIA SAS</v>
      </c>
    </row>
    <row r="195" spans="1:1" ht="12.75">
      <c r="A195" s="3" t="str">
        <f ca="1">IFERROR(__xludf.DUMMYFUNCTION("""COMPUTED_VALUE"""),"MORPHO TRAVEL COLOMBIA SAS")</f>
        <v>MORPHO TRAVEL COLOMBIA SAS</v>
      </c>
    </row>
    <row r="196" spans="1:1" ht="12.75">
      <c r="A196" s="3" t="str">
        <f ca="1">IFERROR(__xludf.DUMMYFUNCTION("""COMPUTED_VALUE"""),"NACIONAL DE SEGUROS S A COMPAÑIA DE SEGUROS GENERALES")</f>
        <v>NACIONAL DE SEGUROS S A COMPAÑIA DE SEGUROS GENERALES</v>
      </c>
    </row>
    <row r="197" spans="1:1" ht="12.75">
      <c r="A197" s="3" t="str">
        <f ca="1">IFERROR(__xludf.DUMMYFUNCTION("""COMPUTED_VALUE"""),"EDU LABS")</f>
        <v>EDU LABS</v>
      </c>
    </row>
    <row r="198" spans="1:1" ht="12.75">
      <c r="A198" s="3" t="str">
        <f ca="1">IFERROR(__xludf.DUMMYFUNCTION("""COMPUTED_VALUE"""),"SISMEDICA SERVICIOS DE AMBULANCIAS")</f>
        <v>SISMEDICA SERVICIOS DE AMBULANCIAS</v>
      </c>
    </row>
    <row r="199" spans="1:1" ht="12.75">
      <c r="A199" s="3" t="str">
        <f ca="1">IFERROR(__xludf.DUMMYFUNCTION("""COMPUTED_VALUE"""),"COLTANQUES S.A.S.")</f>
        <v>COLTANQUES S.A.S.</v>
      </c>
    </row>
    <row r="200" spans="1:1" ht="12.75">
      <c r="A200" s="3" t="str">
        <f ca="1">IFERROR(__xludf.DUMMYFUNCTION("""COMPUTED_VALUE"""),"COPROPIEDAD ZONA FRANCA DE Bogotá- PROPIEDAD HORIZONTAL")</f>
        <v>COPROPIEDAD ZONA FRANCA DE Bogotá- PROPIEDAD HORIZONTAL</v>
      </c>
    </row>
    <row r="201" spans="1:1" ht="12.75">
      <c r="A201" s="3" t="str">
        <f ca="1">IFERROR(__xludf.DUMMYFUNCTION("""COMPUTED_VALUE"""),"CONSTRUCTORA LAS GALIAS SAS")</f>
        <v>CONSTRUCTORA LAS GALIAS SAS</v>
      </c>
    </row>
    <row r="202" spans="1:1" ht="12.75">
      <c r="A202" s="3" t="str">
        <f ca="1">IFERROR(__xludf.DUMMYFUNCTION("""COMPUTED_VALUE"""),"SERVICIOS LOGISTICOS PARA LA INDUSTRIA LOGICMARD SAS")</f>
        <v>SERVICIOS LOGISTICOS PARA LA INDUSTRIA LOGICMARD SAS</v>
      </c>
    </row>
    <row r="203" spans="1:1" ht="12.75">
      <c r="A203" s="3" t="str">
        <f ca="1">IFERROR(__xludf.DUMMYFUNCTION("""COMPUTED_VALUE"""),"DIALECTICA COLOMBIA S.A.S.")</f>
        <v>DIALECTICA COLOMBIA S.A.S.</v>
      </c>
    </row>
    <row r="204" spans="1:1" ht="12.75">
      <c r="A204" s="3" t="str">
        <f ca="1">IFERROR(__xludf.DUMMYFUNCTION("""COMPUTED_VALUE"""),"PWC CONTADORES Y AUDITORES SAS")</f>
        <v>PWC CONTADORES Y AUDITORES SAS</v>
      </c>
    </row>
    <row r="205" spans="1:1" ht="12.75">
      <c r="A205" s="3" t="str">
        <f ca="1">IFERROR(__xludf.DUMMYFUNCTION("""COMPUTED_VALUE"""),"L&amp;P INGENIEROS CONSTRUCTORES SAS - MOSQUERA")</f>
        <v>L&amp;P INGENIEROS CONSTRUCTORES SAS - MOSQUERA</v>
      </c>
    </row>
    <row r="206" spans="1:1" ht="12.75">
      <c r="A206" s="3" t="str">
        <f ca="1">IFERROR(__xludf.DUMMYFUNCTION("""COMPUTED_VALUE"""),"L&amp;P INGENIEROS CONSTRUCTORES SAS - BOGOTÁ")</f>
        <v>L&amp;P INGENIEROS CONSTRUCTORES SAS - BOGOTÁ</v>
      </c>
    </row>
    <row r="207" spans="1:1" ht="12.75">
      <c r="A207" s="3" t="str">
        <f ca="1">IFERROR(__xludf.DUMMYFUNCTION("""COMPUTED_VALUE"""),"EMASIVO 16 S.A.S.
 (hacer carpeta )")</f>
        <v>EMASIVO 16 S.A.S.
 (hacer carpeta )</v>
      </c>
    </row>
    <row r="208" spans="1:1" ht="12.75">
      <c r="A208" s="3" t="str">
        <f ca="1">IFERROR(__xludf.DUMMYFUNCTION("""COMPUTED_VALUE"""),"EMASIVO 10 SAS
 (hacer carpeta )")</f>
        <v>EMASIVO 10 SAS
 (hacer carpeta )</v>
      </c>
    </row>
    <row r="209" spans="1:1" ht="12.75">
      <c r="A209" s="3" t="str">
        <f ca="1">IFERROR(__xludf.DUMMYFUNCTION("""COMPUTED_VALUE"""),"CEVA FREIGHT MANAGEMENT DE COLOMBIA S.A.S.")</f>
        <v>CEVA FREIGHT MANAGEMENT DE COLOMBIA S.A.S.</v>
      </c>
    </row>
    <row r="210" spans="1:1" ht="12.75">
      <c r="A210" s="3" t="str">
        <f ca="1">IFERROR(__xludf.DUMMYFUNCTION("""COMPUTED_VALUE"""),"COLTEFINANCIERA S.A")</f>
        <v>COLTEFINANCIERA S.A</v>
      </c>
    </row>
    <row r="211" spans="1:1" ht="12.75">
      <c r="A211" s="3" t="str">
        <f ca="1">IFERROR(__xludf.DUMMYFUNCTION("""COMPUTED_VALUE"""),"LACTEOS LA ESMERALDA")</f>
        <v>LACTEOS LA ESMERALDA</v>
      </c>
    </row>
    <row r="212" spans="1:1" ht="12.75">
      <c r="A212" s="3" t="str">
        <f ca="1">IFERROR(__xludf.DUMMYFUNCTION("""COMPUTED_VALUE"""),"EY OUTSOURCING SAS")</f>
        <v>EY OUTSOURCING SAS</v>
      </c>
    </row>
    <row r="213" spans="1:1" ht="12.75">
      <c r="A213" s="3" t="str">
        <f ca="1">IFERROR(__xludf.DUMMYFUNCTION("""COMPUTED_VALUE"""),"ERNST &amp; YOUNG AUDIT SAS")</f>
        <v>ERNST &amp; YOUNG AUDIT SAS</v>
      </c>
    </row>
    <row r="214" spans="1:1" ht="12.75">
      <c r="A214" s="3" t="str">
        <f ca="1">IFERROR(__xludf.DUMMYFUNCTION("""COMPUTED_VALUE"""),"ERNST &amp; YOUNG SAS")</f>
        <v>ERNST &amp; YOUNG SAS</v>
      </c>
    </row>
    <row r="215" spans="1:1" ht="12.75">
      <c r="A215" s="3" t="str">
        <f ca="1">IFERROR(__xludf.DUMMYFUNCTION("""COMPUTED_VALUE"""),"SHERLEG LABORATORIES S.A.S.")</f>
        <v>SHERLEG LABORATORIES S.A.S.</v>
      </c>
    </row>
    <row r="216" spans="1:1" ht="12.75">
      <c r="A216" s="3" t="str">
        <f ca="1">IFERROR(__xludf.DUMMYFUNCTION("""COMPUTED_VALUE"""),"ALPINA PRODUCTOS ALIMENTICIOS S.A.")</f>
        <v>ALPINA PRODUCTOS ALIMENTICIOS S.A.</v>
      </c>
    </row>
    <row r="217" spans="1:1" ht="12.75">
      <c r="A217" s="3" t="str">
        <f ca="1">IFERROR(__xludf.DUMMYFUNCTION("""COMPUTED_VALUE"""),"TAKEDA COLOMBIA S.")</f>
        <v>TAKEDA COLOMBIA S.</v>
      </c>
    </row>
    <row r="218" spans="1:1" ht="12.75">
      <c r="A218" s="3" t="str">
        <f ca="1">IFERROR(__xludf.DUMMYFUNCTION("""COMPUTED_VALUE"""),"UNIVERSIDAD DE LA SABANA")</f>
        <v>UNIVERSIDAD DE LA SABANA</v>
      </c>
    </row>
    <row r="219" spans="1:1" ht="12.75">
      <c r="A219" s="3" t="str">
        <f ca="1">IFERROR(__xludf.DUMMYFUNCTION("""COMPUTED_VALUE"""),"BLUE ONE SOLUTIONS SAS")</f>
        <v>BLUE ONE SOLUTIONS SAS</v>
      </c>
    </row>
    <row r="220" spans="1:1" ht="12.75">
      <c r="A220" s="3" t="str">
        <f ca="1">IFERROR(__xludf.DUMMYFUNCTION("""COMPUTED_VALUE"""),"SAMSONITE COLOMBIA SAS")</f>
        <v>SAMSONITE COLOMBIA SAS</v>
      </c>
    </row>
    <row r="221" spans="1:1" ht="12.75">
      <c r="A221" s="3" t="str">
        <f ca="1">IFERROR(__xludf.DUMMYFUNCTION("""COMPUTED_VALUE"""),"SAMSONITE COLOMBIA SAS - PLAZA CLARO")</f>
        <v>SAMSONITE COLOMBIA SAS - PLAZA CLARO</v>
      </c>
    </row>
    <row r="222" spans="1:1" ht="12.75">
      <c r="A222" s="3" t="str">
        <f ca="1">IFERROR(__xludf.DUMMYFUNCTION("""COMPUTED_VALUE"""),"DRAEGER COLOMBIA")</f>
        <v>DRAEGER COLOMBIA</v>
      </c>
    </row>
    <row r="223" spans="1:1" ht="12.75">
      <c r="A223" s="3" t="str">
        <f ca="1">IFERROR(__xludf.DUMMYFUNCTION("""COMPUTED_VALUE"""),"CASA LUKER SA")</f>
        <v>CASA LUKER SA</v>
      </c>
    </row>
    <row r="224" spans="1:1" ht="12.75">
      <c r="A224" s="3" t="str">
        <f ca="1">IFERROR(__xludf.DUMMYFUNCTION("""COMPUTED_VALUE"""),"COLLIERS INTERNATIONAL COLOMBIA SAS")</f>
        <v>COLLIERS INTERNATIONAL COLOMBIA SAS</v>
      </c>
    </row>
    <row r="225" spans="1:1" ht="12.75">
      <c r="A225" s="3" t="str">
        <f ca="1">IFERROR(__xludf.DUMMYFUNCTION("""COMPUTED_VALUE"""),"ALIMENTOS POLAR COLOMBIA SAS")</f>
        <v>ALIMENTOS POLAR COLOMBIA SAS</v>
      </c>
    </row>
    <row r="226" spans="1:1" ht="12.75">
      <c r="A226" s="3" t="str">
        <f ca="1">IFERROR(__xludf.DUMMYFUNCTION("""COMPUTED_VALUE"""),"TECNISISTEMAS LTDA")</f>
        <v>TECNISISTEMAS LTDA</v>
      </c>
    </row>
    <row r="227" spans="1:1" ht="12.75">
      <c r="A227" s="3" t="str">
        <f ca="1">IFERROR(__xludf.DUMMYFUNCTION("""COMPUTED_VALUE"""),"BRAVO COLOMBIA SAS")</f>
        <v>BRAVO COLOMBIA SAS</v>
      </c>
    </row>
    <row r="228" spans="1:1" ht="12.75">
      <c r="A228" s="3" t="str">
        <f ca="1">IFERROR(__xludf.DUMMYFUNCTION("""COMPUTED_VALUE"""),"SIS VIDA SAS")</f>
        <v>SIS VIDA SAS</v>
      </c>
    </row>
    <row r="229" spans="1:1" ht="12.75">
      <c r="A229" s="3" t="str">
        <f ca="1">IFERROR(__xludf.DUMMYFUNCTION("""COMPUTED_VALUE"""),"ADMINISTRACIONES INTEGRALES BUEN VIVIR SAS")</f>
        <v>ADMINISTRACIONES INTEGRALES BUEN VIVIR SAS</v>
      </c>
    </row>
    <row r="230" spans="1:1" ht="12.75">
      <c r="A230" s="3" t="str">
        <f ca="1">IFERROR(__xludf.DUMMYFUNCTION("""COMPUTED_VALUE"""),"VITALIS SACI")</f>
        <v>VITALIS SACI</v>
      </c>
    </row>
    <row r="231" spans="1:1" ht="12.75">
      <c r="A231" s="3" t="str">
        <f ca="1">IFERROR(__xludf.DUMMYFUNCTION("""COMPUTED_VALUE"""),"HORNITOS PASTELERIA Y PANADERIA SAS")</f>
        <v>HORNITOS PASTELERIA Y PANADERIA SAS</v>
      </c>
    </row>
    <row r="232" spans="1:1" ht="12.75">
      <c r="A232" s="3" t="str">
        <f ca="1">IFERROR(__xludf.DUMMYFUNCTION("""COMPUTED_VALUE"""),"GEOFLORA SAS")</f>
        <v>GEOFLORA SAS</v>
      </c>
    </row>
    <row r="233" spans="1:1" ht="12.75">
      <c r="A233" s="3" t="str">
        <f ca="1">IFERROR(__xludf.DUMMYFUNCTION("""COMPUTED_VALUE"""),"LESCHACO COLOMBIA SAS")</f>
        <v>LESCHACO COLOMBIA SAS</v>
      </c>
    </row>
    <row r="234" spans="1:1" ht="12.75">
      <c r="A234" s="3" t="str">
        <f ca="1">IFERROR(__xludf.DUMMYFUNCTION("""COMPUTED_VALUE"""),"PHARMALACTEOS S.A.")</f>
        <v>PHARMALACTEOS S.A.</v>
      </c>
    </row>
    <row r="235" spans="1:1" ht="12.75">
      <c r="A235" s="3" t="str">
        <f ca="1">IFERROR(__xludf.DUMMYFUNCTION("""COMPUTED_VALUE"""),"GALLAGHER CONSULTING LTDA")</f>
        <v>GALLAGHER CONSULTING LTDA</v>
      </c>
    </row>
    <row r="236" spans="1:1" ht="12.75">
      <c r="A236" s="3" t="str">
        <f ca="1">IFERROR(__xludf.DUMMYFUNCTION("""COMPUTED_VALUE"""),"GALLAGHER CENTER OF EXCELLENCE LATAM SAS")</f>
        <v>GALLAGHER CENTER OF EXCELLENCE LATAM SAS</v>
      </c>
    </row>
    <row r="237" spans="1:1" ht="12.75">
      <c r="A237" s="3" t="str">
        <f ca="1">IFERROR(__xludf.DUMMYFUNCTION("""COMPUTED_VALUE"""),"SERVICIOS FALABELLA")</f>
        <v>SERVICIOS FALABELLA</v>
      </c>
    </row>
    <row r="238" spans="1:1" ht="12.75">
      <c r="A238" s="3" t="str">
        <f ca="1">IFERROR(__xludf.DUMMYFUNCTION("""COMPUTED_VALUE"""),"FALABELLA RETAIL - Bogotá")</f>
        <v>FALABELLA RETAIL - Bogotá</v>
      </c>
    </row>
    <row r="239" spans="1:1" ht="12.75">
      <c r="A239" s="3" t="str">
        <f ca="1">IFERROR(__xludf.DUMMYFUNCTION("""COMPUTED_VALUE"""),"FALABELLA RETAIL - COTA")</f>
        <v>FALABELLA RETAIL - COTA</v>
      </c>
    </row>
    <row r="240" spans="1:1" ht="12.75">
      <c r="A240" s="3" t="str">
        <f ca="1">IFERROR(__xludf.DUMMYFUNCTION("""COMPUTED_VALUE"""),"LESCHACO COLOMBIA SAS")</f>
        <v>LESCHACO COLOMBIA SAS</v>
      </c>
    </row>
    <row r="241" spans="1:1" ht="12.75">
      <c r="A241" s="3" t="str">
        <f ca="1">IFERROR(__xludf.DUMMYFUNCTION("""COMPUTED_VALUE"""),"WH SERVICES")</f>
        <v>WH SERVICES</v>
      </c>
    </row>
    <row r="242" spans="1:1" ht="12.75">
      <c r="A242" s="3" t="str">
        <f ca="1">IFERROR(__xludf.DUMMYFUNCTION("""COMPUTED_VALUE"""),"SCOTIABANK COLPATRIA")</f>
        <v>SCOTIABANK COLPATRIA</v>
      </c>
    </row>
    <row r="243" spans="1:1" ht="12.75">
      <c r="A243" s="3" t="str">
        <f ca="1">IFERROR(__xludf.DUMMYFUNCTION("""COMPUTED_VALUE"""),"ALPHAFLEX SAS")</f>
        <v>ALPHAFLEX SAS</v>
      </c>
    </row>
    <row r="244" spans="1:1" ht="12.75">
      <c r="A244" s="3" t="str">
        <f ca="1">IFERROR(__xludf.DUMMYFUNCTION("""COMPUTED_VALUE"""),"MANE ANDINA S.A.S.
(PROPUESTA RECA)")</f>
        <v>MANE ANDINA S.A.S.
(PROPUESTA RECA)</v>
      </c>
    </row>
    <row r="245" spans="1:1" ht="12.75">
      <c r="A245" s="3" t="str">
        <f ca="1">IFERROR(__xludf.DUMMYFUNCTION("""COMPUTED_VALUE"""),"AGENCIA NACIONAL DE HIDROCARBUROS")</f>
        <v>AGENCIA NACIONAL DE HIDROCARBUROS</v>
      </c>
    </row>
    <row r="246" spans="1:1" ht="12.75">
      <c r="A246" s="3" t="str">
        <f ca="1">IFERROR(__xludf.DUMMYFUNCTION("""COMPUTED_VALUE"""),"LAIKA")</f>
        <v>LAIKA</v>
      </c>
    </row>
    <row r="247" spans="1:1" ht="12.75">
      <c r="A247" s="3" t="str">
        <f ca="1">IFERROR(__xludf.DUMMYFUNCTION("""COMPUTED_VALUE"""),"MALLPLAZA SERVICIOS S.A.S")</f>
        <v>MALLPLAZA SERVICIOS S.A.S</v>
      </c>
    </row>
    <row r="248" spans="1:1" ht="12.75">
      <c r="A248" s="3" t="str">
        <f ca="1">IFERROR(__xludf.DUMMYFUNCTION("""COMPUTED_VALUE"""),"ATENTO COLOMBIA")</f>
        <v>ATENTO COLOMBIA</v>
      </c>
    </row>
    <row r="249" spans="1:1" ht="12.75">
      <c r="A249" s="3" t="str">
        <f ca="1">IFERROR(__xludf.DUMMYFUNCTION("""COMPUTED_VALUE"""),"NEXURA INTERNACIONAL SAS")</f>
        <v>NEXURA INTERNACIONAL SAS</v>
      </c>
    </row>
    <row r="250" spans="1:1" ht="12.75">
      <c r="A250" s="3" t="str">
        <f ca="1">IFERROR(__xludf.DUMMYFUNCTION("""COMPUTED_VALUE"""),"AR SOLUCIONES INMOBILIARIAS SAS")</f>
        <v>AR SOLUCIONES INMOBILIARIAS SAS</v>
      </c>
    </row>
    <row r="251" spans="1:1" ht="12.75">
      <c r="A251" s="3" t="str">
        <f ca="1">IFERROR(__xludf.DUMMYFUNCTION("""COMPUTED_VALUE"""),"AR CONSTRUCCIONES S.A.S.")</f>
        <v>AR CONSTRUCCIONES S.A.S.</v>
      </c>
    </row>
    <row r="252" spans="1:1" ht="12.75">
      <c r="A252" s="3" t="str">
        <f ca="1">IFERROR(__xludf.DUMMYFUNCTION("""COMPUTED_VALUE"""),"FUNDACIÓN AR DE COLOMBIA")</f>
        <v>FUNDACIÓN AR DE COLOMBIA</v>
      </c>
    </row>
    <row r="253" spans="1:1" ht="12.75">
      <c r="A253" s="3" t="str">
        <f ca="1">IFERROR(__xludf.DUMMYFUNCTION("""COMPUTED_VALUE"""),"GRUPO AR SAS")</f>
        <v>GRUPO AR SAS</v>
      </c>
    </row>
    <row r="254" spans="1:1" ht="12.75">
      <c r="A254" s="3" t="str">
        <f ca="1">IFERROR(__xludf.DUMMYFUNCTION("""COMPUTED_VALUE"""),"ALLIANZ SEGUROS SA")</f>
        <v>ALLIANZ SEGUROS SA</v>
      </c>
    </row>
    <row r="255" spans="1:1" ht="12.75">
      <c r="A255" s="3" t="str">
        <f ca="1">IFERROR(__xludf.DUMMYFUNCTION("""COMPUTED_VALUE"""),"SUPPLIES 4 PETS SAS")</f>
        <v>SUPPLIES 4 PETS SAS</v>
      </c>
    </row>
    <row r="256" spans="1:1" ht="12.75">
      <c r="A256" s="3" t="str">
        <f ca="1">IFERROR(__xludf.DUMMYFUNCTION("""COMPUTED_VALUE"""),"FUNDACION EDUCATIVA DE INGLATERRA")</f>
        <v>FUNDACION EDUCATIVA DE INGLATERRA</v>
      </c>
    </row>
    <row r="257" spans="1:1" ht="12.75">
      <c r="A257" s="3" t="str">
        <f ca="1">IFERROR(__xludf.DUMMYFUNCTION("""COMPUTED_VALUE"""),"PAN PA YA")</f>
        <v>PAN PA YA</v>
      </c>
    </row>
    <row r="258" spans="1:1" ht="12.75">
      <c r="A258" s="3" t="str">
        <f ca="1">IFERROR(__xludf.DUMMYFUNCTION("""COMPUTED_VALUE"""),"ANNA GROUP SAS BIC")</f>
        <v>ANNA GROUP SAS BIC</v>
      </c>
    </row>
    <row r="259" spans="1:1" ht="12.75">
      <c r="A259" s="3" t="str">
        <f ca="1">IFERROR(__xludf.DUMMYFUNCTION("""COMPUTED_VALUE"""),"AGENCIA DE ADUANAS ABC REPECEV SAS NIVEL 1")</f>
        <v>AGENCIA DE ADUANAS ABC REPECEV SAS NIVEL 1</v>
      </c>
    </row>
    <row r="260" spans="1:1" ht="12.75">
      <c r="A260" s="3" t="str">
        <f ca="1">IFERROR(__xludf.DUMMYFUNCTION("""COMPUTED_VALUE"""),"AGENCIA DE ADUANAS COLMAS LTDA")</f>
        <v>AGENCIA DE ADUANAS COLMAS LTDA</v>
      </c>
    </row>
    <row r="261" spans="1:1" ht="12.75">
      <c r="A261" s="3" t="str">
        <f ca="1">IFERROR(__xludf.DUMMYFUNCTION("""COMPUTED_VALUE"""),"AGENCIA DE SEGURIDAD INTEGRAL SPECIAL LTDA")</f>
        <v>AGENCIA DE SEGURIDAD INTEGRAL SPECIAL LTDA</v>
      </c>
    </row>
    <row r="262" spans="1:1" ht="12.75">
      <c r="A262" s="3" t="str">
        <f ca="1">IFERROR(__xludf.DUMMYFUNCTION("""COMPUTED_VALUE"""),"ADS PHARMA SAS")</f>
        <v>ADS PHARMA SAS</v>
      </c>
    </row>
    <row r="263" spans="1:1" ht="12.75">
      <c r="A263" s="3" t="str">
        <f ca="1">IFERROR(__xludf.DUMMYFUNCTION("""COMPUTED_VALUE"""),"CORPORACIÒN COLOMBIANA DE INVESTIGACIÒN AGROPECUARIA AGROSAVIA")</f>
        <v>CORPORACIÒN COLOMBIANA DE INVESTIGACIÒN AGROPECUARIA AGROSAVIA</v>
      </c>
    </row>
    <row r="264" spans="1:1" ht="12.75">
      <c r="A264" s="3" t="str">
        <f ca="1">IFERROR(__xludf.DUMMYFUNCTION("""COMPUTED_VALUE"""),"LLORENTE &amp; CUENCA COLOMBIA S.A.S")</f>
        <v>LLORENTE &amp; CUENCA COLOMBIA S.A.S</v>
      </c>
    </row>
    <row r="265" spans="1:1" ht="12.75">
      <c r="A265" s="3" t="str">
        <f ca="1">IFERROR(__xludf.DUMMYFUNCTION("""COMPUTED_VALUE"""),"EYC INGENIEROS SAS")</f>
        <v>EYC INGENIEROS SAS</v>
      </c>
    </row>
    <row r="266" spans="1:1" ht="12.75">
      <c r="A266" s="3" t="str">
        <f ca="1">IFERROR(__xludf.DUMMYFUNCTION("""COMPUTED_VALUE"""),"IKM INFORMATION AND KNOWLEDGE MANAGEMENT SAS")</f>
        <v>IKM INFORMATION AND KNOWLEDGE MANAGEMENT SAS</v>
      </c>
    </row>
    <row r="267" spans="1:1" ht="12.75">
      <c r="A267" s="3" t="str">
        <f ca="1">IFERROR(__xludf.DUMMYFUNCTION("""COMPUTED_VALUE"""),"JA DEL RIOS SAS")</f>
        <v>JA DEL RIOS SAS</v>
      </c>
    </row>
    <row r="268" spans="1:1" ht="12.75">
      <c r="A268" s="3" t="str">
        <f ca="1">IFERROR(__xludf.DUMMYFUNCTION("""COMPUTED_VALUE"""),"TELESET S.A.S")</f>
        <v>TELESET S.A.S</v>
      </c>
    </row>
    <row r="269" spans="1:1" ht="12.75">
      <c r="A269" s="3" t="str">
        <f ca="1">IFERROR(__xludf.DUMMYFUNCTION("""COMPUTED_VALUE"""),"UNIÓN TEMPORAL SERVICIO SOCIAL
 CENTROS INTEGRARTE")</f>
        <v>UNIÓN TEMPORAL SERVICIO SOCIAL
 CENTROS INTEGRARTE</v>
      </c>
    </row>
    <row r="270" spans="1:1" ht="12.75">
      <c r="A270" s="3" t="str">
        <f ca="1">IFERROR(__xludf.DUMMYFUNCTION("""COMPUTED_VALUE"""),"INVERSIONES DE GASES DE COLOMBIA SA.
 INVERCOLSA")</f>
        <v>INVERSIONES DE GASES DE COLOMBIA SA.
 INVERCOLSA</v>
      </c>
    </row>
    <row r="271" spans="1:1" ht="12.75">
      <c r="A271" s="3" t="str">
        <f ca="1">IFERROR(__xludf.DUMMYFUNCTION("""COMPUTED_VALUE"""),"AGENCIA DE ADUANAS GRUPO 
LOGISTICO ADUANERO SA NIVEL 2")</f>
        <v>AGENCIA DE ADUANAS GRUPO 
LOGISTICO ADUANERO SA NIVEL 2</v>
      </c>
    </row>
    <row r="272" spans="1:1" ht="12.75">
      <c r="A272" s="3" t="str">
        <f ca="1">IFERROR(__xludf.DUMMYFUNCTION("""COMPUTED_VALUE"""),"LAAX SERVICE S.A.S")</f>
        <v>LAAX SERVICE S.A.S</v>
      </c>
    </row>
    <row r="273" spans="1:1" ht="12.75">
      <c r="A273" s="3" t="str">
        <f ca="1">IFERROR(__xludf.DUMMYFUNCTION("""COMPUTED_VALUE"""),"AGENCIA DE ADUANAS GAMA SAS NIVEL 1")</f>
        <v>AGENCIA DE ADUANAS GAMA SAS NIVEL 1</v>
      </c>
    </row>
    <row r="274" spans="1:1" ht="12.75">
      <c r="A274" s="3" t="str">
        <f ca="1">IFERROR(__xludf.DUMMYFUNCTION("""COMPUTED_VALUE"""),"FUNDACIÓN INTEGRAL PARA EL DESARROLLO 
FIPAHD")</f>
        <v>FUNDACIÓN INTEGRAL PARA EL DESARROLLO 
FIPAHD</v>
      </c>
    </row>
    <row r="275" spans="1:1" ht="12.75">
      <c r="A275" s="3" t="str">
        <f ca="1">IFERROR(__xludf.DUMMYFUNCTION("""COMPUTED_VALUE"""),"HUMAN BALANCE LTDA")</f>
        <v>HUMAN BALANCE LTDA</v>
      </c>
    </row>
    <row r="276" spans="1:1" ht="12.75">
      <c r="A276" s="3" t="str">
        <f ca="1">IFERROR(__xludf.DUMMYFUNCTION("""COMPUTED_VALUE"""),"BEGREEN FACTORY S.A.S")</f>
        <v>BEGREEN FACTORY S.A.S</v>
      </c>
    </row>
    <row r="277" spans="1:1" ht="12.75">
      <c r="A277" s="3" t="str">
        <f ca="1">IFERROR(__xludf.DUMMYFUNCTION("""COMPUTED_VALUE"""),"B2B TIC SAS")</f>
        <v>B2B TIC SAS</v>
      </c>
    </row>
    <row r="278" spans="1:1" ht="12.75">
      <c r="A278" s="3" t="str">
        <f ca="1">IFERROR(__xludf.DUMMYFUNCTION("""COMPUTED_VALUE"""),"ROHDE &amp; SCHWARZ COLOMBIA SAS")</f>
        <v>ROHDE &amp; SCHWARZ COLOMBIA SAS</v>
      </c>
    </row>
    <row r="279" spans="1:1" ht="12.75">
      <c r="A279" s="3" t="str">
        <f ca="1">IFERROR(__xludf.DUMMYFUNCTION("""COMPUTED_VALUE"""),"GRUPO TCW SAS")</f>
        <v>GRUPO TCW SAS</v>
      </c>
    </row>
    <row r="280" spans="1:1" ht="12.75">
      <c r="A280" s="3" t="str">
        <f ca="1">IFERROR(__xludf.DUMMYFUNCTION("""COMPUTED_VALUE"""),"ASOCIADOS GARCIA CASTRO SAS")</f>
        <v>ASOCIADOS GARCIA CASTRO SAS</v>
      </c>
    </row>
    <row r="281" spans="1:1" ht="12.75">
      <c r="A281" s="3" t="str">
        <f ca="1">IFERROR(__xludf.DUMMYFUNCTION("""COMPUTED_VALUE"""),"AURATEX SAS")</f>
        <v>AURATEX SAS</v>
      </c>
    </row>
    <row r="282" spans="1:1" ht="12.75">
      <c r="A282" s="3" t="str">
        <f ca="1">IFERROR(__xludf.DUMMYFUNCTION("""COMPUTED_VALUE"""),"FUNDACIÓN GEO VERDE")</f>
        <v>FUNDACIÓN GEO VERDE</v>
      </c>
    </row>
    <row r="283" spans="1:1" ht="12.75">
      <c r="A283" s="3" t="str">
        <f ca="1">IFERROR(__xludf.DUMMYFUNCTION("""COMPUTED_VALUE"""),"AGENCIA DE ADUANAS GAMA SAS NIVEL 1")</f>
        <v>AGENCIA DE ADUANAS GAMA SAS NIVEL 1</v>
      </c>
    </row>
    <row r="284" spans="1:1" ht="12.75">
      <c r="A284" s="3" t="str">
        <f ca="1">IFERROR(__xludf.DUMMYFUNCTION("""COMPUTED_VALUE"""),"POSTRES Y REFRIGERIOS COMPAÑIA ALIMENTICIA")</f>
        <v>POSTRES Y REFRIGERIOS COMPAÑIA ALIMENTICIA</v>
      </c>
    </row>
    <row r="285" spans="1:1" ht="12.75">
      <c r="A285" s="3" t="str">
        <f ca="1">IFERROR(__xludf.DUMMYFUNCTION("""COMPUTED_VALUE"""),"GRUPO SIERRA ALTA SAS")</f>
        <v>GRUPO SIERRA ALTA SAS</v>
      </c>
    </row>
    <row r="286" spans="1:1" ht="12.75">
      <c r="A286" s="3" t="str">
        <f ca="1">IFERROR(__xludf.DUMMYFUNCTION("""COMPUTED_VALUE"""),"SERVICIOS INTEGRALES EN SEGURIDAD Y 
SALUD EN EL TRABAJO")</f>
        <v>SERVICIOS INTEGRALES EN SEGURIDAD Y 
SALUD EN EL TRABAJO</v>
      </c>
    </row>
    <row r="287" spans="1:1" ht="12.75">
      <c r="A287" s="3" t="str">
        <f ca="1">IFERROR(__xludf.DUMMYFUNCTION("""COMPUTED_VALUE"""),"GAIA VITARE S.A.S")</f>
        <v>GAIA VITARE S.A.S</v>
      </c>
    </row>
    <row r="288" spans="1:1" ht="12.75">
      <c r="A288" s="3" t="str">
        <f ca="1">IFERROR(__xludf.DUMMYFUNCTION("""COMPUTED_VALUE"""),"ASCENSORES ASCINTEC SAS")</f>
        <v>ASCENSORES ASCINTEC SAS</v>
      </c>
    </row>
    <row r="289" spans="1:1" ht="12.75">
      <c r="A289" s="3" t="str">
        <f ca="1">IFERROR(__xludf.DUMMYFUNCTION("""COMPUTED_VALUE"""),"BACET GROUP SAS - ADMINISTRATIVO")</f>
        <v>BACET GROUP SAS - ADMINISTRATIVO</v>
      </c>
    </row>
    <row r="290" spans="1:1" ht="12.75">
      <c r="A290" s="3" t="str">
        <f ca="1">IFERROR(__xludf.DUMMYFUNCTION("""COMPUTED_VALUE"""),"BACET GROUP SAS- OPERATIVO")</f>
        <v>BACET GROUP SAS- OPERATIVO</v>
      </c>
    </row>
    <row r="291" spans="1:1" ht="12.75">
      <c r="A291" s="3" t="str">
        <f ca="1">IFERROR(__xludf.DUMMYFUNCTION("""COMPUTED_VALUE"""),"BPO CONSULTING SAS")</f>
        <v>BPO CONSULTING SAS</v>
      </c>
    </row>
    <row r="292" spans="1:1" ht="12.75">
      <c r="A292" s="3" t="str">
        <f ca="1">IFERROR(__xludf.DUMMYFUNCTION("""COMPUTED_VALUE"""),"AMEZQUITA &amp; CIA S.A.S")</f>
        <v>AMEZQUITA &amp; CIA S.A.S</v>
      </c>
    </row>
    <row r="293" spans="1:1" ht="12.75">
      <c r="A293" s="3" t="str">
        <f ca="1">IFERROR(__xludf.DUMMYFUNCTION("""COMPUTED_VALUE"""),"SEM INGENIERÍA SAS")</f>
        <v>SEM INGENIERÍA SAS</v>
      </c>
    </row>
    <row r="294" spans="1:1" ht="12.75">
      <c r="A294" s="3" t="str">
        <f ca="1">IFERROR(__xludf.DUMMYFUNCTION("""COMPUTED_VALUE"""),"HORIZONTAL SOLUTIONS GROUP SYNERGY SAS.")</f>
        <v>HORIZONTAL SOLUTIONS GROUP SYNERGY SAS.</v>
      </c>
    </row>
    <row r="295" spans="1:1" ht="12.75">
      <c r="A295" s="3" t="str">
        <f ca="1">IFERROR(__xludf.DUMMYFUNCTION("""COMPUTED_VALUE"""),"PETROSEISMIC SERVICES S.A.")</f>
        <v>PETROSEISMIC SERVICES S.A.</v>
      </c>
    </row>
    <row r="296" spans="1:1" ht="12.75">
      <c r="A296" s="3" t="str">
        <f ca="1">IFERROR(__xludf.DUMMYFUNCTION("""COMPUTED_VALUE"""),"ACTORES SOCIEDAD COLOMBIANA DE GESTIÓN")</f>
        <v>ACTORES SOCIEDAD COLOMBIANA DE GESTIÓN</v>
      </c>
    </row>
    <row r="297" spans="1:1" ht="12.75">
      <c r="A297" s="3" t="str">
        <f ca="1">IFERROR(__xludf.DUMMYFUNCTION("""COMPUTED_VALUE"""),"COOSERVIUNIDOS LTDA")</f>
        <v>COOSERVIUNIDOS LTDA</v>
      </c>
    </row>
    <row r="298" spans="1:1" ht="12.75">
      <c r="A298" s="3" t="str">
        <f ca="1">IFERROR(__xludf.DUMMYFUNCTION("""COMPUTED_VALUE"""),"RESPALDAR LTDA")</f>
        <v>RESPALDAR LTDA</v>
      </c>
    </row>
    <row r="299" spans="1:1" ht="12.75">
      <c r="A299" s="3" t="str">
        <f ca="1">IFERROR(__xludf.DUMMYFUNCTION("""COMPUTED_VALUE"""),"BANCO FALABELLA")</f>
        <v>BANCO FALABELLA</v>
      </c>
    </row>
    <row r="300" spans="1:1" ht="12.75">
      <c r="A300" s="3" t="str">
        <f ca="1">IFERROR(__xludf.DUMMYFUNCTION("""COMPUTED_VALUE"""),"CONCESIONARIA VIAL ANDINA S.A.S")</f>
        <v>CONCESIONARIA VIAL ANDINA S.A.S</v>
      </c>
    </row>
    <row r="301" spans="1:1" ht="12.75">
      <c r="A301" s="3" t="str">
        <f ca="1">IFERROR(__xludf.DUMMYFUNCTION("""COMPUTED_VALUE"""),"CASSAROLA S.A.S.")</f>
        <v>CASSAROLA S.A.S.</v>
      </c>
    </row>
    <row r="302" spans="1:1" ht="12.75">
      <c r="A302" s="3" t="str">
        <f ca="1">IFERROR(__xludf.DUMMYFUNCTION("""COMPUTED_VALUE"""),"POSITIVA COMPAÑIA DE SEGUROS SA")</f>
        <v>POSITIVA COMPAÑIA DE SEGUROS SA</v>
      </c>
    </row>
    <row r="303" spans="1:1" ht="12.75">
      <c r="A303" s="3" t="str">
        <f ca="1">IFERROR(__xludf.DUMMYFUNCTION("""COMPUTED_VALUE"""),"PURINA NESTLÉ")</f>
        <v>PURINA NESTLÉ</v>
      </c>
    </row>
    <row r="304" spans="1:1" ht="12.75">
      <c r="A304" s="3" t="str">
        <f ca="1">IFERROR(__xludf.DUMMYFUNCTION("""COMPUTED_VALUE"""),"GRUPO MCN COLOMBIA SAS")</f>
        <v>GRUPO MCN COLOMBIA SAS</v>
      </c>
    </row>
    <row r="305" spans="1:1" ht="12.75">
      <c r="A305" s="3" t="str">
        <f ca="1">IFERROR(__xludf.DUMMYFUNCTION("""COMPUTED_VALUE"""),"ALCOMEX S.A.
ALMACENADORES Y COMERCIO EXTERIOR SAS")</f>
        <v>ALCOMEX S.A.
ALMACENADORES Y COMERCIO EXTERIOR SAS</v>
      </c>
    </row>
    <row r="306" spans="1:1" ht="12.75">
      <c r="A306" s="3" t="str">
        <f ca="1">IFERROR(__xludf.DUMMYFUNCTION("""COMPUTED_VALUE"""),"AUTONAL &amp; CIA S.A.S")</f>
        <v>AUTONAL &amp; CIA S.A.S</v>
      </c>
    </row>
    <row r="307" spans="1:1" ht="12.75">
      <c r="A307" s="3" t="str">
        <f ca="1">IFERROR(__xludf.DUMMYFUNCTION("""COMPUTED_VALUE"""),"MEYAN S.A")</f>
        <v>MEYAN S.A</v>
      </c>
    </row>
    <row r="308" spans="1:1" ht="12.75">
      <c r="A308" s="3" t="str">
        <f ca="1">IFERROR(__xludf.DUMMYFUNCTION("""COMPUTED_VALUE"""),"CUANTICORE SAS")</f>
        <v>CUANTICORE SAS</v>
      </c>
    </row>
    <row r="309" spans="1:1" ht="12.75">
      <c r="A309" s="3" t="str">
        <f ca="1">IFERROR(__xludf.DUMMYFUNCTION("""COMPUTED_VALUE"""),"FLORES CIPRES")</f>
        <v>FLORES CIPRES</v>
      </c>
    </row>
    <row r="310" spans="1:1" ht="12.75">
      <c r="A310" s="3" t="str">
        <f ca="1">IFERROR(__xludf.DUMMYFUNCTION("""COMPUTED_VALUE"""),"FLORES EL ALJIBE SAS")</f>
        <v>FLORES EL ALJIBE SAS</v>
      </c>
    </row>
    <row r="311" spans="1:1" ht="12.75">
      <c r="A311" s="3" t="str">
        <f ca="1">IFERROR(__xludf.DUMMYFUNCTION("""COMPUTED_VALUE"""),"PROFIT BANCA DE INVERSION SAS")</f>
        <v>PROFIT BANCA DE INVERSION SAS</v>
      </c>
    </row>
    <row r="312" spans="1:1" ht="12.75">
      <c r="A312" s="3" t="str">
        <f ca="1">IFERROR(__xludf.DUMMYFUNCTION("""COMPUTED_VALUE"""),"CENTRO MAYOR CENTRO COMERCIAL")</f>
        <v>CENTRO MAYOR CENTRO COMERCIAL</v>
      </c>
    </row>
    <row r="313" spans="1:1" ht="12.75">
      <c r="A313" s="3" t="str">
        <f ca="1">IFERROR(__xludf.DUMMYFUNCTION("""COMPUTED_VALUE"""),"IMBOCAR S.A.S")</f>
        <v>IMBOCAR S.A.S</v>
      </c>
    </row>
    <row r="314" spans="1:1" ht="12.75">
      <c r="A314" s="3" t="str">
        <f ca="1">IFERROR(__xludf.DUMMYFUNCTION("""COMPUTED_VALUE"""),"DOCUMENTS S.A.S")</f>
        <v>DOCUMENTS S.A.S</v>
      </c>
    </row>
    <row r="315" spans="1:1" ht="12.75">
      <c r="A315" s="3" t="str">
        <f ca="1">IFERROR(__xludf.DUMMYFUNCTION("""COMPUTED_VALUE"""),"TECHBOSS SAS")</f>
        <v>TECHBOSS SAS</v>
      </c>
    </row>
    <row r="316" spans="1:1" ht="12.75">
      <c r="A316" s="3" t="str">
        <f ca="1">IFERROR(__xludf.DUMMYFUNCTION("""COMPUTED_VALUE"""),"AIRLAB CONSULTING S.A.S")</f>
        <v>AIRLAB CONSULTING S.A.S</v>
      </c>
    </row>
    <row r="317" spans="1:1" ht="12.75">
      <c r="A317" s="3" t="str">
        <f ca="1">IFERROR(__xludf.DUMMYFUNCTION("""COMPUTED_VALUE"""),"IMAGE QUALITY OUTSOURCING S.A. IQ OUTSOURCING S.A")</f>
        <v>IMAGE QUALITY OUTSOURCING S.A. IQ OUTSOURCING S.A</v>
      </c>
    </row>
    <row r="318" spans="1:1" ht="12.75">
      <c r="A318" s="3" t="str">
        <f ca="1">IFERROR(__xludf.DUMMYFUNCTION("""COMPUTED_VALUE"""),"CONINSA S.A.S")</f>
        <v>CONINSA S.A.S</v>
      </c>
    </row>
    <row r="319" spans="1:1" ht="12.75">
      <c r="A319" s="3" t="str">
        <f ca="1">IFERROR(__xludf.DUMMYFUNCTION("""COMPUTED_VALUE"""),"FORTOX S.A")</f>
        <v>FORTOX S.A</v>
      </c>
    </row>
    <row r="320" spans="1:1" ht="12.75">
      <c r="A320" s="3" t="str">
        <f ca="1">IFERROR(__xludf.DUMMYFUNCTION("""COMPUTED_VALUE"""),"ALPAPEL SAS")</f>
        <v>ALPAPEL SAS</v>
      </c>
    </row>
    <row r="321" spans="1:1" ht="12.75">
      <c r="A321" s="3" t="str">
        <f ca="1">IFERROR(__xludf.DUMMYFUNCTION("""COMPUTED_VALUE"""),"CHARLOTTE PASTELERIA BOGOTÁ")</f>
        <v>CHARLOTTE PASTELERIA BOGOTÁ</v>
      </c>
    </row>
    <row r="322" spans="1:1" ht="12.75">
      <c r="A322" s="3" t="str">
        <f ca="1">IFERROR(__xludf.DUMMYFUNCTION("""COMPUTED_VALUE"""),"ZONA MEDICA MR SAS")</f>
        <v>ZONA MEDICA MR SAS</v>
      </c>
    </row>
    <row r="323" spans="1:1" ht="12.75">
      <c r="A323" s="3" t="str">
        <f ca="1">IFERROR(__xludf.DUMMYFUNCTION("""COMPUTED_VALUE"""),"BAUCORT LTDA")</f>
        <v>BAUCORT LTDA</v>
      </c>
    </row>
    <row r="324" spans="1:1" ht="12.75">
      <c r="A324" s="3" t="str">
        <f ca="1">IFERROR(__xludf.DUMMYFUNCTION("""COMPUTED_VALUE"""),"CLINICA MEDICENTRO FAMILIAR IPS SAS")</f>
        <v>CLINICA MEDICENTRO FAMILIAR IPS SAS</v>
      </c>
    </row>
    <row r="325" spans="1:1" ht="12.75">
      <c r="A325" s="3" t="str">
        <f ca="1">IFERROR(__xludf.DUMMYFUNCTION("""COMPUTED_VALUE"""),"EMTIRIA SAS")</f>
        <v>EMTIRIA SAS</v>
      </c>
    </row>
    <row r="326" spans="1:1" ht="12.75">
      <c r="A326" s="3" t="str">
        <f ca="1">IFERROR(__xludf.DUMMYFUNCTION("""COMPUTED_VALUE"""),"EL MILAGRO DE LAS FLORES SAS")</f>
        <v>EL MILAGRO DE LAS FLORES SAS</v>
      </c>
    </row>
    <row r="327" spans="1:1" ht="12.75">
      <c r="A327" s="3" t="str">
        <f ca="1">IFERROR(__xludf.DUMMYFUNCTION("""COMPUTED_VALUE"""),"LA CONSTRUCTORA ESQUISSE ARQUITECTOS")</f>
        <v>LA CONSTRUCTORA ESQUISSE ARQUITECTOS</v>
      </c>
    </row>
    <row r="328" spans="1:1" ht="12.75">
      <c r="A328" s="3" t="str">
        <f ca="1">IFERROR(__xludf.DUMMYFUNCTION("""COMPUTED_VALUE"""),"ALMACENES CORONA S.A.S")</f>
        <v>ALMACENES CORONA S.A.S</v>
      </c>
    </row>
    <row r="329" spans="1:1" ht="12.75">
      <c r="A329" s="3" t="str">
        <f ca="1">IFERROR(__xludf.DUMMYFUNCTION("""COMPUTED_VALUE"""),"RSSI GESTIÓN INTEGRAL SAS")</f>
        <v>RSSI GESTIÓN INTEGRAL SAS</v>
      </c>
    </row>
    <row r="330" spans="1:1" ht="12.75">
      <c r="A330" s="3" t="str">
        <f ca="1">IFERROR(__xludf.DUMMYFUNCTION("""COMPUTED_VALUE"""),"DESECHABLES DESMEDICOS")</f>
        <v>DESECHABLES DESMEDICOS</v>
      </c>
    </row>
    <row r="331" spans="1:1" ht="12.75">
      <c r="A331" s="3" t="str">
        <f ca="1">IFERROR(__xludf.DUMMYFUNCTION("""COMPUTED_VALUE"""),"ITELCA SAS")</f>
        <v>ITELCA SAS</v>
      </c>
    </row>
    <row r="332" spans="1:1" ht="12.75">
      <c r="A332" s="3" t="str">
        <f ca="1">IFERROR(__xludf.DUMMYFUNCTION("""COMPUTED_VALUE"""),"CORFICOLOMBIANA")</f>
        <v>CORFICOLOMBIANA</v>
      </c>
    </row>
    <row r="333" spans="1:1" ht="12.75">
      <c r="A333" s="3" t="str">
        <f ca="1">IFERROR(__xludf.DUMMYFUNCTION("""COMPUTED_VALUE"""),"CAMERFIRMA COLOMBIAS SAS")</f>
        <v>CAMERFIRMA COLOMBIAS SAS</v>
      </c>
    </row>
    <row r="334" spans="1:1" ht="12.75">
      <c r="A334" s="3" t="str">
        <f ca="1">IFERROR(__xludf.DUMMYFUNCTION("""COMPUTED_VALUE"""),"INTERLOMAS SAS")</f>
        <v>INTERLOMAS SAS</v>
      </c>
    </row>
    <row r="335" spans="1:1" ht="12.75">
      <c r="A335" s="3" t="str">
        <f ca="1">IFERROR(__xludf.DUMMYFUNCTION("""COMPUTED_VALUE"""),"GREENPACK SAS")</f>
        <v>GREENPACK SAS</v>
      </c>
    </row>
    <row r="336" spans="1:1" ht="12.75">
      <c r="A336" s="3" t="str">
        <f ca="1">IFERROR(__xludf.DUMMYFUNCTION("""COMPUTED_VALUE"""),"ADMINISTRACIÓN DE SERVICIOS Y SEGURIDAD EL TESORO")</f>
        <v>ADMINISTRACIÓN DE SERVICIOS Y SEGURIDAD EL TESORO</v>
      </c>
    </row>
    <row r="337" spans="1:1" ht="12.75">
      <c r="A337" s="3" t="str">
        <f ca="1">IFERROR(__xludf.DUMMYFUNCTION("""COMPUTED_VALUE"""),"CIC CONSULTORES DE INGENIERIA Y CIMENTACIONES SAS")</f>
        <v>CIC CONSULTORES DE INGENIERIA Y CIMENTACIONES SAS</v>
      </c>
    </row>
    <row r="338" spans="1:1" ht="12.75">
      <c r="A338" s="3" t="str">
        <f ca="1">IFERROR(__xludf.DUMMYFUNCTION("""COMPUTED_VALUE"""),"EL VIAJERO HOSTELS S.A.S")</f>
        <v>EL VIAJERO HOSTELS S.A.S</v>
      </c>
    </row>
    <row r="339" spans="1:1" ht="12.75">
      <c r="A339" s="3" t="str">
        <f ca="1">IFERROR(__xludf.DUMMYFUNCTION("""COMPUTED_VALUE"""),"EV BogotáSAS")</f>
        <v>EV BogotáSAS</v>
      </c>
    </row>
    <row r="340" spans="1:1" ht="12.75">
      <c r="A340" s="3" t="str">
        <f ca="1">IFERROR(__xludf.DUMMYFUNCTION("""COMPUTED_VALUE"""),"FLORA MEDICINAL COLOMBIANA SAS")</f>
        <v>FLORA MEDICINAL COLOMBIANA SAS</v>
      </c>
    </row>
    <row r="341" spans="1:1" ht="12.75">
      <c r="A341" s="3" t="str">
        <f ca="1">IFERROR(__xludf.DUMMYFUNCTION("""COMPUTED_VALUE"""),"DACARTEC INTERNACIONAL SERVICES ANDINA SA")</f>
        <v>DACARTEC INTERNACIONAL SERVICES ANDINA SA</v>
      </c>
    </row>
    <row r="342" spans="1:1" ht="12.75">
      <c r="A342" s="3" t="str">
        <f ca="1">IFERROR(__xludf.DUMMYFUNCTION("""COMPUTED_VALUE"""),"SONEPAR")</f>
        <v>SONEPAR</v>
      </c>
    </row>
    <row r="343" spans="1:1" ht="12.75">
      <c r="A343" s="3" t="str">
        <f ca="1">IFERROR(__xludf.DUMMYFUNCTION("""COMPUTED_VALUE"""),"IKE ASISTENCIA COLOMBIA SA")</f>
        <v>IKE ASISTENCIA COLOMBIA SA</v>
      </c>
    </row>
    <row r="344" spans="1:1" ht="12.75">
      <c r="A344" s="3" t="str">
        <f ca="1">IFERROR(__xludf.DUMMYFUNCTION("""COMPUTED_VALUE"""),"SBQ COLOMBIA SAS")</f>
        <v>SBQ COLOMBIA SAS</v>
      </c>
    </row>
    <row r="345" spans="1:1" ht="12.75">
      <c r="A345" s="3" t="str">
        <f ca="1">IFERROR(__xludf.DUMMYFUNCTION("""COMPUTED_VALUE"""),"CORONA INDUSTRIAL SAS")</f>
        <v>CORONA INDUSTRIAL SAS</v>
      </c>
    </row>
    <row r="346" spans="1:1" ht="12.75">
      <c r="A346" s="3" t="str">
        <f ca="1">IFERROR(__xludf.DUMMYFUNCTION("""COMPUTED_VALUE"""),"JIREH TEXTILES SAS")</f>
        <v>JIREH TEXTILES SAS</v>
      </c>
    </row>
    <row r="347" spans="1:1" ht="12.75">
      <c r="A347" s="3" t="str">
        <f ca="1">IFERROR(__xludf.DUMMYFUNCTION("""COMPUTED_VALUE"""),"PASTAS DI MARIALE")</f>
        <v>PASTAS DI MARIALE</v>
      </c>
    </row>
    <row r="348" spans="1:1" ht="12.75">
      <c r="A348" s="3" t="str">
        <f ca="1">IFERROR(__xludf.DUMMYFUNCTION("""COMPUTED_VALUE"""),"VERMORA SAS")</f>
        <v>VERMORA SAS</v>
      </c>
    </row>
    <row r="349" spans="1:1" ht="12.75">
      <c r="A349" s="3" t="str">
        <f ca="1">IFERROR(__xludf.DUMMYFUNCTION("""COMPUTED_VALUE"""),"NIÑO CAINA CONSTRUCCIONES LIMITADA")</f>
        <v>NIÑO CAINA CONSTRUCCIONES LIMITADA</v>
      </c>
    </row>
    <row r="350" spans="1:1" ht="12.75">
      <c r="A350" s="3" t="str">
        <f ca="1">IFERROR(__xludf.DUMMYFUNCTION("""COMPUTED_VALUE"""),"ANASTASIA R&amp;M SAS")</f>
        <v>ANASTASIA R&amp;M SAS</v>
      </c>
    </row>
    <row r="351" spans="1:1" ht="12.75">
      <c r="A351" s="3" t="str">
        <f ca="1">IFERROR(__xludf.DUMMYFUNCTION("""COMPUTED_VALUE"""),"CORRECOL CORREDORES COLOMBIANOS DE SEGUROS SAS")</f>
        <v>CORRECOL CORREDORES COLOMBIANOS DE SEGUROS SAS</v>
      </c>
    </row>
    <row r="352" spans="1:1" ht="12.75">
      <c r="A352" s="3" t="str">
        <f ca="1">IFERROR(__xludf.DUMMYFUNCTION("""COMPUTED_VALUE"""),"NESTLE DE COLOMBIA SA")</f>
        <v>NESTLE DE COLOMBIA SA</v>
      </c>
    </row>
    <row r="353" spans="1:1" ht="12.75">
      <c r="A353" s="3" t="str">
        <f ca="1">IFERROR(__xludf.DUMMYFUNCTION("""COMPUTED_VALUE"""),"SINERGY &amp; LOWELLS S.A.S")</f>
        <v>SINERGY &amp; LOWELLS S.A.S</v>
      </c>
    </row>
    <row r="354" spans="1:1" ht="12.75">
      <c r="A354" s="3" t="str">
        <f ca="1">IFERROR(__xludf.DUMMYFUNCTION("""COMPUTED_VALUE"""),"TRANSPORTE Y LOGÍSTICA INTEGRAL SAS")</f>
        <v>TRANSPORTE Y LOGÍSTICA INTEGRAL SAS</v>
      </c>
    </row>
    <row r="355" spans="1:1" ht="12.75">
      <c r="A355" s="3" t="str">
        <f ca="1">IFERROR(__xludf.DUMMYFUNCTION("""COMPUTED_VALUE"""),"SERVICIO GEOLÓGICO COLOMBIANO")</f>
        <v>SERVICIO GEOLÓGICO COLOMBIANO</v>
      </c>
    </row>
    <row r="356" spans="1:1" ht="12.75">
      <c r="A356" s="3" t="str">
        <f ca="1">IFERROR(__xludf.DUMMYFUNCTION("""COMPUTED_VALUE"""),"FLEXPORT DE COLOMBIA")</f>
        <v>FLEXPORT DE COLOMBIA</v>
      </c>
    </row>
    <row r="357" spans="1:1" ht="12.75">
      <c r="A357" s="3" t="str">
        <f ca="1">IFERROR(__xludf.DUMMYFUNCTION("""COMPUTED_VALUE"""),"GRUPO OPTICO ANDES SAS")</f>
        <v>GRUPO OPTICO ANDES SAS</v>
      </c>
    </row>
    <row r="358" spans="1:1" ht="12.75">
      <c r="A358" s="3" t="str">
        <f ca="1">IFERROR(__xludf.DUMMYFUNCTION("""COMPUTED_VALUE"""),"SOCIEDAD HOTELERA TEQUENDAMA S.A.")</f>
        <v>SOCIEDAD HOTELERA TEQUENDAMA S.A.</v>
      </c>
    </row>
    <row r="359" spans="1:1" ht="12.75">
      <c r="A359" s="3" t="str">
        <f ca="1">IFERROR(__xludf.DUMMYFUNCTION("""COMPUTED_VALUE"""),"AUTOVIA NEIVA GirardotS A S")</f>
        <v>AUTOVIA NEIVA GirardotS A S</v>
      </c>
    </row>
    <row r="360" spans="1:1" ht="12.75">
      <c r="A360" s="3" t="str">
        <f ca="1">IFERROR(__xludf.DUMMYFUNCTION("""COMPUTED_VALUE"""),"POLYAGRO S A S")</f>
        <v>POLYAGRO S A S</v>
      </c>
    </row>
    <row r="361" spans="1:1" ht="12.75">
      <c r="A361" s="3" t="str">
        <f ca="1">IFERROR(__xludf.DUMMYFUNCTION("""COMPUTED_VALUE"""),"DISMAPRO LAMINAS SAS")</f>
        <v>DISMAPRO LAMINAS SAS</v>
      </c>
    </row>
    <row r="362" spans="1:1" ht="12.75">
      <c r="A362" s="3" t="str">
        <f ca="1">IFERROR(__xludf.DUMMYFUNCTION("""COMPUTED_VALUE"""),"NETWORK COL SAS")</f>
        <v>NETWORK COL SAS</v>
      </c>
    </row>
    <row r="363" spans="1:1" ht="12.75">
      <c r="A363" s="3" t="str">
        <f ca="1">IFERROR(__xludf.DUMMYFUNCTION("""COMPUTED_VALUE"""),"JÚnicaL MEDICAL SAS")</f>
        <v>JÚnicaL MEDICAL SAS</v>
      </c>
    </row>
    <row r="364" spans="1:1" ht="12.75">
      <c r="A364" s="3" t="str">
        <f ca="1">IFERROR(__xludf.DUMMYFUNCTION("""COMPUTED_VALUE"""),"ACI PROYECTOS SAS")</f>
        <v>ACI PROYECTOS SAS</v>
      </c>
    </row>
    <row r="365" spans="1:1" ht="12.75">
      <c r="A365" s="3" t="str">
        <f ca="1">IFERROR(__xludf.DUMMYFUNCTION("""COMPUTED_VALUE"""),"CEMEX COLOMBIA S.A")</f>
        <v>CEMEX COLOMBIA S.A</v>
      </c>
    </row>
    <row r="366" spans="1:1" ht="12.75">
      <c r="A366" s="3" t="str">
        <f ca="1">IFERROR(__xludf.DUMMYFUNCTION("""COMPUTED_VALUE"""),"GRUPO CEMEX
(CEMEX COLOMBIA S.A 
CEMEX ADMINISTRACIONES LTDA
CEMEX TRANSPORTES DE COLOMBIA S.A.
CEMEX SOLUCIONES S.A.S
CEMEX PREMEZCLADOS DE
COLOMBIA S.A CEMEX ENERGY S.A.S. )")</f>
        <v>GRUPO CEMEX
(CEMEX COLOMBIA S.A 
CEMEX ADMINISTRACIONES LTDA
CEMEX TRANSPORTES DE COLOMBIA S.A.
CEMEX SOLUCIONES S.A.S
CEMEX PREMEZCLADOS DE
COLOMBIA S.A CEMEX ENERGY S.A.S. )</v>
      </c>
    </row>
    <row r="367" spans="1:1" ht="12.75">
      <c r="A367" s="3" t="str">
        <f ca="1">IFERROR(__xludf.DUMMYFUNCTION("""COMPUTED_VALUE"""),"14 EMPRESAS")</f>
        <v>14 EMPRESAS</v>
      </c>
    </row>
    <row r="368" spans="1:1" ht="12.75">
      <c r="A368" s="3" t="str">
        <f ca="1">IFERROR(__xludf.DUMMYFUNCTION("""COMPUTED_VALUE"""),"3B PROYECTOS")</f>
        <v>3B PROYECTOS</v>
      </c>
    </row>
    <row r="369" spans="1:1" ht="12.75">
      <c r="A369" s="3" t="str">
        <f ca="1">IFERROR(__xludf.DUMMYFUNCTION("""COMPUTED_VALUE"""),"ABACO COLOMBIA AJUSTADORES INTERNACIONALES SAS")</f>
        <v>ABACO COLOMBIA AJUSTADORES INTERNACIONALES SAS</v>
      </c>
    </row>
    <row r="370" spans="1:1" ht="12.75">
      <c r="A370" s="3" t="str">
        <f ca="1">IFERROR(__xludf.DUMMYFUNCTION("""COMPUTED_VALUE"""),"ABC DE SERVICIOS SAS")</f>
        <v>ABC DE SERVICIOS SAS</v>
      </c>
    </row>
    <row r="371" spans="1:1" ht="12.75">
      <c r="A371" s="3" t="str">
        <f ca="1">IFERROR(__xludf.DUMMYFUNCTION("""COMPUTED_VALUE"""),"ABCINFUSE S.A.S")</f>
        <v>ABCINFUSE S.A.S</v>
      </c>
    </row>
    <row r="372" spans="1:1" ht="12.75">
      <c r="A372" s="3" t="str">
        <f ca="1">IFERROR(__xludf.DUMMYFUNCTION("""COMPUTED_VALUE"""),"ABCOLOR CARTON DISPLAY SAS")</f>
        <v>ABCOLOR CARTON DISPLAY SAS</v>
      </c>
    </row>
    <row r="373" spans="1:1" ht="12.75">
      <c r="A373" s="3" t="str">
        <f ca="1">IFERROR(__xludf.DUMMYFUNCTION("""COMPUTED_VALUE"""),"ABCONTROL INGENIERIA SAS")</f>
        <v>ABCONTROL INGENIERIA SAS</v>
      </c>
    </row>
    <row r="374" spans="1:1" ht="12.75">
      <c r="A374" s="3" t="str">
        <f ca="1">IFERROR(__xludf.DUMMYFUNCTION("""COMPUTED_VALUE"""),"ABECOL DEMOLICIONES Y CONSTRUCCIONES S.A.S.")</f>
        <v>ABECOL DEMOLICIONES Y CONSTRUCCIONES S.A.S.</v>
      </c>
    </row>
    <row r="375" spans="1:1" ht="12.75">
      <c r="A375" s="3" t="str">
        <f ca="1">IFERROR(__xludf.DUMMYFUNCTION("""COMPUTED_VALUE"""),"ACCENTURE LTDA")</f>
        <v>ACCENTURE LTDA</v>
      </c>
    </row>
    <row r="376" spans="1:1" ht="12.75">
      <c r="A376" s="3" t="str">
        <f ca="1">IFERROR(__xludf.DUMMYFUNCTION("""COMPUTED_VALUE"""),"ACCORHOTELS COLOMBIA")</f>
        <v>ACCORHOTELS COLOMBIA</v>
      </c>
    </row>
    <row r="377" spans="1:1" ht="12.75">
      <c r="A377" s="3" t="str">
        <f ca="1">IFERROR(__xludf.DUMMYFUNCTION("""COMPUTED_VALUE"""),"ADIDAS COLOMBIA LTDA")</f>
        <v>ADIDAS COLOMBIA LTDA</v>
      </c>
    </row>
    <row r="378" spans="1:1" ht="12.75">
      <c r="A378" s="3" t="str">
        <f ca="1">IFERROR(__xludf.DUMMYFUNCTION("""COMPUTED_VALUE"""),"ADIDAS COLOMBIA LTDA Administrativa")</f>
        <v>ADIDAS COLOMBIA LTDA Administrativa</v>
      </c>
    </row>
    <row r="379" spans="1:1" ht="12.75">
      <c r="A379" s="3" t="str">
        <f ca="1">IFERROR(__xludf.DUMMYFUNCTION("""COMPUTED_VALUE"""),"ADIDAS COLOMBIA LTDA Administrativa")</f>
        <v>ADIDAS COLOMBIA LTDA Administrativa</v>
      </c>
    </row>
    <row r="380" spans="1:1" ht="12.75">
      <c r="A380" s="3" t="str">
        <f ca="1">IFERROR(__xludf.DUMMYFUNCTION("""COMPUTED_VALUE"""),"ADIDAS COLOMBIA LTDA - Américas II")</f>
        <v>ADIDAS COLOMBIA LTDA - Américas II</v>
      </c>
    </row>
    <row r="381" spans="1:1" ht="12.75">
      <c r="A381" s="3" t="str">
        <f ca="1">IFERROR(__xludf.DUMMYFUNCTION("""COMPUTED_VALUE"""),"ADIDAS COLOMBIA LTDA - BCS La Felicidad")</f>
        <v>ADIDAS COLOMBIA LTDA - BCS La Felicidad</v>
      </c>
    </row>
    <row r="382" spans="1:1" ht="12.75">
      <c r="A382" s="3" t="str">
        <f ca="1">IFERROR(__xludf.DUMMYFUNCTION("""COMPUTED_VALUE"""),"ADIDAS COLOMBIA LTDA - C.C Andino")</f>
        <v>ADIDAS COLOMBIA LTDA - C.C Andino</v>
      </c>
    </row>
    <row r="383" spans="1:1" ht="12.75">
      <c r="A383" s="3" t="str">
        <f ca="1">IFERROR(__xludf.DUMMYFUNCTION("""COMPUTED_VALUE"""),"ADIDAS COLOMBIA LTDA - C.C Gran Estación")</f>
        <v>ADIDAS COLOMBIA LTDA - C.C Gran Estación</v>
      </c>
    </row>
    <row r="384" spans="1:1" ht="12.75">
      <c r="A384" s="3" t="str">
        <f ca="1">IFERROR(__xludf.DUMMYFUNCTION("""COMPUTED_VALUE"""),"ADIDAS COLOMBIA LTDA - C.C Nuestro Bogotá")</f>
        <v>ADIDAS COLOMBIA LTDA - C.C Nuestro Bogotá</v>
      </c>
    </row>
    <row r="385" spans="1:1" ht="12.75">
      <c r="A385" s="3" t="str">
        <f ca="1">IFERROR(__xludf.DUMMYFUNCTION("""COMPUTED_VALUE"""),"ADIDAS COLOMBIA LTDA - Calle 122")</f>
        <v>ADIDAS COLOMBIA LTDA - Calle 122</v>
      </c>
    </row>
    <row r="386" spans="1:1" ht="12.75">
      <c r="A386" s="3" t="str">
        <f ca="1">IFERROR(__xludf.DUMMYFUNCTION("""COMPUTED_VALUE"""),"ADIDAS COLOMBIA LTDA - Calle 17")</f>
        <v>ADIDAS COLOMBIA LTDA - Calle 17</v>
      </c>
    </row>
    <row r="387" spans="1:1" ht="12.75">
      <c r="A387" s="3" t="str">
        <f ca="1">IFERROR(__xludf.DUMMYFUNCTION("""COMPUTED_VALUE"""),"ADIDAS COLOMBIA LTDA - Calle 82")</f>
        <v>ADIDAS COLOMBIA LTDA - Calle 82</v>
      </c>
    </row>
    <row r="388" spans="1:1" ht="12.75">
      <c r="A388" s="3" t="str">
        <f ca="1">IFERROR(__xludf.DUMMYFUNCTION("""COMPUTED_VALUE"""),"ADIDAS COLOMBIA LTDA - CC Titan Plaza")</f>
        <v>ADIDAS COLOMBIA LTDA - CC Titan Plaza</v>
      </c>
    </row>
    <row r="389" spans="1:1" ht="12.75">
      <c r="A389" s="3" t="str">
        <f ca="1">IFERROR(__xludf.DUMMYFUNCTION("""COMPUTED_VALUE"""),"ADIDAS COLOMBIA LTDA - Cedritos")</f>
        <v>ADIDAS COLOMBIA LTDA - Cedritos</v>
      </c>
    </row>
    <row r="390" spans="1:1" ht="12.75">
      <c r="A390" s="3" t="str">
        <f ca="1">IFERROR(__xludf.DUMMYFUNCTION("""COMPUTED_VALUE"""),"ADIDAS COLOMBIA LTDA - Centro Mayor")</f>
        <v>ADIDAS COLOMBIA LTDA - Centro Mayor</v>
      </c>
    </row>
    <row r="391" spans="1:1" ht="12.75">
      <c r="A391" s="3" t="str">
        <f ca="1">IFERROR(__xludf.DUMMYFUNCTION("""COMPUTED_VALUE"""),"ADIDAS COLOMBIA LTDA - Chapinero")</f>
        <v>ADIDAS COLOMBIA LTDA - Chapinero</v>
      </c>
    </row>
    <row r="392" spans="1:1" ht="12.75">
      <c r="A392" s="3" t="str">
        <f ca="1">IFERROR(__xludf.DUMMYFUNCTION("""COMPUTED_VALUE"""),"ADIDAS COLOMBIA LTDA - Colina")</f>
        <v>ADIDAS COLOMBIA LTDA - Colina</v>
      </c>
    </row>
    <row r="393" spans="1:1" ht="12.75">
      <c r="A393" s="3" t="str">
        <f ca="1">IFERROR(__xludf.DUMMYFUNCTION("""COMPUTED_VALUE"""),"ADIDAS COLOMBIA LTDA - Fontanar")</f>
        <v>ADIDAS COLOMBIA LTDA - Fontanar</v>
      </c>
    </row>
    <row r="394" spans="1:1" ht="12.75">
      <c r="A394" s="3" t="str">
        <f ca="1">IFERROR(__xludf.DUMMYFUNCTION("""COMPUTED_VALUE"""),"ADIDAS COLOMBIA LTDA - Fontibón")</f>
        <v>ADIDAS COLOMBIA LTDA - Fontibón</v>
      </c>
    </row>
    <row r="395" spans="1:1" ht="12.75">
      <c r="A395" s="3" t="str">
        <f ca="1">IFERROR(__xludf.DUMMYFUNCTION("""COMPUTED_VALUE"""),"ADIDAS COLOMBIA LTDA - Gran Plaza Soacha")</f>
        <v>ADIDAS COLOMBIA LTDA - Gran Plaza Soacha</v>
      </c>
    </row>
    <row r="396" spans="1:1" ht="12.75">
      <c r="A396" s="3" t="str">
        <f ca="1">IFERROR(__xludf.DUMMYFUNCTION("""COMPUTED_VALUE"""),"ADIDAS COLOMBIA LTDA - Mall Plaza")</f>
        <v>ADIDAS COLOMBIA LTDA - Mall Plaza</v>
      </c>
    </row>
    <row r="397" spans="1:1" ht="12.75">
      <c r="A397" s="3" t="str">
        <f ca="1">IFERROR(__xludf.DUMMYFUNCTION("""COMPUTED_VALUE"""),"ADIDAS COLOMBIA LTDA - MBFO Toberin")</f>
        <v>ADIDAS COLOMBIA LTDA - MBFO Toberin</v>
      </c>
    </row>
    <row r="398" spans="1:1" ht="12.75">
      <c r="A398" s="3" t="str">
        <f ca="1">IFERROR(__xludf.DUMMYFUNCTION("""COMPUTED_VALUE"""),"ADIDAS COLOMBIA LTDA - Mega Américas")</f>
        <v>ADIDAS COLOMBIA LTDA - Mega Américas</v>
      </c>
    </row>
    <row r="399" spans="1:1" ht="12.75">
      <c r="A399" s="3" t="str">
        <f ca="1">IFERROR(__xludf.DUMMYFUNCTION("""COMPUTED_VALUE"""),"ADIDAS COLOMBIA LTDA - Mega Américas")</f>
        <v>ADIDAS COLOMBIA LTDA - Mega Américas</v>
      </c>
    </row>
    <row r="400" spans="1:1" ht="12.75">
      <c r="A400" s="3" t="str">
        <f ca="1">IFERROR(__xludf.DUMMYFUNCTION("""COMPUTED_VALUE"""),"ADIDAS COLOMBIA LTDA - Plaza de las americas")</f>
        <v>ADIDAS COLOMBIA LTDA - Plaza de las americas</v>
      </c>
    </row>
    <row r="401" spans="1:1" ht="12.75">
      <c r="A401" s="3" t="str">
        <f ca="1">IFERROR(__xludf.DUMMYFUNCTION("""COMPUTED_VALUE"""),"ADIDAS COLOMBIA LTDA - Santafé")</f>
        <v>ADIDAS COLOMBIA LTDA - Santafé</v>
      </c>
    </row>
    <row r="402" spans="1:1" ht="12.75">
      <c r="A402" s="3" t="str">
        <f ca="1">IFERROR(__xludf.DUMMYFUNCTION("""COMPUTED_VALUE"""),"ADIDAS COLOMBIA LTDA - Suba")</f>
        <v>ADIDAS COLOMBIA LTDA - Suba</v>
      </c>
    </row>
    <row r="403" spans="1:1" ht="12.75">
      <c r="A403" s="3" t="str">
        <f ca="1">IFERROR(__xludf.DUMMYFUNCTION("""COMPUTED_VALUE"""),"ADIDAS COLOMBIA LTDA - Unicentro")</f>
        <v>ADIDAS COLOMBIA LTDA - Unicentro</v>
      </c>
    </row>
    <row r="404" spans="1:1" ht="12.75">
      <c r="A404" s="3" t="str">
        <f ca="1">IFERROR(__xludf.DUMMYFUNCTION("""COMPUTED_VALUE"""),"ADL DIGITAL LAB S.A.S.")</f>
        <v>ADL DIGITAL LAB S.A.S.</v>
      </c>
    </row>
    <row r="405" spans="1:1" ht="12.75">
      <c r="A405" s="3" t="str">
        <f ca="1">IFERROR(__xludf.DUMMYFUNCTION("""COMPUTED_VALUE"""),"ADMINISTRADORA COLOMBIANA DE PENSIONES COLPENSIONES")</f>
        <v>ADMINISTRADORA COLOMBIANA DE PENSIONES COLPENSIONES</v>
      </c>
    </row>
    <row r="406" spans="1:1" ht="12.75">
      <c r="A406" s="3" t="str">
        <f ca="1">IFERROR(__xludf.DUMMYFUNCTION("""COMPUTED_VALUE"""),"ADRES - ADMINISTRADORA DE LOS RECURSOS DEL SISTEMA GENERAL DE SEGURIDAD SOCIAL EN SALUD")</f>
        <v>ADRES - ADMINISTRADORA DE LOS RECURSOS DEL SISTEMA GENERAL DE SEGURIDAD SOCIAL EN SALUD</v>
      </c>
    </row>
    <row r="407" spans="1:1" ht="12.75">
      <c r="A407" s="3" t="str">
        <f ca="1">IFERROR(__xludf.DUMMYFUNCTION("""COMPUTED_VALUE"""),"ADS PHARMA SAS")</f>
        <v>ADS PHARMA SAS</v>
      </c>
    </row>
    <row r="408" spans="1:1" ht="12.75">
      <c r="A408" s="3" t="str">
        <f ca="1">IFERROR(__xludf.DUMMYFUNCTION("""COMPUTED_VALUE"""),"AECOM TECHNICAL SERVICES INC")</f>
        <v>AECOM TECHNICAL SERVICES INC</v>
      </c>
    </row>
    <row r="409" spans="1:1" ht="12.75">
      <c r="A409" s="3" t="str">
        <f ca="1">IFERROR(__xludf.DUMMYFUNCTION("""COMPUTED_VALUE"""),"AGENCIA DE EMPLEO COMPENSAR")</f>
        <v>AGENCIA DE EMPLEO COMPENSAR</v>
      </c>
    </row>
    <row r="410" spans="1:1" ht="12.75">
      <c r="A410" s="3" t="str">
        <f ca="1">IFERROR(__xludf.DUMMYFUNCTION("""COMPUTED_VALUE"""),"AGENCIA DE EMPLEO COMPENSAR - BOSA")</f>
        <v>AGENCIA DE EMPLEO COMPENSAR - BOSA</v>
      </c>
    </row>
    <row r="411" spans="1:1" ht="12.75">
      <c r="A411" s="3" t="str">
        <f ca="1">IFERROR(__xludf.DUMMYFUNCTION("""COMPUTED_VALUE"""),"AGENCIA DE EMPLEO COMPENSAR - Chapinero")</f>
        <v>AGENCIA DE EMPLEO COMPENSAR - Chapinero</v>
      </c>
    </row>
    <row r="412" spans="1:1" ht="12.75">
      <c r="A412" s="3" t="str">
        <f ca="1">IFERROR(__xludf.DUMMYFUNCTION("""COMPUTED_VALUE"""),"AGENCIA DE EMPLEO COMPENSAR - GIRARDOT")</f>
        <v>AGENCIA DE EMPLEO COMPENSAR - GIRARDOT</v>
      </c>
    </row>
    <row r="413" spans="1:1" ht="12.75">
      <c r="A413" s="3" t="str">
        <f ca="1">IFERROR(__xludf.DUMMYFUNCTION("""COMPUTED_VALUE"""),"AGENCIA DE EMPLEO COMPENSAR - KENNEDY")</f>
        <v>AGENCIA DE EMPLEO COMPENSAR - KENNEDY</v>
      </c>
    </row>
    <row r="414" spans="1:1" ht="12.75">
      <c r="A414" s="3" t="str">
        <f ca="1">IFERROR(__xludf.DUMMYFUNCTION("""COMPUTED_VALUE"""),"AGENCIA DE EMPLEO COMPENSAR - SUBA")</f>
        <v>AGENCIA DE EMPLEO COMPENSAR - SUBA</v>
      </c>
    </row>
    <row r="415" spans="1:1" ht="12.75">
      <c r="A415" s="3" t="str">
        <f ca="1">IFERROR(__xludf.DUMMYFUNCTION("""COMPUTED_VALUE"""),"AGENCIA DE SEGUROS FALABELLA LTDA")</f>
        <v>AGENCIA DE SEGUROS FALABELLA LTDA</v>
      </c>
    </row>
    <row r="416" spans="1:1" ht="12.75">
      <c r="A416" s="3" t="str">
        <f ca="1">IFERROR(__xludf.DUMMYFUNCTION("""COMPUTED_VALUE"""),"AGENCIA DE SEGUROS FALABELLA LTDA - DIVER PLAZA")</f>
        <v>AGENCIA DE SEGUROS FALABELLA LTDA - DIVER PLAZA</v>
      </c>
    </row>
    <row r="417" spans="1:1" ht="12.75">
      <c r="A417" s="3" t="str">
        <f ca="1">IFERROR(__xludf.DUMMYFUNCTION("""COMPUTED_VALUE"""),"AGENCIA DE VIAJES Y TURISMO AVIATUR S.A.S")</f>
        <v>AGENCIA DE VIAJES Y TURISMO AVIATUR S.A.S</v>
      </c>
    </row>
    <row r="418" spans="1:1" ht="12.75">
      <c r="A418" s="3" t="str">
        <f ca="1">IFERROR(__xludf.DUMMYFUNCTION("""COMPUTED_VALUE"""),"AGENCIA NACIONAL DE SEGURIDAD VIAL - ANSV")</f>
        <v>AGENCIA NACIONAL DE SEGURIDAD VIAL - ANSV</v>
      </c>
    </row>
    <row r="419" spans="1:1" ht="12.75">
      <c r="A419" s="3" t="str">
        <f ca="1">IFERROR(__xludf.DUMMYFUNCTION("""COMPUTED_VALUE"""),"AGENCIA NACIONAL DE TIERRAS")</f>
        <v>AGENCIA NACIONAL DE TIERRAS</v>
      </c>
    </row>
    <row r="420" spans="1:1" ht="12.75">
      <c r="A420" s="3" t="str">
        <f ca="1">IFERROR(__xludf.DUMMYFUNCTION("""COMPUTED_VALUE"""),"AGENCIA NACIONAL DEL ESPECTRO")</f>
        <v>AGENCIA NACIONAL DEL ESPECTRO</v>
      </c>
    </row>
    <row r="421" spans="1:1" ht="12.75">
      <c r="A421" s="3" t="str">
        <f ca="1">IFERROR(__xludf.DUMMYFUNCTION("""COMPUTED_VALUE"""),"AGENCIA PARA LA REINCORPORACIÓN Y LA NORMALIZACIÓN - ARN")</f>
        <v>AGENCIA PARA LA REINCORPORACIÓN Y LA NORMALIZACIÓN - ARN</v>
      </c>
    </row>
    <row r="422" spans="1:1" ht="12.75">
      <c r="A422" s="3" t="str">
        <f ca="1">IFERROR(__xludf.DUMMYFUNCTION("""COMPUTED_VALUE"""),"AGQ PRODYCON COLOMBIA SAS")</f>
        <v>AGQ PRODYCON COLOMBIA SAS</v>
      </c>
    </row>
    <row r="423" spans="1:1" ht="12.75">
      <c r="A423" s="3" t="str">
        <f ca="1">IFERROR(__xludf.DUMMYFUNCTION("""COMPUTED_VALUE"""),"AGS COLOMBIA SAS- ASESORES GERENCIALES Y AUDITORES EN SALUD")</f>
        <v>AGS COLOMBIA SAS- ASESORES GERENCIALES Y AUDITORES EN SALUD</v>
      </c>
    </row>
    <row r="424" spans="1:1" ht="12.75">
      <c r="A424" s="3" t="str">
        <f ca="1">IFERROR(__xludf.DUMMYFUNCTION("""COMPUTED_VALUE"""),"AIRAVATA")</f>
        <v>AIRAVATA</v>
      </c>
    </row>
    <row r="425" spans="1:1" ht="12.75">
      <c r="A425" s="3" t="str">
        <f ca="1">IFERROR(__xludf.DUMMYFUNCTION("""COMPUTED_VALUE"""),"AITEC S.A.S.")</f>
        <v>AITEC S.A.S.</v>
      </c>
    </row>
    <row r="426" spans="1:1" ht="12.75">
      <c r="A426" s="3" t="str">
        <f ca="1">IFERROR(__xludf.DUMMYFUNCTION("""COMPUTED_VALUE"""),"AJOVER DARNEL SAS")</f>
        <v>AJOVER DARNEL SAS</v>
      </c>
    </row>
    <row r="427" spans="1:1" ht="12.75">
      <c r="A427" s="3" t="str">
        <f ca="1">IFERROR(__xludf.DUMMYFUNCTION("""COMPUTED_VALUE"""),"ALCALDÍA DE SOPÓ")</f>
        <v>ALCALDÍA DE SOPÓ</v>
      </c>
    </row>
    <row r="428" spans="1:1" ht="12.75">
      <c r="A428" s="3" t="str">
        <f ca="1">IFERROR(__xludf.DUMMYFUNCTION("""COMPUTED_VALUE"""),"ALCALDÍA MUNICIPAL ChíaSECRETARIA DE DESARROLLO SOCIAL Y ECONÓMICO - [CLINICA Chía]")</f>
        <v>ALCALDÍA MUNICIPAL ChíaSECRETARIA DE DESARROLLO SOCIAL Y ECONÓMICO - [CLINICA Chía]</v>
      </c>
    </row>
    <row r="429" spans="1:1" ht="12.75">
      <c r="A429" s="3" t="str">
        <f ca="1">IFERROR(__xludf.DUMMYFUNCTION("""COMPUTED_VALUE"""),"ALIMENTOS CÁRNICOS S.A.S")</f>
        <v>ALIMENTOS CÁRNICOS S.A.S</v>
      </c>
    </row>
    <row r="430" spans="1:1" ht="12.75">
      <c r="A430" s="3" t="str">
        <f ca="1">IFERROR(__xludf.DUMMYFUNCTION("""COMPUTED_VALUE"""),"ALITAS COLOMBIANAS SAS")</f>
        <v>ALITAS COLOMBIANAS SAS</v>
      </c>
    </row>
    <row r="431" spans="1:1" ht="12.75">
      <c r="A431" s="3" t="str">
        <f ca="1">IFERROR(__xludf.DUMMYFUNCTION("""COMPUTED_VALUE"""),"ALMACONTAC SAS")</f>
        <v>ALMACONTAC SAS</v>
      </c>
    </row>
    <row r="432" spans="1:1" ht="12.75">
      <c r="A432" s="3" t="str">
        <f ca="1">IFERROR(__xludf.DUMMYFUNCTION("""COMPUTED_VALUE"""),"ALMARCHIVOS S.A. - Bogotá")</f>
        <v>ALMARCHIVOS S.A. - Bogotá</v>
      </c>
    </row>
    <row r="433" spans="1:1" ht="12.75">
      <c r="A433" s="3" t="str">
        <f ca="1">IFERROR(__xludf.DUMMYFUNCTION("""COMPUTED_VALUE"""),"ALMARCHIVOS S.A. - FUNZA")</f>
        <v>ALMARCHIVOS S.A. - FUNZA</v>
      </c>
    </row>
    <row r="434" spans="1:1" ht="12.75">
      <c r="A434" s="3" t="str">
        <f ca="1">IFERROR(__xludf.DUMMYFUNCTION("""COMPUTED_VALUE"""),"ALVARO AUGUSTO VERGARA")</f>
        <v>ALVARO AUGUSTO VERGARA</v>
      </c>
    </row>
    <row r="435" spans="1:1" ht="12.75">
      <c r="A435" s="3" t="str">
        <f ca="1">IFERROR(__xludf.DUMMYFUNCTION("""COMPUTED_VALUE"""),"AM CONSTRUCTORES S.A.")</f>
        <v>AM CONSTRUCTORES S.A.</v>
      </c>
    </row>
    <row r="436" spans="1:1" ht="12.75">
      <c r="A436" s="3" t="str">
        <f ca="1">IFERROR(__xludf.DUMMYFUNCTION("""COMPUTED_VALUE"""),"AMERICAS BUSINESS PROCESS SERVICES S A")</f>
        <v>AMERICAS BUSINESS PROCESS SERVICES S A</v>
      </c>
    </row>
    <row r="437" spans="1:1" ht="12.75">
      <c r="A437" s="3" t="str">
        <f ca="1">IFERROR(__xludf.DUMMYFUNCTION("""COMPUTED_VALUE"""),"AMEZQUITA &amp; CIA S.A.S")</f>
        <v>AMEZQUITA &amp; CIA S.A.S</v>
      </c>
    </row>
    <row r="438" spans="1:1" ht="12.75">
      <c r="A438" s="3" t="str">
        <f ca="1">IFERROR(__xludf.DUMMYFUNCTION("""COMPUTED_VALUE"""),"AMV COLOMBIA 
CORPORACIÓN AUTORREGULADOR DEL MERCADEO DE VALORES DE COLOMBIA")</f>
        <v>AMV COLOMBIA 
CORPORACIÓN AUTORREGULADOR DEL MERCADEO DE VALORES DE COLOMBIA</v>
      </c>
    </row>
    <row r="439" spans="1:1" ht="12.75">
      <c r="A439" s="3" t="str">
        <f ca="1">IFERROR(__xludf.DUMMYFUNCTION("""COMPUTED_VALUE"""),"ANASCOL SAS")</f>
        <v>ANASCOL SAS</v>
      </c>
    </row>
    <row r="440" spans="1:1" ht="12.75">
      <c r="A440" s="3" t="str">
        <f ca="1">IFERROR(__xludf.DUMMYFUNCTION("""COMPUTED_VALUE"""),"ANAVA TRANSPORT SAS")</f>
        <v>ANAVA TRANSPORT SAS</v>
      </c>
    </row>
    <row r="441" spans="1:1" ht="12.75">
      <c r="A441" s="3" t="str">
        <f ca="1">IFERROR(__xludf.DUMMYFUNCTION("""COMPUTED_VALUE"""),"ANTONIO BELTRAN MUEBLES Y ACCESORIOS SAS")</f>
        <v>ANTONIO BELTRAN MUEBLES Y ACCESORIOS SAS</v>
      </c>
    </row>
    <row r="442" spans="1:1" ht="12.75">
      <c r="A442" s="3" t="str">
        <f ca="1">IFERROR(__xludf.DUMMYFUNCTION("""COMPUTED_VALUE"""),"APC COLOMBIA - AGENCIA PRESIDENCIAL DE COOPERACIÓN INTERNACIONAL")</f>
        <v>APC COLOMBIA - AGENCIA PRESIDENCIAL DE COOPERACIÓN INTERNACIONAL</v>
      </c>
    </row>
    <row r="443" spans="1:1" ht="12.75">
      <c r="A443" s="3" t="str">
        <f ca="1">IFERROR(__xludf.DUMMYFUNCTION("""COMPUTED_VALUE"""),"APORTES EN LINEA S.A")</f>
        <v>APORTES EN LINEA S.A</v>
      </c>
    </row>
    <row r="444" spans="1:1" ht="12.75">
      <c r="A444" s="3" t="str">
        <f ca="1">IFERROR(__xludf.DUMMYFUNCTION("""COMPUTED_VALUE"""),"APPENZELL SAS")</f>
        <v>APPENZELL SAS</v>
      </c>
    </row>
    <row r="445" spans="1:1" ht="12.75">
      <c r="A445" s="3" t="str">
        <f ca="1">IFERROR(__xludf.DUMMYFUNCTION("""COMPUTED_VALUE"""),"APPLE TREE COMMÚnicaTIONS COLOMBIA SAS")</f>
        <v>APPLE TREE COMMÚnicaTIONS COLOMBIA SAS</v>
      </c>
    </row>
    <row r="446" spans="1:1" ht="12.75">
      <c r="A446" s="3" t="str">
        <f ca="1">IFERROR(__xludf.DUMMYFUNCTION("""COMPUTED_VALUE"""),"APPLUS NORCONTROL")</f>
        <v>APPLUS NORCONTROL</v>
      </c>
    </row>
    <row r="447" spans="1:1" ht="12.75">
      <c r="A447" s="3" t="str">
        <f ca="1">IFERROR(__xludf.DUMMYFUNCTION("""COMPUTED_VALUE"""),"APPLUS NORCONTROL COLOMBIA LTDA
INGEANDINA CONSULTORES DE INGENIERÍA SAS")</f>
        <v>APPLUS NORCONTROL COLOMBIA LTDA
INGEANDINA CONSULTORES DE INGENIERÍA SAS</v>
      </c>
    </row>
    <row r="448" spans="1:1" ht="12.75">
      <c r="A448" s="3" t="str">
        <f ca="1">IFERROR(__xludf.DUMMYFUNCTION("""COMPUTED_VALUE"""),"AQUAVIVA GESTIÓN E INGENIERÍA SAS")</f>
        <v>AQUAVIVA GESTIÓN E INGENIERÍA SAS</v>
      </c>
    </row>
    <row r="449" spans="1:1" ht="12.75">
      <c r="A449" s="3" t="str">
        <f ca="1">IFERROR(__xludf.DUMMYFUNCTION("""COMPUTED_VALUE"""),"AQUINAS NETWORK COLOMBIA S.A.S.")</f>
        <v>AQUINAS NETWORK COLOMBIA S.A.S.</v>
      </c>
    </row>
    <row r="450" spans="1:1" ht="12.75">
      <c r="A450" s="3" t="str">
        <f ca="1">IFERROR(__xludf.DUMMYFUNCTION("""COMPUTED_VALUE"""),"ARANDA SOFTWARE ANDINA SAS")</f>
        <v>ARANDA SOFTWARE ANDINA SAS</v>
      </c>
    </row>
    <row r="451" spans="1:1" ht="12.75">
      <c r="A451" s="3" t="str">
        <f ca="1">IFERROR(__xludf.DUMMYFUNCTION("""COMPUTED_VALUE"""),"ARCELER S.A.S - UNIGRANADINOS")</f>
        <v>ARCELER S.A.S - UNIGRANADINOS</v>
      </c>
    </row>
    <row r="452" spans="1:1" ht="12.75">
      <c r="A452" s="3" t="str">
        <f ca="1">IFERROR(__xludf.DUMMYFUNCTION("""COMPUTED_VALUE"""),"ARCOS DORADOS COLOMBIA S.A.S.")</f>
        <v>ARCOS DORADOS COLOMBIA S.A.S.</v>
      </c>
    </row>
    <row r="453" spans="1:1" ht="12.75">
      <c r="A453" s="3" t="str">
        <f ca="1">IFERROR(__xludf.DUMMYFUNCTION("""COMPUTED_VALUE"""),"ARCOS DORADOS COLOMBIA S.A.S. - AV JIMENEZ")</f>
        <v>ARCOS DORADOS COLOMBIA S.A.S. - AV JIMENEZ</v>
      </c>
    </row>
    <row r="454" spans="1:1" ht="12.75">
      <c r="A454" s="3" t="str">
        <f ca="1">IFERROR(__xludf.DUMMYFUNCTION("""COMPUTED_VALUE"""),"ARCOS DORADOS COLOMBIA S.A.S. - LOURDES")</f>
        <v>ARCOS DORADOS COLOMBIA S.A.S. - LOURDES</v>
      </c>
    </row>
    <row r="455" spans="1:1" ht="12.75">
      <c r="A455" s="3" t="str">
        <f ca="1">IFERROR(__xludf.DUMMYFUNCTION("""COMPUTED_VALUE"""),"ARCOS DORADOS COLOMBIA S.A.S. - SOACHA")</f>
        <v>ARCOS DORADOS COLOMBIA S.A.S. - SOACHA</v>
      </c>
    </row>
    <row r="456" spans="1:1" ht="12.75">
      <c r="A456" s="3" t="str">
        <f ca="1">IFERROR(__xludf.DUMMYFUNCTION("""COMPUTED_VALUE"""),"ARCOS DORADOS COLOMBIA S.A.S. 125 Autonorte")</f>
        <v>ARCOS DORADOS COLOMBIA S.A.S. 125 Autonorte</v>
      </c>
    </row>
    <row r="457" spans="1:1" ht="12.75">
      <c r="A457" s="3" t="str">
        <f ca="1">IFERROR(__xludf.DUMMYFUNCTION("""COMPUTED_VALUE"""),"ARCOS DORADOS COLOMBIA S.A.S. Chapinero")</f>
        <v>ARCOS DORADOS COLOMBIA S.A.S. Chapinero</v>
      </c>
    </row>
    <row r="458" spans="1:1" ht="12.75">
      <c r="A458" s="3" t="str">
        <f ca="1">IFERROR(__xludf.DUMMYFUNCTION("""COMPUTED_VALUE"""),"ARCOS DORADOS COLOMBIA S.A.S. NQS (Cedritos)")</f>
        <v>ARCOS DORADOS COLOMBIA S.A.S. NQS (Cedritos)</v>
      </c>
    </row>
    <row r="459" spans="1:1" ht="12.75">
      <c r="A459" s="3" t="str">
        <f ca="1">IFERROR(__xludf.DUMMYFUNCTION("""COMPUTED_VALUE"""),"ARCOS DORADOS COLOMBIA S.A.S. sede Centro Mayor")</f>
        <v>ARCOS DORADOS COLOMBIA S.A.S. sede Centro Mayor</v>
      </c>
    </row>
    <row r="460" spans="1:1" ht="12.75">
      <c r="A460" s="3" t="str">
        <f ca="1">IFERROR(__xludf.DUMMYFUNCTION("""COMPUTED_VALUE"""),"ARCOS DORADOS COLOMBIA S.A.S.- C.C SANTA FE")</f>
        <v>ARCOS DORADOS COLOMBIA S.A.S.- C.C SANTA FE</v>
      </c>
    </row>
    <row r="461" spans="1:1" ht="12.75">
      <c r="A461" s="3" t="str">
        <f ca="1">IFERROR(__xludf.DUMMYFUNCTION("""COMPUTED_VALUE"""),"ARCOS DORADOS COLOMBIA S.A.S.- CENTRO COMERCIAL CIUDAD TUNAL")</f>
        <v>ARCOS DORADOS COLOMBIA S.A.S.- CENTRO COMERCIAL CIUDAD TUNAL</v>
      </c>
    </row>
    <row r="462" spans="1:1" ht="12.75">
      <c r="A462" s="3" t="str">
        <f ca="1">IFERROR(__xludf.DUMMYFUNCTION("""COMPUTED_VALUE"""),"ARCOS DORADOS COLOMBIA S.A.S.- Chía")</f>
        <v>ARCOS DORADOS COLOMBIA S.A.S.- Chía</v>
      </c>
    </row>
    <row r="463" spans="1:1" ht="12.75">
      <c r="A463" s="3" t="str">
        <f ca="1">IFERROR(__xludf.DUMMYFUNCTION("""COMPUTED_VALUE"""),"AGENCIA NACIONAL DEL ESPECTRO")</f>
        <v>AGENCIA NACIONAL DEL ESPECTRO</v>
      </c>
    </row>
    <row r="464" spans="1:1" ht="12.75">
      <c r="A464" s="3" t="str">
        <f ca="1">IFERROR(__xludf.DUMMYFUNCTION("""COMPUTED_VALUE"""),"ARCOS DORADOS COLOMBIA S.A.S.- CIUDAD SALITRE")</f>
        <v>ARCOS DORADOS COLOMBIA S.A.S.- CIUDAD SALITRE</v>
      </c>
    </row>
    <row r="465" spans="1:1" ht="12.75">
      <c r="A465" s="3" t="str">
        <f ca="1">IFERROR(__xludf.DUMMYFUNCTION("""COMPUTED_VALUE"""),"ARCOS DORADOS COLOMBIA S.A.S.- COLINA CAMPESTRE")</f>
        <v>ARCOS DORADOS COLOMBIA S.A.S.- COLINA CAMPESTRE</v>
      </c>
    </row>
    <row r="466" spans="1:1" ht="12.75">
      <c r="A466" s="3" t="str">
        <f ca="1">IFERROR(__xludf.DUMMYFUNCTION("""COMPUTED_VALUE"""),"ARCOS DORADOS COLOMBIA S.A.S.- DIVER PLAZA")</f>
        <v>ARCOS DORADOS COLOMBIA S.A.S.- DIVER PLAZA</v>
      </c>
    </row>
    <row r="467" spans="1:1" ht="12.75">
      <c r="A467" s="3" t="str">
        <f ca="1">IFERROR(__xludf.DUMMYFUNCTION("""COMPUTED_VALUE"""),"ARCOS DORADOS COLOMBIA S.A.S.- FLORESTA")</f>
        <v>ARCOS DORADOS COLOMBIA S.A.S.- FLORESTA</v>
      </c>
    </row>
    <row r="468" spans="1:1" ht="12.75">
      <c r="A468" s="3" t="str">
        <f ca="1">IFERROR(__xludf.DUMMYFUNCTION("""COMPUTED_VALUE"""),"ARCOS DORADOS COLOMBIA S.A.S.- GALERIAS")</f>
        <v>ARCOS DORADOS COLOMBIA S.A.S.- GALERIAS</v>
      </c>
    </row>
    <row r="469" spans="1:1" ht="12.75">
      <c r="A469" s="3" t="str">
        <f ca="1">IFERROR(__xludf.DUMMYFUNCTION("""COMPUTED_VALUE"""),"ARCOS DORADOS COLOMBIA S.A.S.- HAYUELOS")</f>
        <v>ARCOS DORADOS COLOMBIA S.A.S.- HAYUELOS</v>
      </c>
    </row>
    <row r="470" spans="1:1" ht="12.75">
      <c r="A470" s="3" t="str">
        <f ca="1">IFERROR(__xludf.DUMMYFUNCTION("""COMPUTED_VALUE"""),"ARCOS DORADOS COLOMBIA S.A.S.- POLO")</f>
        <v>ARCOS DORADOS COLOMBIA S.A.S.- POLO</v>
      </c>
    </row>
    <row r="471" spans="1:1" ht="12.75">
      <c r="A471" s="3" t="str">
        <f ca="1">IFERROR(__xludf.DUMMYFUNCTION("""COMPUTED_VALUE"""),"ARCOS DORADOS COLOMBIA S.A.S.-Americas")</f>
        <v>ARCOS DORADOS COLOMBIA S.A.S.-Americas</v>
      </c>
    </row>
    <row r="472" spans="1:1" ht="12.75">
      <c r="A472" s="3" t="str">
        <f ca="1">IFERROR(__xludf.DUMMYFUNCTION("""COMPUTED_VALUE"""),"ARCOS DORADOS COLOMBIA S.A.S.-AUTOPISTA NORTE")</f>
        <v>ARCOS DORADOS COLOMBIA S.A.S.-AUTOPISTA NORTE</v>
      </c>
    </row>
    <row r="473" spans="1:1" ht="12.75">
      <c r="A473" s="3" t="str">
        <f ca="1">IFERROR(__xludf.DUMMYFUNCTION("""COMPUTED_VALUE"""),"ARCOS DORADOS COLOMBIA S.A.S.-CALIMA")</f>
        <v>ARCOS DORADOS COLOMBIA S.A.S.-CALIMA</v>
      </c>
    </row>
    <row r="474" spans="1:1" ht="12.75">
      <c r="A474" s="3" t="str">
        <f ca="1">IFERROR(__xludf.DUMMYFUNCTION("""COMPUTED_VALUE"""),"ARCOS DORADOS COLOMBIA S.A.S.-PRIMERA DE MAYO")</f>
        <v>ARCOS DORADOS COLOMBIA S.A.S.-PRIMERA DE MAYO</v>
      </c>
    </row>
    <row r="475" spans="1:1" ht="12.75">
      <c r="A475" s="3" t="str">
        <f ca="1">IFERROR(__xludf.DUMMYFUNCTION("""COMPUTED_VALUE"""),"ARCOS DORADOS COLOMBIA S.A.S.-TRANSVERSAL 91 - SUBA")</f>
        <v>ARCOS DORADOS COLOMBIA S.A.S.-TRANSVERSAL 91 - SUBA</v>
      </c>
    </row>
    <row r="476" spans="1:1" ht="12.75">
      <c r="A476" s="3" t="str">
        <f ca="1">IFERROR(__xludf.DUMMYFUNCTION("""COMPUTED_VALUE"""),"ARD INC SUCURSAL COLOMBIA")</f>
        <v>ARD INC SUCURSAL COLOMBIA</v>
      </c>
    </row>
    <row r="477" spans="1:1" ht="12.75">
      <c r="A477" s="3" t="str">
        <f ca="1">IFERROR(__xludf.DUMMYFUNCTION("""COMPUTED_VALUE"""),"AREA CUADRADA")</f>
        <v>AREA CUADRADA</v>
      </c>
    </row>
    <row r="478" spans="1:1" ht="12.75">
      <c r="A478" s="3" t="str">
        <f ca="1">IFERROR(__xludf.DUMMYFUNCTION("""COMPUTED_VALUE"""),"CAJA DE RETIRO DE FUERZAS MILITARES")</f>
        <v>CAJA DE RETIRO DE FUERZAS MILITARES</v>
      </c>
    </row>
    <row r="479" spans="1:1" ht="12.75">
      <c r="A479" s="3" t="str">
        <f ca="1">IFERROR(__xludf.DUMMYFUNCTION("""COMPUTED_VALUE"""),"ARIADNA COMMÚnicaTIONS GROUP")</f>
        <v>ARIADNA COMMÚnicaTIONS GROUP</v>
      </c>
    </row>
    <row r="480" spans="1:1" ht="12.75">
      <c r="A480" s="3" t="str">
        <f ca="1">IFERROR(__xludf.DUMMYFUNCTION("""COMPUTED_VALUE"""),"Arintia Group S.A.S")</f>
        <v>Arintia Group S.A.S</v>
      </c>
    </row>
    <row r="481" spans="1:1" ht="12.75">
      <c r="A481" s="3" t="str">
        <f ca="1">IFERROR(__xludf.DUMMYFUNCTION("""COMPUTED_VALUE"""),"ARISTOS CONSULTORES DE GERENCIA S.A")</f>
        <v>ARISTOS CONSULTORES DE GERENCIA S.A</v>
      </c>
    </row>
    <row r="482" spans="1:1" ht="12.75">
      <c r="A482" s="3" t="str">
        <f ca="1">IFERROR(__xludf.DUMMYFUNCTION("""COMPUTED_VALUE"""),"ARQUITECTURA EN ESTUDIOS SAS")</f>
        <v>ARQUITECTURA EN ESTUDIOS SAS</v>
      </c>
    </row>
    <row r="483" spans="1:1" ht="12.75">
      <c r="A483" s="3" t="str">
        <f ca="1">IFERROR(__xludf.DUMMYFUNCTION("""COMPUTED_VALUE"""),"ARTESANÍAS DE COLOMBIA S.A.")</f>
        <v>ARTESANÍAS DE COLOMBIA S.A.</v>
      </c>
    </row>
    <row r="484" spans="1:1" ht="12.75">
      <c r="A484" s="3" t="str">
        <f ca="1">IFERROR(__xludf.DUMMYFUNCTION("""COMPUTED_VALUE"""),"ARTHUR J GALLAGHER CORREDORES DE SEGUROS SA")</f>
        <v>ARTHUR J GALLAGHER CORREDORES DE SEGUROS SA</v>
      </c>
    </row>
    <row r="485" spans="1:1" ht="12.75">
      <c r="A485" s="3" t="str">
        <f ca="1">IFERROR(__xludf.DUMMYFUNCTION("""COMPUTED_VALUE"""),"ASCH INFRAESTRUCTURAS SAS")</f>
        <v>ASCH INFRAESTRUCTURAS SAS</v>
      </c>
    </row>
    <row r="486" spans="1:1" ht="12.75">
      <c r="A486" s="3" t="str">
        <f ca="1">IFERROR(__xludf.DUMMYFUNCTION("""COMPUTED_VALUE"""),"ASESORIAS Y SOLUCIONES EN CONTRATACION E INGENIERIA SAS - ASSOINCO SAS")</f>
        <v>ASESORIAS Y SOLUCIONES EN CONTRATACION E INGENIERIA SAS - ASSOINCO SAS</v>
      </c>
    </row>
    <row r="487" spans="1:1" ht="12.75">
      <c r="A487" s="3" t="str">
        <f ca="1">IFERROR(__xludf.DUMMYFUNCTION("""COMPUTED_VALUE"""),"ASISTTEC LTDA")</f>
        <v>ASISTTEC LTDA</v>
      </c>
    </row>
    <row r="488" spans="1:1" ht="12.75">
      <c r="A488" s="3" t="str">
        <f ca="1">IFERROR(__xludf.DUMMYFUNCTION("""COMPUTED_VALUE"""),"ASOCIACIÓN COLOMBIANA DE CONTACT CENTERS Y BPO BUSINESS PROCESS OUTSOURCING")</f>
        <v>ASOCIACIÓN COLOMBIANA DE CONTACT CENTERS Y BPO BUSINESS PROCESS OUTSOURCING</v>
      </c>
    </row>
    <row r="489" spans="1:1" ht="12.75">
      <c r="A489" s="3" t="str">
        <f ca="1">IFERROR(__xludf.DUMMYFUNCTION("""COMPUTED_VALUE"""),"ASOCOLFLORES")</f>
        <v>ASOCOLFLORES</v>
      </c>
    </row>
    <row r="490" spans="1:1" ht="12.75">
      <c r="A490" s="3" t="str">
        <f ca="1">IFERROR(__xludf.DUMMYFUNCTION("""COMPUTED_VALUE"""),"ASSIST CONSULTORES DE SISTEMAS S A")</f>
        <v>ASSIST CONSULTORES DE SISTEMAS S A</v>
      </c>
    </row>
    <row r="491" spans="1:1" ht="12.75">
      <c r="A491" s="3" t="str">
        <f ca="1">IFERROR(__xludf.DUMMYFUNCTION("""COMPUTED_VALUE"""),"ASSURANCE CONTROL TECH S.A.S")</f>
        <v>ASSURANCE CONTROL TECH S.A.S</v>
      </c>
    </row>
    <row r="492" spans="1:1" ht="12.75">
      <c r="A492" s="3" t="str">
        <f ca="1">IFERROR(__xludf.DUMMYFUNCTION("""COMPUTED_VALUE"""),"AVIA CORREDORES DE SEGUROS S A")</f>
        <v>AVIA CORREDORES DE SEGUROS S A</v>
      </c>
    </row>
    <row r="493" spans="1:1" ht="12.75">
      <c r="A493" s="3" t="str">
        <f ca="1">IFERROR(__xludf.DUMMYFUNCTION("""COMPUTED_VALUE"""),"AX2 GOURMET S A S
DONDOHE4K SAS
KOE4K S.A.S
OSAKA COCINA NIKKEI S.A.S")</f>
        <v>AX2 GOURMET S A S
DONDOHE4K SAS
KOE4K S.A.S
OSAKA COCINA NIKKEI S.A.S</v>
      </c>
    </row>
    <row r="494" spans="1:1" ht="12.75">
      <c r="A494" s="3" t="str">
        <f ca="1">IFERROR(__xludf.DUMMYFUNCTION("""COMPUTED_VALUE"""),"AXA COLPATRIA SEGUROS DE VIDA SA")</f>
        <v>AXA COLPATRIA SEGUROS DE VIDA SA</v>
      </c>
    </row>
    <row r="495" spans="1:1" ht="12.75">
      <c r="A495" s="3" t="str">
        <f ca="1">IFERROR(__xludf.DUMMYFUNCTION("""COMPUTED_VALUE"""),"AXA COLPATRIA SEGUROS DE VIDA SA")</f>
        <v>AXA COLPATRIA SEGUROS DE VIDA SA</v>
      </c>
    </row>
    <row r="496" spans="1:1" ht="12.75">
      <c r="A496" s="3" t="str">
        <f ca="1">IFERROR(__xludf.DUMMYFUNCTION("""COMPUTED_VALUE"""),"AXA COLPATRIA SEGUROS DE VIDA SA")</f>
        <v>AXA COLPATRIA SEGUROS DE VIDA SA</v>
      </c>
    </row>
    <row r="497" spans="1:1" ht="12.75">
      <c r="A497" s="3" t="str">
        <f ca="1">IFERROR(__xludf.DUMMYFUNCTION("""COMPUTED_VALUE"""),"BACO FOODS COLOMBIA SAS")</f>
        <v>BACO FOODS COLOMBIA SAS</v>
      </c>
    </row>
    <row r="498" spans="1:1" ht="12.75">
      <c r="A498" s="3" t="str">
        <f ca="1">IFERROR(__xludf.DUMMYFUNCTION("""COMPUTED_VALUE"""),"BAENA MORA Y CIA LTDA")</f>
        <v>BAENA MORA Y CIA LTDA</v>
      </c>
    </row>
    <row r="499" spans="1:1" ht="12.75">
      <c r="A499" s="3" t="str">
        <f ca="1">IFERROR(__xludf.DUMMYFUNCTION("""COMPUTED_VALUE"""),"BANCO AGRARIO DE COLOMBIA SA")</f>
        <v>BANCO AGRARIO DE COLOMBIA SA</v>
      </c>
    </row>
    <row r="500" spans="1:1" ht="12.75">
      <c r="A500" s="3" t="str">
        <f ca="1">IFERROR(__xludf.DUMMYFUNCTION("""COMPUTED_VALUE"""),"BANCO DE Bogotá")</f>
        <v>BANCO DE Bogotá</v>
      </c>
    </row>
    <row r="501" spans="1:1" ht="12.75">
      <c r="A501" s="3" t="str">
        <f ca="1">IFERROR(__xludf.DUMMYFUNCTION("""COMPUTED_VALUE"""),"BANCO DE COMERCIO EXTERIOR DE COLOMBIA SA- BANCOLDEX")</f>
        <v>BANCO DE COMERCIO EXTERIOR DE COLOMBIA SA- BANCOLDEX</v>
      </c>
    </row>
    <row r="502" spans="1:1" ht="12.75">
      <c r="A502" s="3" t="str">
        <f ca="1">IFERROR(__xludf.DUMMYFUNCTION("""COMPUTED_VALUE"""),"Administrador Junior")</f>
        <v>Administrador Junior</v>
      </c>
    </row>
    <row r="503" spans="1:1" ht="12.75">
      <c r="A503" s="3" t="str">
        <f ca="1">IFERROR(__xludf.DUMMYFUNCTION("""COMPUTED_VALUE"""),"BASF QUÍMICA COLOMBIANA S.A")</f>
        <v>BASF QUÍMICA COLOMBIANA S.A</v>
      </c>
    </row>
    <row r="504" spans="1:1" ht="12.75">
      <c r="A504" s="3" t="str">
        <f ca="1">IFERROR(__xludf.DUMMYFUNCTION("""COMPUTED_VALUE"""),"BAVARIA &amp; CIA SCA")</f>
        <v>BAVARIA &amp; CIA SCA</v>
      </c>
    </row>
    <row r="505" spans="1:1" ht="12.75">
      <c r="A505" s="3" t="str">
        <f ca="1">IFERROR(__xludf.DUMMYFUNCTION("""COMPUTED_VALUE"""),"BCS INGENIERIA Y PROYECTOS SAS")</f>
        <v>BCS INGENIERIA Y PROYECTOS SAS</v>
      </c>
    </row>
    <row r="506" spans="1:1" ht="12.75">
      <c r="A506" s="3" t="str">
        <f ca="1">IFERROR(__xludf.DUMMYFUNCTION("""COMPUTED_VALUE"""),"BERNARDO CONTRERAS Y COMPAÑIA LIMITADA Y /O BERCONT")</f>
        <v>BERNARDO CONTRERAS Y COMPAÑIA LIMITADA Y /O BERCONT</v>
      </c>
    </row>
    <row r="507" spans="1:1" ht="12.75">
      <c r="A507" s="3" t="str">
        <f ca="1">IFERROR(__xludf.DUMMYFUNCTION("""COMPUTED_VALUE"""),"BIMBO DE COLOMBIA S.A")</f>
        <v>BIMBO DE COLOMBIA S.A</v>
      </c>
    </row>
    <row r="508" spans="1:1" ht="12.75">
      <c r="A508" s="3" t="str">
        <f ca="1">IFERROR(__xludf.DUMMYFUNCTION("""COMPUTED_VALUE"""),"BIO-ESTERIL S.A.S")</f>
        <v>BIO-ESTERIL S.A.S</v>
      </c>
    </row>
    <row r="509" spans="1:1" ht="12.75">
      <c r="A509" s="3" t="str">
        <f ca="1">IFERROR(__xludf.DUMMYFUNCTION("""COMPUTED_VALUE"""),"BIODISTRIBUCIONES TERRA SAS")</f>
        <v>BIODISTRIBUCIONES TERRA SAS</v>
      </c>
    </row>
    <row r="510" spans="1:1" ht="12.75">
      <c r="A510" s="3" t="str">
        <f ca="1">IFERROR(__xludf.DUMMYFUNCTION("""COMPUTED_VALUE"""),"BIOPLAST S.A.S")</f>
        <v>BIOPLAST S.A.S</v>
      </c>
    </row>
    <row r="511" spans="1:1" ht="12.75">
      <c r="A511" s="3" t="str">
        <f ca="1">IFERROR(__xludf.DUMMYFUNCTION("""COMPUTED_VALUE"""),"BIOPLAST S.A.S")</f>
        <v>BIOPLAST S.A.S</v>
      </c>
    </row>
    <row r="512" spans="1:1" ht="12.75">
      <c r="A512" s="3" t="str">
        <f ca="1">IFERROR(__xludf.DUMMYFUNCTION("""COMPUTED_VALUE"""),"BIOPLAST S.A.S")</f>
        <v>BIOPLAST S.A.S</v>
      </c>
    </row>
    <row r="513" spans="1:1" ht="12.75">
      <c r="A513" s="3" t="str">
        <f ca="1">IFERROR(__xludf.DUMMYFUNCTION("""COMPUTED_VALUE"""),"BIOPLAST S.A.S")</f>
        <v>BIOPLAST S.A.S</v>
      </c>
    </row>
    <row r="514" spans="1:1" ht="12.75">
      <c r="A514" s="3" t="str">
        <f ca="1">IFERROR(__xludf.DUMMYFUNCTION("""COMPUTED_VALUE"""),"BIOPLAST S.A.S")</f>
        <v>BIOPLAST S.A.S</v>
      </c>
    </row>
    <row r="515" spans="1:1" ht="12.75">
      <c r="A515" s="3" t="str">
        <f ca="1">IFERROR(__xludf.DUMMYFUNCTION("""COMPUTED_VALUE"""),"BIOPLAST S.A.S")</f>
        <v>BIOPLAST S.A.S</v>
      </c>
    </row>
    <row r="516" spans="1:1" ht="12.75">
      <c r="A516" s="3" t="str">
        <f ca="1">IFERROR(__xludf.DUMMYFUNCTION("""COMPUTED_VALUE"""),"BIOSISTEMAS INGENIERIA MEDICA SAS")</f>
        <v>BIOSISTEMAS INGENIERIA MEDICA SAS</v>
      </c>
    </row>
    <row r="517" spans="1:1" ht="12.75">
      <c r="A517" s="3" t="str">
        <f ca="1">IFERROR(__xludf.DUMMYFUNCTION("""COMPUTED_VALUE"""),"BISCOTTINO SAS")</f>
        <v>BISCOTTINO SAS</v>
      </c>
    </row>
    <row r="518" spans="1:1" ht="12.75">
      <c r="A518" s="3" t="str">
        <f ca="1">IFERROR(__xludf.DUMMYFUNCTION("""COMPUTED_VALUE"""),"BogotáLIMPIA SAS ESP")</f>
        <v>BogotáLIMPIA SAS ESP</v>
      </c>
    </row>
    <row r="519" spans="1:1" ht="12.75">
      <c r="A519" s="3" t="str">
        <f ca="1">IFERROR(__xludf.DUMMYFUNCTION("""COMPUTED_VALUE"""),"BOSKALIS INTERNATIONAL SUCURSAL COLOMBIA")</f>
        <v>BOSKALIS INTERNATIONAL SUCURSAL COLOMBIA</v>
      </c>
    </row>
    <row r="520" spans="1:1" ht="12.75">
      <c r="A520" s="3" t="str">
        <f ca="1">IFERROR(__xludf.DUMMYFUNCTION("""COMPUTED_VALUE"""),"BPM CONSULTING LTDA")</f>
        <v>BPM CONSULTING LTDA</v>
      </c>
    </row>
    <row r="521" spans="1:1" ht="12.75">
      <c r="A521" s="3" t="str">
        <f ca="1">IFERROR(__xludf.DUMMYFUNCTION("""COMPUTED_VALUE"""),"BRAND SOLUTIONS SAS")</f>
        <v>BRAND SOLUTIONS SAS</v>
      </c>
    </row>
    <row r="522" spans="1:1" ht="12.75">
      <c r="A522" s="3" t="str">
        <f ca="1">IFERROR(__xludf.DUMMYFUNCTION("""COMPUTED_VALUE"""),"BRAYCO SAS")</f>
        <v>BRAYCO SAS</v>
      </c>
    </row>
    <row r="523" spans="1:1" ht="12.75">
      <c r="A523" s="3" t="str">
        <f ca="1">IFERROR(__xludf.DUMMYFUNCTION("""COMPUTED_VALUE"""),"BRILLADORA EL DIAMANTE SA")</f>
        <v>BRILLADORA EL DIAMANTE SA</v>
      </c>
    </row>
    <row r="524" spans="1:1" ht="12.75">
      <c r="A524" s="3" t="str">
        <f ca="1">IFERROR(__xludf.DUMMYFUNCTION("""COMPUTED_VALUE"""),"MORPHO TRAVEL COLOMBIA SAS")</f>
        <v>MORPHO TRAVEL COLOMBIA SAS</v>
      </c>
    </row>
    <row r="525" spans="1:1" ht="12.75">
      <c r="A525" s="3" t="str">
        <f ca="1">IFERROR(__xludf.DUMMYFUNCTION("""COMPUTED_VALUE"""),"BRITT SAS")</f>
        <v>BRITT SAS</v>
      </c>
    </row>
    <row r="526" spans="1:1" ht="12.75">
      <c r="A526" s="3" t="str">
        <f ca="1">IFERROR(__xludf.DUMMYFUNCTION("""COMPUTED_VALUE"""),"BRM SA")</f>
        <v>BRM SA</v>
      </c>
    </row>
    <row r="527" spans="1:1" ht="12.75">
      <c r="A527" s="3" t="str">
        <f ca="1">IFERROR(__xludf.DUMMYFUNCTION("""COMPUTED_VALUE"""),"BYB PRO ENERGY SAS")</f>
        <v>BYB PRO ENERGY SAS</v>
      </c>
    </row>
    <row r="528" spans="1:1" ht="12.75">
      <c r="A528" s="3" t="str">
        <f ca="1">IFERROR(__xludf.DUMMYFUNCTION("""COMPUTED_VALUE"""),"ByC INGENIERÍA Y SERVICIOS")</f>
        <v>ByC INGENIERÍA Y SERVICIOS</v>
      </c>
    </row>
    <row r="529" spans="1:1" ht="12.75">
      <c r="A529" s="3" t="str">
        <f ca="1">IFERROR(__xludf.DUMMYFUNCTION("""COMPUTED_VALUE"""),"C&amp;C SERVICES SAS")</f>
        <v>C&amp;C SERVICES SAS</v>
      </c>
    </row>
    <row r="530" spans="1:1" ht="12.75">
      <c r="A530" s="3" t="str">
        <f ca="1">IFERROR(__xludf.DUMMYFUNCTION("""COMPUTED_VALUE"""),"CADENA S.A")</f>
        <v>CADENA S.A</v>
      </c>
    </row>
    <row r="531" spans="1:1" ht="12.75">
      <c r="A531" s="3" t="str">
        <f ca="1">IFERROR(__xludf.DUMMYFUNCTION("""COMPUTED_VALUE"""),"CAFYRO CONSTRUCCIONES Y DISEÑOS Y SAS")</f>
        <v>CAFYRO CONSTRUCCIONES Y DISEÑOS Y SAS</v>
      </c>
    </row>
    <row r="532" spans="1:1" ht="12.75">
      <c r="A532" s="3" t="str">
        <f ca="1">IFERROR(__xludf.DUMMYFUNCTION("""COMPUTED_VALUE"""),"CAJA DE COMPENSACION FAMILIAR COMPENSAR")</f>
        <v>CAJA DE COMPENSACION FAMILIAR COMPENSAR</v>
      </c>
    </row>
    <row r="533" spans="1:1" ht="12.75">
      <c r="A533" s="3" t="str">
        <f ca="1">IFERROR(__xludf.DUMMYFUNCTION("""COMPUTED_VALUE"""),"CAJA DE RETIRO DE FUERZAS MILITARES")</f>
        <v>CAJA DE RETIRO DE FUERZAS MILITARES</v>
      </c>
    </row>
    <row r="534" spans="1:1" ht="12.75">
      <c r="A534" s="3" t="str">
        <f ca="1">IFERROR(__xludf.DUMMYFUNCTION("""COMPUTED_VALUE"""),"CAJA DE SUELDOS DE RETIRO DE LA POLICIA NACIONAL")</f>
        <v>CAJA DE SUELDOS DE RETIRO DE LA POLICIA NACIONAL</v>
      </c>
    </row>
    <row r="535" spans="1:1" ht="12.75">
      <c r="A535" s="3" t="str">
        <f ca="1">IFERROR(__xludf.DUMMYFUNCTION("""COMPUTED_VALUE"""),"CÁMARA DE COMERCIO BOGOTÁ")</f>
        <v>CÁMARA DE COMERCIO BOGOTÁ</v>
      </c>
    </row>
    <row r="536" spans="1:1" ht="12.75">
      <c r="A536" s="3" t="str">
        <f ca="1">IFERROR(__xludf.DUMMYFUNCTION("""COMPUTED_VALUE"""),"CARS TURISMO SAS")</f>
        <v>CARS TURISMO SAS</v>
      </c>
    </row>
    <row r="537" spans="1:1" ht="12.75">
      <c r="A537" s="3" t="str">
        <f ca="1">IFERROR(__xludf.DUMMYFUNCTION("""COMPUTED_VALUE"""),"CASALIMPIA SA")</f>
        <v>CASALIMPIA SA</v>
      </c>
    </row>
    <row r="538" spans="1:1" ht="12.75">
      <c r="A538" s="3" t="str">
        <f ca="1">IFERROR(__xludf.DUMMYFUNCTION("""COMPUTED_VALUE"""),"CASATORO SA O CASATORO SA BIC")</f>
        <v>CASATORO SA O CASATORO SA BIC</v>
      </c>
    </row>
    <row r="539" spans="1:1" ht="12.75">
      <c r="A539" s="3" t="str">
        <f ca="1">IFERROR(__xludf.DUMMYFUNCTION("""COMPUTED_VALUE"""),"CEMEX COLOMBIA S.A")</f>
        <v>CEMEX COLOMBIA S.A</v>
      </c>
    </row>
    <row r="540" spans="1:1" ht="12.75">
      <c r="A540" s="3" t="str">
        <f ca="1">IFERROR(__xludf.DUMMYFUNCTION("""COMPUTED_VALUE"""),"CEMEX COLOMBIA S.A
CEMEX ADMINISTRACIONES LTDA
CEMEX TRANSPORTES DE COLOMBIA S.A.
CEMEX SOLUCIONES S.A.S
CEMEX PREMEZCLADOS DE COLOMBIA S.A
CEMEX ENERGY S.A.S.")</f>
        <v>CEMEX COLOMBIA S.A
CEMEX ADMINISTRACIONES LTDA
CEMEX TRANSPORTES DE COLOMBIA S.A.
CEMEX SOLUCIONES S.A.S
CEMEX PREMEZCLADOS DE COLOMBIA S.A
CEMEX ENERGY S.A.S.</v>
      </c>
    </row>
    <row r="541" spans="1:1" ht="12.75">
      <c r="A541" s="3" t="str">
        <f ca="1">IFERROR(__xludf.DUMMYFUNCTION("""COMPUTED_VALUE"""),"CENCOSUD COLOMBIA SA")</f>
        <v>CENCOSUD COLOMBIA SA</v>
      </c>
    </row>
    <row r="542" spans="1:1" ht="12.75">
      <c r="A542" s="3" t="str">
        <f ca="1">IFERROR(__xludf.DUMMYFUNCTION("""COMPUTED_VALUE"""),"CENCOSUD COLOMBIA SA - JUMBO CC SANTA ANA")</f>
        <v>CENCOSUD COLOMBIA SA - JUMBO CC SANTA ANA</v>
      </c>
    </row>
    <row r="543" spans="1:1" ht="12.75">
      <c r="A543" s="3" t="str">
        <f ca="1">IFERROR(__xludf.DUMMYFUNCTION("""COMPUTED_VALUE"""),"CENCOSUD COLOMBIA SA - JUMBO BULEVAR NIZA")</f>
        <v>CENCOSUD COLOMBIA SA - JUMBO BULEVAR NIZA</v>
      </c>
    </row>
    <row r="544" spans="1:1" ht="12.75">
      <c r="A544" s="3" t="str">
        <f ca="1">IFERROR(__xludf.DUMMYFUNCTION("""COMPUTED_VALUE"""),"CENCOSUD COLOMBIA SA - JUMBO C.C MERCURIO")</f>
        <v>CENCOSUD COLOMBIA SA - JUMBO C.C MERCURIO</v>
      </c>
    </row>
    <row r="545" spans="1:1" ht="12.75">
      <c r="A545" s="3" t="str">
        <f ca="1">IFERROR(__xludf.DUMMYFUNCTION("""COMPUTED_VALUE"""),"CENCOSUD COLOMBIA SA - JUMBO CALLE 170")</f>
        <v>CENCOSUD COLOMBIA SA - JUMBO CALLE 170</v>
      </c>
    </row>
    <row r="546" spans="1:1" ht="12.75">
      <c r="A546" s="3" t="str">
        <f ca="1">IFERROR(__xludf.DUMMYFUNCTION("""COMPUTED_VALUE"""),"CENCOSUD COLOMBIA SA - JUMBO CALLE 80")</f>
        <v>CENCOSUD COLOMBIA SA - JUMBO CALLE 80</v>
      </c>
    </row>
    <row r="547" spans="1:1" ht="12.75">
      <c r="A547" s="3" t="str">
        <f ca="1">IFERROR(__xludf.DUMMYFUNCTION("""COMPUTED_VALUE"""),"CENCOSUD COLOMBIA SA - JUMBO CARRERA 30")</f>
        <v>CENCOSUD COLOMBIA SA - JUMBO CARRERA 30</v>
      </c>
    </row>
    <row r="548" spans="1:1" ht="12.75">
      <c r="A548" s="3" t="str">
        <f ca="1">IFERROR(__xludf.DUMMYFUNCTION("""COMPUTED_VALUE"""),"CENCOSUD COLOMBIA SA - JUMBO HAYUELOS")</f>
        <v>CENCOSUD COLOMBIA SA - JUMBO HAYUELOS</v>
      </c>
    </row>
    <row r="549" spans="1:1" ht="12.75">
      <c r="A549" s="3" t="str">
        <f ca="1">IFERROR(__xludf.DUMMYFUNCTION("""COMPUTED_VALUE"""),"CENCOSUD COLOMBIA SA - JUMBO HAYUELOS")</f>
        <v>CENCOSUD COLOMBIA SA - JUMBO HAYUELOS</v>
      </c>
    </row>
    <row r="550" spans="1:1" ht="12.75">
      <c r="A550" s="3" t="str">
        <f ca="1">IFERROR(__xludf.DUMMYFUNCTION("""COMPUTED_VALUE"""),"CENCOSUD COLOMBIA SA - JUMBO SUBA")</f>
        <v>CENCOSUD COLOMBIA SA - JUMBO SUBA</v>
      </c>
    </row>
    <row r="551" spans="1:1" ht="12.75">
      <c r="A551" s="3" t="str">
        <f ca="1">IFERROR(__xludf.DUMMYFUNCTION("""COMPUTED_VALUE"""),"CENCOSUD COLOMBIA SA - METRO AUTOPISTA SUR")</f>
        <v>CENCOSUD COLOMBIA SA - METRO AUTOPISTA SUR</v>
      </c>
    </row>
    <row r="552" spans="1:1" ht="12.75">
      <c r="A552" s="3" t="str">
        <f ca="1">IFERROR(__xludf.DUMMYFUNCTION("""COMPUTED_VALUE"""),"CENCOSUD COLOMBIA SA - METRO BOSA")</f>
        <v>CENCOSUD COLOMBIA SA - METRO BOSA</v>
      </c>
    </row>
    <row r="553" spans="1:1" ht="12.75">
      <c r="A553" s="3" t="str">
        <f ca="1">IFERROR(__xludf.DUMMYFUNCTION("""COMPUTED_VALUE"""),"CENCOSUD COLOMBIA SA - METRO Facatativá")</f>
        <v>CENCOSUD COLOMBIA SA - METRO Facatativá</v>
      </c>
    </row>
    <row r="554" spans="1:1" ht="12.75">
      <c r="A554" s="3" t="str">
        <f ca="1">IFERROR(__xludf.DUMMYFUNCTION("""COMPUTED_VALUE"""),"CENCOSUD COLOMBIA SA - METRO MOSQUERA")</f>
        <v>CENCOSUD COLOMBIA SA - METRO MOSQUERA</v>
      </c>
    </row>
    <row r="555" spans="1:1" ht="12.75">
      <c r="A555" s="3" t="str">
        <f ca="1">IFERROR(__xludf.DUMMYFUNCTION("""COMPUTED_VALUE"""),"CENCOSUD COLOMBIA SA - JUMBO 20 DE JULIO")</f>
        <v>CENCOSUD COLOMBIA SA - JUMBO 20 DE JULIO</v>
      </c>
    </row>
    <row r="556" spans="1:1" ht="12.75">
      <c r="A556" s="3" t="str">
        <f ca="1">IFERROR(__xludf.DUMMYFUNCTION("""COMPUTED_VALUE"""),"CENTRO CHÍA")</f>
        <v>CENTRO CHÍA</v>
      </c>
    </row>
    <row r="557" spans="1:1" ht="12.75">
      <c r="A557" s="3" t="str">
        <f ca="1">IFERROR(__xludf.DUMMYFUNCTION("""COMPUTED_VALUE"""),"CENTRO DE LAVADO Y ASEO - CLA")</f>
        <v>CENTRO DE LAVADO Y ASEO - CLA</v>
      </c>
    </row>
    <row r="558" spans="1:1" ht="12.75">
      <c r="A558" s="3" t="str">
        <f ca="1">IFERROR(__xludf.DUMMYFUNCTION("""COMPUTED_VALUE"""),"CF QBCO SAS")</f>
        <v>CF QBCO SAS</v>
      </c>
    </row>
    <row r="559" spans="1:1" ht="12.75">
      <c r="A559" s="3" t="str">
        <f ca="1">IFERROR(__xludf.DUMMYFUNCTION("""COMPUTED_VALUE"""),"CLINICA DEL COUNTRY")</f>
        <v>CLINICA DEL COUNTRY</v>
      </c>
    </row>
    <row r="560" spans="1:1" ht="12.75">
      <c r="A560" s="3" t="str">
        <f ca="1">IFERROR(__xludf.DUMMYFUNCTION("""COMPUTED_VALUE"""),"CM &amp; M ASESORES DE SEGURO LIMITADA")</f>
        <v>CM &amp; M ASESORES DE SEGURO LIMITADA</v>
      </c>
    </row>
    <row r="561" spans="1:1" ht="12.75">
      <c r="A561" s="3" t="str">
        <f ca="1">IFERROR(__xludf.DUMMYFUNCTION("""COMPUTED_VALUE"""),"CMS DESARROLLOS SAS")</f>
        <v>CMS DESARROLLOS SAS</v>
      </c>
    </row>
    <row r="562" spans="1:1" ht="12.75">
      <c r="A562" s="3" t="str">
        <f ca="1">IFERROR(__xludf.DUMMYFUNCTION("""COMPUTED_VALUE"""),"COBA - CONSULTORES DE INGENIERIA Y MEDIO AMBIENTE S.A / SUCURSAL COLOMBIA")</f>
        <v>COBA - CONSULTORES DE INGENIERIA Y MEDIO AMBIENTE S.A / SUCURSAL COLOMBIA</v>
      </c>
    </row>
    <row r="563" spans="1:1" ht="12.75">
      <c r="A563" s="3" t="str">
        <f ca="1">IFERROR(__xludf.DUMMYFUNCTION("""COMPUTED_VALUE"""),"CÓDIGO PROYECTOS SAS")</f>
        <v>CÓDIGO PROYECTOS SAS</v>
      </c>
    </row>
    <row r="564" spans="1:1" ht="12.75">
      <c r="A564" s="3" t="str">
        <f ca="1">IFERROR(__xludf.DUMMYFUNCTION("""COMPUTED_VALUE"""),"CODIPRO INGENIERIA LTDA")</f>
        <v>CODIPRO INGENIERIA LTDA</v>
      </c>
    </row>
    <row r="565" spans="1:1" ht="12.75">
      <c r="A565" s="3" t="str">
        <f ca="1">IFERROR(__xludf.DUMMYFUNCTION("""COMPUTED_VALUE"""),"COLDEGRAP SAS")</f>
        <v>COLDEGRAP SAS</v>
      </c>
    </row>
    <row r="566" spans="1:1" ht="12.75">
      <c r="A566" s="3" t="str">
        <f ca="1">IFERROR(__xludf.DUMMYFUNCTION("""COMPUTED_VALUE"""),"COLMEDICA MEDICINA PREPAGADA SA")</f>
        <v>COLMEDICA MEDICINA PREPAGADA SA</v>
      </c>
    </row>
    <row r="567" spans="1:1" ht="12.75">
      <c r="A567" s="3" t="str">
        <f ca="1">IFERROR(__xludf.DUMMYFUNCTION("""COMPUTED_VALUE"""),"COLOMA LTDA")</f>
        <v>COLOMA LTDA</v>
      </c>
    </row>
    <row r="568" spans="1:1" ht="12.75">
      <c r="A568" s="3" t="str">
        <f ca="1">IFERROR(__xludf.DUMMYFUNCTION("""COMPUTED_VALUE"""),"COLOMBIA LEDS SAS")</f>
        <v>COLOMBIA LEDS SAS</v>
      </c>
    </row>
    <row r="569" spans="1:1" ht="12.75">
      <c r="A569" s="3" t="str">
        <f ca="1">IFERROR(__xludf.DUMMYFUNCTION("""COMPUTED_VALUE"""),"COLREPFIN LTDA")</f>
        <v>COLREPFIN LTDA</v>
      </c>
    </row>
    <row r="570" spans="1:1" ht="12.75">
      <c r="A570" s="3" t="str">
        <f ca="1">IFERROR(__xludf.DUMMYFUNCTION("""COMPUTED_VALUE"""),"COLREPFIN LTDS")</f>
        <v>COLREPFIN LTDS</v>
      </c>
    </row>
    <row r="571" spans="1:1" ht="12.75">
      <c r="A571" s="3" t="str">
        <f ca="1">IFERROR(__xludf.DUMMYFUNCTION("""COMPUTED_VALUE"""),"COLSOF SAS")</f>
        <v>COLSOF SAS</v>
      </c>
    </row>
    <row r="572" spans="1:1" ht="12.75">
      <c r="A572" s="3" t="str">
        <f ca="1">IFERROR(__xludf.DUMMYFUNCTION("""COMPUTED_VALUE"""),"COLSOF SAS")</f>
        <v>COLSOF SAS</v>
      </c>
    </row>
    <row r="573" spans="1:1" ht="12.75">
      <c r="A573" s="3" t="str">
        <f ca="1">IFERROR(__xludf.DUMMYFUNCTION("""COMPUTED_VALUE"""),"COLVANES SAS")</f>
        <v>COLVANES SAS</v>
      </c>
    </row>
    <row r="574" spans="1:1" ht="12.75">
      <c r="A574" s="3" t="str">
        <f ca="1">IFERROR(__xludf.DUMMYFUNCTION("""COMPUTED_VALUE"""),"COLVISEG LTDA")</f>
        <v>COLVISEG LTDA</v>
      </c>
    </row>
    <row r="575" spans="1:1" ht="12.75">
      <c r="A575" s="3" t="str">
        <f ca="1">IFERROR(__xludf.DUMMYFUNCTION("""COMPUTED_VALUE"""),"COMERCIAL NUTRESA S . A .S")</f>
        <v>COMERCIAL NUTRESA S . A .S</v>
      </c>
    </row>
    <row r="576" spans="1:1" ht="12.75">
      <c r="A576" s="3" t="str">
        <f ca="1">IFERROR(__xludf.DUMMYFUNCTION("""COMPUTED_VALUE"""),"COMERCIALIZADORA AL GRANO SAS")</f>
        <v>COMERCIALIZADORA AL GRANO SAS</v>
      </c>
    </row>
    <row r="577" spans="1:1" ht="12.75">
      <c r="A577" s="3" t="str">
        <f ca="1">IFERROR(__xludf.DUMMYFUNCTION("""COMPUTED_VALUE"""),"COMERCIALIZADORA E INTERNACIONAL IDEA INNOVA SAS")</f>
        <v>COMERCIALIZADORA E INTERNACIONAL IDEA INNOVA SAS</v>
      </c>
    </row>
    <row r="578" spans="1:1" ht="12.75">
      <c r="A578" s="3" t="str">
        <f ca="1">IFERROR(__xludf.DUMMYFUNCTION("""COMPUTED_VALUE"""),"COMISIÓN DE REGULACIÓN DE AGUA POTABLE Y SANEAMIENTO BÁSICO")</f>
        <v>COMISIÓN DE REGULACIÓN DE AGUA POTABLE Y SANEAMIENTO BÁSICO</v>
      </c>
    </row>
    <row r="579" spans="1:1" ht="12.75">
      <c r="A579" s="3" t="str">
        <f ca="1">IFERROR(__xludf.DUMMYFUNCTION("""COMPUTED_VALUE"""),"COMISIÓN DE REGULACIÓN DE COMÚnicaCIONES")</f>
        <v>COMISIÓN DE REGULACIÓN DE COMÚnicaCIONES</v>
      </c>
    </row>
    <row r="580" spans="1:1" ht="12.75">
      <c r="A580" s="3" t="str">
        <f ca="1">IFERROR(__xludf.DUMMYFUNCTION("""COMPUTED_VALUE"""),"COMISIÓN DE REGULACIÓN DE ENERGÍA Y GAS CREG")</f>
        <v>COMISIÓN DE REGULACIÓN DE ENERGÍA Y GAS CREG</v>
      </c>
    </row>
    <row r="581" spans="1:1" ht="12.75">
      <c r="A581" s="3" t="str">
        <f ca="1">IFERROR(__xludf.DUMMYFUNCTION("""COMPUTED_VALUE"""),"COMISIÓN NACIONAL DEL SERVICIO CIVIL")</f>
        <v>COMISIÓN NACIONAL DEL SERVICIO CIVIL</v>
      </c>
    </row>
    <row r="582" spans="1:1" ht="12.75">
      <c r="A582" s="3" t="str">
        <f ca="1">IFERROR(__xludf.DUMMYFUNCTION("""COMPUTED_VALUE"""),"COMPAÑÍA DE INGENIEROS CONSICAL")</f>
        <v>COMPAÑÍA DE INGENIEROS CONSICAL</v>
      </c>
    </row>
    <row r="583" spans="1:1" ht="12.75">
      <c r="A583" s="3" t="str">
        <f ca="1">IFERROR(__xludf.DUMMYFUNCTION("""COMPUTED_VALUE"""),"COMPAÑIA DE INGENIEROS CONSULTORES Y CONSTRUCTORES S.A.S. - SIGLA CICCO SAS")</f>
        <v>COMPAÑIA DE INGENIEROS CONSULTORES Y CONSTRUCTORES S.A.S. - SIGLA CICCO SAS</v>
      </c>
    </row>
    <row r="584" spans="1:1" ht="12.75">
      <c r="A584" s="3" t="str">
        <f ca="1">IFERROR(__xludf.DUMMYFUNCTION("""COMPUTED_VALUE"""),"COMPAÑIA DE PROYECTOS AMBIENTALES E INGENIERIA CPA")</f>
        <v>COMPAÑIA DE PROYECTOS AMBIENTALES E INGENIERIA CPA</v>
      </c>
    </row>
    <row r="585" spans="1:1" ht="12.75">
      <c r="A585" s="3" t="str">
        <f ca="1">IFERROR(__xludf.DUMMYFUNCTION("""COMPUTED_VALUE"""),"COMPAÑIA DE SERVICIOS COMERCIALES SAS")</f>
        <v>COMPAÑIA DE SERVICIOS COMERCIALES SAS</v>
      </c>
    </row>
    <row r="586" spans="1:1" ht="12.75">
      <c r="A586" s="3" t="str">
        <f ca="1">IFERROR(__xludf.DUMMYFUNCTION("""COMPUTED_VALUE"""),"COMPAÑIA DE SERVICIOS COMERCIALES SAS")</f>
        <v>COMPAÑIA DE SERVICIOS COMERCIALES SAS</v>
      </c>
    </row>
    <row r="587" spans="1:1" ht="12.75">
      <c r="A587" s="3" t="str">
        <f ca="1">IFERROR(__xludf.DUMMYFUNCTION("""COMPUTED_VALUE"""),"COMÚnicaCIONES CELULAR S.A. COMCEL S.A.")</f>
        <v>COMÚnicaCIONES CELULAR S.A. COMCEL S.A.</v>
      </c>
    </row>
    <row r="588" spans="1:1" ht="12.75">
      <c r="A588" s="3" t="str">
        <f ca="1">IFERROR(__xludf.DUMMYFUNCTION("""COMPUTED_VALUE"""),"CONCENTRIX SERVICES COLOMBIA SAS")</f>
        <v>CONCENTRIX SERVICES COLOMBIA SAS</v>
      </c>
    </row>
    <row r="589" spans="1:1" ht="12.75">
      <c r="A589" s="3" t="str">
        <f ca="1">IFERROR(__xludf.DUMMYFUNCTION("""COMPUTED_VALUE"""),"CONCESIÓN RUNT SA")</f>
        <v>CONCESIÓN RUNT SA</v>
      </c>
    </row>
    <row r="590" spans="1:1" ht="12.75">
      <c r="A590" s="3" t="str">
        <f ca="1">IFERROR(__xludf.DUMMYFUNCTION("""COMPUTED_VALUE"""),"CONCESIONARIA FÉRREA DE OCCIDENTE SAS /
CHINA CIVIL ENGINEERING CONSTRUCTION CORPORATION SUCURSAL COLOMBIA")</f>
        <v>CONCESIONARIA FÉRREA DE OCCIDENTE SAS /
CHINA CIVIL ENGINEERING CONSTRUCTION CORPORATION SUCURSAL COLOMBIA</v>
      </c>
    </row>
    <row r="591" spans="1:1" ht="12.75">
      <c r="A591" s="3" t="str">
        <f ca="1">IFERROR(__xludf.DUMMYFUNCTION("""COMPUTED_VALUE"""),"CONCREARMADO LTDA")</f>
        <v>CONCREARMADO LTDA</v>
      </c>
    </row>
    <row r="592" spans="1:1" ht="12.75">
      <c r="A592" s="3" t="str">
        <f ca="1">IFERROR(__xludf.DUMMYFUNCTION("""COMPUTED_VALUE"""),"CONFIPETROL SAS")</f>
        <v>CONFIPETROL SAS</v>
      </c>
    </row>
    <row r="593" spans="1:1" ht="12.75">
      <c r="A593" s="3" t="str">
        <f ca="1">IFERROR(__xludf.DUMMYFUNCTION("""COMPUTED_VALUE"""),"CONSEJO PROFESIONAL DE INGENIERIA QUIMICA DE COLOMBIA")</f>
        <v>CONSEJO PROFESIONAL DE INGENIERIA QUIMICA DE COLOMBIA</v>
      </c>
    </row>
    <row r="594" spans="1:1" ht="12.75">
      <c r="A594" s="3" t="str">
        <f ca="1">IFERROR(__xludf.DUMMYFUNCTION("""COMPUTED_VALUE"""),"CONSER INGENIERIA SAS")</f>
        <v>CONSER INGENIERIA SAS</v>
      </c>
    </row>
    <row r="595" spans="1:1" ht="12.75">
      <c r="A595" s="3" t="str">
        <f ca="1">IFERROR(__xludf.DUMMYFUNCTION("""COMPUTED_VALUE"""),"CONSORCIO CIRCULEMOS DIGITAL")</f>
        <v>CONSORCIO CIRCULEMOS DIGITAL</v>
      </c>
    </row>
    <row r="596" spans="1:1" ht="12.75">
      <c r="A596" s="3" t="str">
        <f ca="1">IFERROR(__xludf.DUMMYFUNCTION("""COMPUTED_VALUE"""),"COMISION DE REGULACION DE COMÚnicaCIONES")</f>
        <v>COMISION DE REGULACION DE COMÚnicaCIONES</v>
      </c>
    </row>
    <row r="597" spans="1:1" ht="12.75">
      <c r="A597" s="3" t="str">
        <f ca="1">IFERROR(__xludf.DUMMYFUNCTION("""COMPUTED_VALUE"""),"CONSORCIO SMDT 911
PRODUCCIÓN DE EVENTOS
SINTONIZAR MEDIOS S.A. S.")</f>
        <v>CONSORCIO SMDT 911
PRODUCCIÓN DE EVENTOS
SINTONIZAR MEDIOS S.A. S.</v>
      </c>
    </row>
    <row r="598" spans="1:1" ht="12.75">
      <c r="A598" s="3" t="str">
        <f ca="1">IFERROR(__xludf.DUMMYFUNCTION("""COMPUTED_VALUE"""),"CONSTRUCPIEDRA CIA LTDA")</f>
        <v>CONSTRUCPIEDRA CIA LTDA</v>
      </c>
    </row>
    <row r="599" spans="1:1" ht="12.75">
      <c r="A599" s="3" t="str">
        <f ca="1">IFERROR(__xludf.DUMMYFUNCTION("""COMPUTED_VALUE"""),"CONSTRUCTORA GCG SAS")</f>
        <v>CONSTRUCTORA GCG SAS</v>
      </c>
    </row>
    <row r="600" spans="1:1" ht="12.75">
      <c r="A600" s="3" t="str">
        <f ca="1">IFERROR(__xludf.DUMMYFUNCTION("""COMPUTED_VALUE"""),"CONSTRUCTORA GCG SAS")</f>
        <v>CONSTRUCTORA GCG SAS</v>
      </c>
    </row>
    <row r="601" spans="1:1" ht="12.75">
      <c r="A601" s="3" t="str">
        <f ca="1">IFERROR(__xludf.DUMMYFUNCTION("""COMPUTED_VALUE"""),"CONSTRUCTORA OSSA LOPEZ")</f>
        <v>CONSTRUCTORA OSSA LOPEZ</v>
      </c>
    </row>
    <row r="602" spans="1:1" ht="12.75">
      <c r="A602" s="3" t="str">
        <f ca="1">IFERROR(__xludf.DUMMYFUNCTION("""COMPUTED_VALUE"""),"CONSTRUCTORA OZUL S.A.")</f>
        <v>CONSTRUCTORA OZUL S.A.</v>
      </c>
    </row>
    <row r="603" spans="1:1" ht="12.75">
      <c r="A603" s="3" t="str">
        <f ca="1">IFERROR(__xludf.DUMMYFUNCTION("""COMPUTED_VALUE"""),"CONSTRUCTORA PRIMAR")</f>
        <v>CONSTRUCTORA PRIMAR</v>
      </c>
    </row>
    <row r="604" spans="1:1" ht="12.75">
      <c r="A604" s="3" t="str">
        <f ca="1">IFERROR(__xludf.DUMMYFUNCTION("""COMPUTED_VALUE"""),"CONSTRUCTORA Y CONSULTORA DA VINCI")</f>
        <v>CONSTRUCTORA Y CONSULTORA DA VINCI</v>
      </c>
    </row>
    <row r="605" spans="1:1" ht="12.75">
      <c r="A605" s="3" t="str">
        <f ca="1">IFERROR(__xludf.DUMMYFUNCTION("""COMPUTED_VALUE"""),"CONSULTORA DE INGENIERIA Y EMPRESA SEDE COLOMBIA / 
GESTION INTEGRAL DEL SUELO S.L COLOMBIA / 
OMC AMEPRO COLOMBIA.")</f>
        <v>CONSULTORA DE INGENIERIA Y EMPRESA SEDE COLOMBIA / 
GESTION INTEGRAL DEL SUELO S.L COLOMBIA / 
OMC AMEPRO COLOMBIA.</v>
      </c>
    </row>
    <row r="606" spans="1:1" ht="12.75">
      <c r="A606" s="3" t="str">
        <f ca="1">IFERROR(__xludf.DUMMYFUNCTION("""COMPUTED_VALUE"""),"CONCESIÓN RUNT SA")</f>
        <v>CONCESIÓN RUNT SA</v>
      </c>
    </row>
    <row r="607" spans="1:1" ht="12.75">
      <c r="A607" s="3" t="str">
        <f ca="1">IFERROR(__xludf.DUMMYFUNCTION("""COMPUTED_VALUE"""),"CONSULTORES DE INGENIERIA UG21 SL COLOMBIA")</f>
        <v>CONSULTORES DE INGENIERIA UG21 SL COLOMBIA</v>
      </c>
    </row>
    <row r="608" spans="1:1" ht="12.75">
      <c r="A608" s="3" t="str">
        <f ca="1">IFERROR(__xludf.DUMMYFUNCTION("""COMPUTED_VALUE"""),"CONSULTORES DESARROLLO Y AMBIENTE SAS")</f>
        <v>CONSULTORES DESARROLLO Y AMBIENTE SAS</v>
      </c>
    </row>
    <row r="609" spans="1:1" ht="12.75">
      <c r="A609" s="3" t="str">
        <f ca="1">IFERROR(__xludf.DUMMYFUNCTION("""COMPUTED_VALUE"""),"CONSULTORÍA ESTRATÉGICA INTEGRAL S.A")</f>
        <v>CONSULTORÍA ESTRATÉGICA INTEGRAL S.A</v>
      </c>
    </row>
    <row r="610" spans="1:1" ht="12.75">
      <c r="A610" s="3" t="str">
        <f ca="1">IFERROR(__xludf.DUMMYFUNCTION("""COMPUTED_VALUE"""),"CONTRAPUNTO GROUP S.A.S")</f>
        <v>CONTRAPUNTO GROUP S.A.S</v>
      </c>
    </row>
    <row r="611" spans="1:1" ht="12.75">
      <c r="A611" s="3" t="str">
        <f ca="1">IFERROR(__xludf.DUMMYFUNCTION("""COMPUTED_VALUE"""),"COORDINADORA DE SERVICIOS DE PARQUE CEMENTERIO SAS")</f>
        <v>COORDINADORA DE SERVICIOS DE PARQUE CEMENTERIO SAS</v>
      </c>
    </row>
    <row r="612" spans="1:1" ht="12.75">
      <c r="A612" s="3" t="str">
        <f ca="1">IFERROR(__xludf.DUMMYFUNCTION("""COMPUTED_VALUE"""),"CORPORACIÓN BIOPARQUE")</f>
        <v>CORPORACIÓN BIOPARQUE</v>
      </c>
    </row>
    <row r="613" spans="1:1" ht="12.75">
      <c r="A613" s="3" t="str">
        <f ca="1">IFERROR(__xludf.DUMMYFUNCTION("""COMPUTED_VALUE"""),"CORPORACION PARA LA INVESTIGACION EL DESARROLLO SOSTENIBLE Y LA PROMOCION SOCIAL - CORPROGRESO")</f>
        <v>CORPORACION PARA LA INVESTIGACION EL DESARROLLO SOSTENIBLE Y LA PROMOCION SOCIAL - CORPROGRESO</v>
      </c>
    </row>
    <row r="614" spans="1:1" ht="12.75">
      <c r="A614" s="3" t="str">
        <f ca="1">IFERROR(__xludf.DUMMYFUNCTION("""COMPUTED_VALUE"""),"CORPORACIÓN UNIFICADA NACIONAL DE EDUCACIÓN SUPERIOR - CUN")</f>
        <v>CORPORACIÓN UNIFICADA NACIONAL DE EDUCACIÓN SUPERIOR - CUN</v>
      </c>
    </row>
    <row r="615" spans="1:1" ht="12.75">
      <c r="A615" s="3" t="str">
        <f ca="1">IFERROR(__xludf.DUMMYFUNCTION("""COMPUTED_VALUE"""),"CORPS SECURITY LTDA")</f>
        <v>CORPS SECURITY LTDA</v>
      </c>
    </row>
    <row r="616" spans="1:1" ht="12.75">
      <c r="A616" s="3" t="str">
        <f ca="1">IFERROR(__xludf.DUMMYFUNCTION("""COMPUTED_VALUE"""),"CORRECOL S.A")</f>
        <v>CORRECOL S.A</v>
      </c>
    </row>
    <row r="617" spans="1:1" ht="12.75">
      <c r="A617" s="3" t="str">
        <f ca="1">IFERROR(__xludf.DUMMYFUNCTION("""COMPUTED_VALUE"""),"COSERVICREA LTDA")</f>
        <v>COSERVICREA LTDA</v>
      </c>
    </row>
    <row r="618" spans="1:1" ht="12.75">
      <c r="A618" s="3" t="str">
        <f ca="1">IFERROR(__xludf.DUMMYFUNCTION("""COMPUTED_VALUE"""),"Coupa Colombia SAS")</f>
        <v>Coupa Colombia SAS</v>
      </c>
    </row>
    <row r="619" spans="1:1" ht="12.75">
      <c r="A619" s="3" t="str">
        <f ca="1">IFERROR(__xludf.DUMMYFUNCTION("""COMPUTED_VALUE"""),"CREPES &amp; WAFFLES")</f>
        <v>CREPES &amp; WAFFLES</v>
      </c>
    </row>
    <row r="620" spans="1:1" ht="12.75">
      <c r="A620" s="3" t="str">
        <f ca="1">IFERROR(__xludf.DUMMYFUNCTION("""COMPUTED_VALUE"""),"CREPES &amp; WAFFLES")</f>
        <v>CREPES &amp; WAFFLES</v>
      </c>
    </row>
    <row r="621" spans="1:1" ht="12.75">
      <c r="A621" s="3" t="str">
        <f ca="1">IFERROR(__xludf.DUMMYFUNCTION("""COMPUTED_VALUE"""),"CREPES &amp; WAFFLES")</f>
        <v>CREPES &amp; WAFFLES</v>
      </c>
    </row>
    <row r="622" spans="1:1" ht="12.75">
      <c r="A622" s="3" t="str">
        <f ca="1">IFERROR(__xludf.DUMMYFUNCTION("""COMPUTED_VALUE"""),"CREPES &amp; WAFFLES")</f>
        <v>CREPES &amp; WAFFLES</v>
      </c>
    </row>
    <row r="623" spans="1:1" ht="12.75">
      <c r="A623" s="3" t="str">
        <f ca="1">IFERROR(__xludf.DUMMYFUNCTION("""COMPUTED_VALUE"""),"CREPES &amp; WAFFLES")</f>
        <v>CREPES &amp; WAFFLES</v>
      </c>
    </row>
    <row r="624" spans="1:1" ht="12.75">
      <c r="A624" s="3" t="str">
        <f ca="1">IFERROR(__xludf.DUMMYFUNCTION("""COMPUTED_VALUE"""),"CRIYA S.A.S.")</f>
        <v>CRIYA S.A.S.</v>
      </c>
    </row>
    <row r="625" spans="1:1" ht="12.75">
      <c r="A625" s="3" t="str">
        <f ca="1">IFERROR(__xludf.DUMMYFUNCTION("""COMPUTED_VALUE"""),"CSH INFRAESTRUCTURA")</f>
        <v>CSH INFRAESTRUCTURA</v>
      </c>
    </row>
    <row r="626" spans="1:1" ht="12.75">
      <c r="A626" s="3" t="str">
        <f ca="1">IFERROR(__xludf.DUMMYFUNCTION("""COMPUTED_VALUE"""),"CSS CONSTRUCTORES S.A")</f>
        <v>CSS CONSTRUCTORES S.A</v>
      </c>
    </row>
    <row r="627" spans="1:1" ht="12.75">
      <c r="A627" s="3" t="str">
        <f ca="1">IFERROR(__xludf.DUMMYFUNCTION("""COMPUTED_VALUE"""),"CU CONECTORES SAS")</f>
        <v>CU CONECTORES SAS</v>
      </c>
    </row>
    <row r="628" spans="1:1" ht="12.75">
      <c r="A628" s="3" t="str">
        <f ca="1">IFERROR(__xludf.DUMMYFUNCTION("""COMPUTED_VALUE"""),"CUIDAR LTDA")</f>
        <v>CUIDAR LTDA</v>
      </c>
    </row>
    <row r="629" spans="1:1" ht="12.75">
      <c r="A629" s="3" t="str">
        <f ca="1">IFERROR(__xludf.DUMMYFUNCTION("""COMPUTED_VALUE"""),"CYMETRIA GROUP S.A.S.")</f>
        <v>CYMETRIA GROUP S.A.S.</v>
      </c>
    </row>
    <row r="630" spans="1:1" ht="12.75">
      <c r="A630" s="3" t="str">
        <f ca="1">IFERROR(__xludf.DUMMYFUNCTION("""COMPUTED_VALUE"""),"DACARTEC")</f>
        <v>DACARTEC</v>
      </c>
    </row>
    <row r="631" spans="1:1" ht="12.75">
      <c r="A631" s="3" t="str">
        <f ca="1">IFERROR(__xludf.DUMMYFUNCTION("""COMPUTED_VALUE"""),"DANIEL ORLANDO MEDINA BALAGUERA")</f>
        <v>DANIEL ORLANDO MEDINA BALAGUERA</v>
      </c>
    </row>
    <row r="632" spans="1:1" ht="12.75">
      <c r="A632" s="3" t="str">
        <f ca="1">IFERROR(__xludf.DUMMYFUNCTION("""COMPUTED_VALUE"""),"DB SYSTEM SAS")</f>
        <v>DB SYSTEM SAS</v>
      </c>
    </row>
    <row r="633" spans="1:1" ht="12.75">
      <c r="A633" s="3" t="str">
        <f ca="1">IFERROR(__xludf.DUMMYFUNCTION("""COMPUTED_VALUE"""),"DDB WORLDWIDE COLOMBIA S.A.S")</f>
        <v>DDB WORLDWIDE COLOMBIA S.A.S</v>
      </c>
    </row>
    <row r="634" spans="1:1" ht="12.75">
      <c r="A634" s="3" t="str">
        <f ca="1">IFERROR(__xludf.DUMMYFUNCTION("""COMPUTED_VALUE"""),"DDB WORLDWIDE COLOMBIA S.A.S")</f>
        <v>DDB WORLDWIDE COLOMBIA S.A.S</v>
      </c>
    </row>
    <row r="635" spans="1:1" ht="12.75">
      <c r="A635" s="3" t="str">
        <f ca="1">IFERROR(__xludf.DUMMYFUNCTION("""COMPUTED_VALUE"""),"DECATHLON COLOMBIA SAS")</f>
        <v>DECATHLON COLOMBIA SAS</v>
      </c>
    </row>
    <row r="636" spans="1:1" ht="12.75">
      <c r="A636" s="3" t="str">
        <f ca="1">IFERROR(__xludf.DUMMYFUNCTION("""COMPUTED_VALUE"""),"DEKOGIFT SAS")</f>
        <v>DEKOGIFT SAS</v>
      </c>
    </row>
    <row r="637" spans="1:1" ht="12.75">
      <c r="A637" s="3" t="str">
        <f ca="1">IFERROR(__xludf.DUMMYFUNCTION("""COMPUTED_VALUE"""),"DEPARTAMENTO NACIONAL DE PLANEACIÓN - DNP")</f>
        <v>DEPARTAMENTO NACIONAL DE PLANEACIÓN - DNP</v>
      </c>
    </row>
    <row r="638" spans="1:1" ht="12.75">
      <c r="A638" s="3" t="str">
        <f ca="1">IFERROR(__xludf.DUMMYFUNCTION("""COMPUTED_VALUE"""),"DESECHABLES MÉDICOS SAS")</f>
        <v>DESECHABLES MÉDICOS SAS</v>
      </c>
    </row>
    <row r="639" spans="1:1" ht="12.75">
      <c r="A639" s="3" t="str">
        <f ca="1">IFERROR(__xludf.DUMMYFUNCTION("""COMPUTED_VALUE"""),"DESIGN LOUNGE AK S.A.S - Sede Barrios Unidos")</f>
        <v>DESIGN LOUNGE AK S.A.S - Sede Barrios Unidos</v>
      </c>
    </row>
    <row r="640" spans="1:1" ht="12.75">
      <c r="A640" s="3" t="str">
        <f ca="1">IFERROR(__xludf.DUMMYFUNCTION("""COMPUTED_VALUE"""),"DESIGN LOUNGE AK S.A.S - Sede Bosa")</f>
        <v>DESIGN LOUNGE AK S.A.S - Sede Bosa</v>
      </c>
    </row>
    <row r="641" spans="1:1" ht="12.75">
      <c r="A641" s="3" t="str">
        <f ca="1">IFERROR(__xludf.DUMMYFUNCTION("""COMPUTED_VALUE"""),"DHL SUPPLY - FUNZA")</f>
        <v>DHL SUPPLY - FUNZA</v>
      </c>
    </row>
    <row r="642" spans="1:1" ht="12.75">
      <c r="A642" s="3" t="str">
        <f ca="1">IFERROR(__xludf.DUMMYFUNCTION("""COMPUTED_VALUE"""),"DHL SUPPLY - SIBERIA")</f>
        <v>DHL SUPPLY - SIBERIA</v>
      </c>
    </row>
    <row r="643" spans="1:1" ht="12.75">
      <c r="A643" s="3" t="str">
        <f ca="1">IFERROR(__xludf.DUMMYFUNCTION("""COMPUTED_VALUE"""),"DHL SUPPLY CHAIN")</f>
        <v>DHL SUPPLY CHAIN</v>
      </c>
    </row>
    <row r="644" spans="1:1" ht="12.75">
      <c r="A644" s="3" t="str">
        <f ca="1">IFERROR(__xludf.DUMMYFUNCTION("""COMPUTED_VALUE"""),"DHL SUPPLY CHAIN-AMERICAS")</f>
        <v>DHL SUPPLY CHAIN-AMERICAS</v>
      </c>
    </row>
    <row r="645" spans="1:1" ht="12.75">
      <c r="A645" s="3" t="str">
        <f ca="1">IFERROR(__xludf.DUMMYFUNCTION("""COMPUTED_VALUE"""),"DIDO SAS")</f>
        <v>DIDO SAS</v>
      </c>
    </row>
    <row r="646" spans="1:1" ht="12.75">
      <c r="A646" s="3" t="str">
        <f ca="1">IFERROR(__xludf.DUMMYFUNCTION("""COMPUTED_VALUE"""),"DIRECCIÓN GENERAL MARÍTIMA")</f>
        <v>DIRECCIÓN GENERAL MARÍTIMA</v>
      </c>
    </row>
    <row r="647" spans="1:1" ht="12.75">
      <c r="A647" s="3" t="str">
        <f ca="1">IFERROR(__xludf.DUMMYFUNCTION("""COMPUTED_VALUE"""),"DISPAPELES SAS")</f>
        <v>DISPAPELES SAS</v>
      </c>
    </row>
    <row r="648" spans="1:1" ht="12.75">
      <c r="A648" s="3" t="str">
        <f ca="1">IFERROR(__xludf.DUMMYFUNCTION("""COMPUTED_VALUE"""),"DISTRIBUIDORA LOS COCHES LA SABANA SAS")</f>
        <v>DISTRIBUIDORA LOS COCHES LA SABANA SAS</v>
      </c>
    </row>
    <row r="649" spans="1:1" ht="12.75">
      <c r="A649" s="3" t="str">
        <f ca="1">IFERROR(__xludf.DUMMYFUNCTION("""COMPUTED_VALUE"""),"COSEQUIN LTDA.")</f>
        <v>COSEQUIN LTDA.</v>
      </c>
    </row>
    <row r="650" spans="1:1" ht="12.75">
      <c r="A650" s="3" t="str">
        <f ca="1">IFERROR(__xludf.DUMMYFUNCTION("""COMPUTED_VALUE"""),"DISTRIBUIDORA LOS COCHES LA SABANA SAS")</f>
        <v>DISTRIBUIDORA LOS COCHES LA SABANA SAS</v>
      </c>
    </row>
    <row r="651" spans="1:1" ht="12.75">
      <c r="A651" s="3" t="str">
        <f ca="1">IFERROR(__xludf.DUMMYFUNCTION("""COMPUTED_VALUE"""),"DIVERSITY GROUP SAS")</f>
        <v>DIVERSITY GROUP SAS</v>
      </c>
    </row>
    <row r="652" spans="1:1" ht="12.75">
      <c r="A652" s="3" t="str">
        <f ca="1">IFERROR(__xludf.DUMMYFUNCTION("""COMPUTED_VALUE"""),"DIVERSITY GROUP SAS")</f>
        <v>DIVERSITY GROUP SAS</v>
      </c>
    </row>
    <row r="653" spans="1:1" ht="12.75">
      <c r="A653" s="3" t="str">
        <f ca="1">IFERROR(__xludf.DUMMYFUNCTION("""COMPUTED_VALUE"""),"DIVERSITY GROUP SAS")</f>
        <v>DIVERSITY GROUP SAS</v>
      </c>
    </row>
    <row r="654" spans="1:1" ht="12.75">
      <c r="A654" s="3" t="str">
        <f ca="1">IFERROR(__xludf.DUMMYFUNCTION("""COMPUTED_VALUE"""),"DLK SAS")</f>
        <v>DLK SAS</v>
      </c>
    </row>
    <row r="655" spans="1:1" ht="12.75">
      <c r="A655" s="3" t="str">
        <f ca="1">IFERROR(__xludf.DUMMYFUNCTION("""COMPUTED_VALUE"""),"DR. REDDY ' S LABORATORIES SAS")</f>
        <v>DR. REDDY ' S LABORATORIES SAS</v>
      </c>
    </row>
    <row r="656" spans="1:1" ht="12.75">
      <c r="A656" s="3" t="str">
        <f ca="1">IFERROR(__xludf.DUMMYFUNCTION("""COMPUTED_VALUE"""),"DR. REDDY ' S LABORATORIES SAS")</f>
        <v>DR. REDDY ' S LABORATORIES SAS</v>
      </c>
    </row>
    <row r="657" spans="1:1" ht="12.75">
      <c r="A657" s="3" t="str">
        <f ca="1">IFERROR(__xludf.DUMMYFUNCTION("""COMPUTED_VALUE"""),"Draga Ingenieria SAS")</f>
        <v>Draga Ingenieria SAS</v>
      </c>
    </row>
    <row r="658" spans="1:1" ht="12.75">
      <c r="A658" s="3" t="str">
        <f ca="1">IFERROR(__xludf.DUMMYFUNCTION("""COMPUTED_VALUE"""),"DRD SISTEMAS E INGENIERIA SAS")</f>
        <v>DRD SISTEMAS E INGENIERIA SAS</v>
      </c>
    </row>
    <row r="659" spans="1:1" ht="12.75">
      <c r="A659" s="3" t="str">
        <f ca="1">IFERROR(__xludf.DUMMYFUNCTION("""COMPUTED_VALUE"""),"DROGUERIA SAN PEDRO")</f>
        <v>DROGUERIA SAN PEDRO</v>
      </c>
    </row>
    <row r="660" spans="1:1" ht="12.75">
      <c r="A660" s="3" t="str">
        <f ca="1">IFERROR(__xludf.DUMMYFUNCTION("""COMPUTED_VALUE"""),"DURMAN COLOMBIA S.A.S")</f>
        <v>DURMAN COLOMBIA S.A.S</v>
      </c>
    </row>
    <row r="661" spans="1:1" ht="12.75">
      <c r="A661" s="3" t="str">
        <f ca="1">IFERROR(__xludf.DUMMYFUNCTION("""COMPUTED_VALUE"""),"ECOCIVIL S.A.S")</f>
        <v>ECOCIVIL S.A.S</v>
      </c>
    </row>
    <row r="662" spans="1:1" ht="12.75">
      <c r="A662" s="3" t="str">
        <f ca="1">IFERROR(__xludf.DUMMYFUNCTION("""COMPUTED_VALUE"""),"ECOINTEGRAL LTDA")</f>
        <v>ECOINTEGRAL LTDA</v>
      </c>
    </row>
    <row r="663" spans="1:1" ht="12.75">
      <c r="A663" s="3" t="str">
        <f ca="1">IFERROR(__xludf.DUMMYFUNCTION("""COMPUTED_VALUE"""),"EDUCACION FUTURO LTDA")</f>
        <v>EDUCACION FUTURO LTDA</v>
      </c>
    </row>
    <row r="664" spans="1:1" ht="12.75">
      <c r="A664" s="3" t="str">
        <f ca="1">IFERROR(__xludf.DUMMYFUNCTION("""COMPUTED_VALUE"""),"EFECTIMEDIOS S.A")</f>
        <v>EFECTIMEDIOS S.A</v>
      </c>
    </row>
    <row r="665" spans="1:1" ht="12.75">
      <c r="A665" s="3" t="str">
        <f ca="1">IFERROR(__xludf.DUMMYFUNCTION("""COMPUTED_VALUE"""),"EFICACIA S.A.")</f>
        <v>EFICACIA S.A.</v>
      </c>
    </row>
    <row r="666" spans="1:1" ht="12.75">
      <c r="A666" s="3" t="str">
        <f ca="1">IFERROR(__xludf.DUMMYFUNCTION("""COMPUTED_VALUE"""),"EGC COLOMBIA SAS")</f>
        <v>EGC COLOMBIA SAS</v>
      </c>
    </row>
    <row r="667" spans="1:1" ht="12.75">
      <c r="A667" s="3" t="str">
        <f ca="1">IFERROR(__xludf.DUMMYFUNCTION("""COMPUTED_VALUE"""),"ELECTROEQUIPOS COLOMBIA SAS")</f>
        <v>ELECTROEQUIPOS COLOMBIA SAS</v>
      </c>
    </row>
    <row r="668" spans="1:1" ht="12.75">
      <c r="A668" s="3" t="str">
        <f ca="1">IFERROR(__xludf.DUMMYFUNCTION("""COMPUTED_VALUE"""),"ELIS COLOMBIA SAS")</f>
        <v>ELIS COLOMBIA SAS</v>
      </c>
    </row>
    <row r="669" spans="1:1" ht="12.75">
      <c r="A669" s="3" t="str">
        <f ca="1">IFERROR(__xludf.DUMMYFUNCTION("""COMPUTED_VALUE"""),"EMTIRIA SAS")</f>
        <v>EMTIRIA SAS</v>
      </c>
    </row>
    <row r="670" spans="1:1" ht="12.75">
      <c r="A670" s="3" t="str">
        <f ca="1">IFERROR(__xludf.DUMMYFUNCTION("""COMPUTED_VALUE"""),"ENEL COLOMBIA S.A E.S.P")</f>
        <v>ENEL COLOMBIA S.A E.S.P</v>
      </c>
    </row>
    <row r="671" spans="1:1" ht="12.75">
      <c r="A671" s="3" t="str">
        <f ca="1">IFERROR(__xludf.DUMMYFUNCTION("""COMPUTED_VALUE"""),"ENEL COLOMBIA SA ESP")</f>
        <v>ENEL COLOMBIA SA ESP</v>
      </c>
    </row>
    <row r="672" spans="1:1" ht="12.75">
      <c r="A672" s="3" t="str">
        <f ca="1">IFERROR(__xludf.DUMMYFUNCTION("""COMPUTED_VALUE"""),"ENLACES ESTRATÉGICOS")</f>
        <v>ENLACES ESTRATÉGICOS</v>
      </c>
    </row>
    <row r="673" spans="1:1" ht="12.75">
      <c r="A673" s="3" t="str">
        <f ca="1">IFERROR(__xludf.DUMMYFUNCTION("""COMPUTED_VALUE"""),"ENMEDIO COMÚNICACION DIGITAL")</f>
        <v>ENMEDIO COMÚNICACION DIGITAL</v>
      </c>
    </row>
    <row r="674" spans="1:1" ht="12.75">
      <c r="A674" s="3" t="str">
        <f ca="1">IFERROR(__xludf.DUMMYFUNCTION("""COMPUTED_VALUE"""),"ENTERRITORIO EMPRESA NACIONAL PROMOTORA DEL DESARROLLO TERRITORIAL")</f>
        <v>ENTERRITORIO EMPRESA NACIONAL PROMOTORA DEL DESARROLLO TERRITORIAL</v>
      </c>
    </row>
    <row r="675" spans="1:1" ht="12.75">
      <c r="A675" s="3" t="str">
        <f ca="1">IFERROR(__xludf.DUMMYFUNCTION("""COMPUTED_VALUE"""),"EPROFRUVER - EMPRESA PRODUCTORA DE FRUTAS Y VERDURAS COLOMBIA LIMITADA")</f>
        <v>EPROFRUVER - EMPRESA PRODUCTORA DE FRUTAS Y VERDURAS COLOMBIA LIMITADA</v>
      </c>
    </row>
    <row r="676" spans="1:1" ht="12.75">
      <c r="A676" s="3" t="str">
        <f ca="1">IFERROR(__xludf.DUMMYFUNCTION("""COMPUTED_VALUE"""),"ERJAR Y CIA SAS")</f>
        <v>ERJAR Y CIA SAS</v>
      </c>
    </row>
    <row r="677" spans="1:1" ht="12.75">
      <c r="A677" s="3" t="str">
        <f ca="1">IFERROR(__xludf.DUMMYFUNCTION("""COMPUTED_VALUE"""),"ESCENARIOS Y ESTRUCTURAS DEPORTIVAS SAS")</f>
        <v>ESCENARIOS Y ESTRUCTURAS DEPORTIVAS SAS</v>
      </c>
    </row>
    <row r="678" spans="1:1" ht="12.75">
      <c r="A678" s="3" t="str">
        <f ca="1">IFERROR(__xludf.DUMMYFUNCTION("""COMPUTED_VALUE"""),"ESOFT COLOMBIA SAS")</f>
        <v>ESOFT COLOMBIA SAS</v>
      </c>
    </row>
    <row r="679" spans="1:1" ht="12.75">
      <c r="A679" s="3" t="str">
        <f ca="1">IFERROR(__xludf.DUMMYFUNCTION("""COMPUTED_VALUE"""),"ESPACIO OBJETIVO SAS / CARLOS RODOLFO DAZA RAMIREZ")</f>
        <v>ESPACIO OBJETIVO SAS / CARLOS RODOLFO DAZA RAMIREZ</v>
      </c>
    </row>
    <row r="680" spans="1:1" ht="12.75">
      <c r="A680" s="3" t="str">
        <f ca="1">IFERROR(__xludf.DUMMYFUNCTION("""COMPUTED_VALUE"""),"ESPUMADOS SA")</f>
        <v>ESPUMADOS SA</v>
      </c>
    </row>
    <row r="681" spans="1:1" ht="12.75">
      <c r="A681" s="3" t="str">
        <f ca="1">IFERROR(__xludf.DUMMYFUNCTION("""COMPUTED_VALUE"""),"ESTACIONAMIENTO LUGANO S.A.S.")</f>
        <v>ESTACIONAMIENTO LUGANO S.A.S.</v>
      </c>
    </row>
    <row r="682" spans="1:1" ht="12.75">
      <c r="A682" s="3" t="str">
        <f ca="1">IFERROR(__xludf.DUMMYFUNCTION("""COMPUTED_VALUE"""),"ESTACIONAMIENTO LUGANO SAS")</f>
        <v>ESTACIONAMIENTO LUGANO SAS</v>
      </c>
    </row>
    <row r="683" spans="1:1" ht="12.75">
      <c r="A683" s="3" t="str">
        <f ca="1">IFERROR(__xludf.DUMMYFUNCTION("""COMPUTED_VALUE"""),"EUONIA S.A.S")</f>
        <v>EUONIA S.A.S</v>
      </c>
    </row>
    <row r="684" spans="1:1" ht="12.75">
      <c r="A684" s="3" t="str">
        <f ca="1">IFERROR(__xludf.DUMMYFUNCTION("""COMPUTED_VALUE"""),"EUROCONTROL SUCURSAL COLOMBIA")</f>
        <v>EUROCONTROL SUCURSAL COLOMBIA</v>
      </c>
    </row>
    <row r="685" spans="1:1" ht="12.75">
      <c r="A685" s="3" t="str">
        <f ca="1">IFERROR(__xludf.DUMMYFUNCTION("""COMPUTED_VALUE"""),"EUROFARMA COLOMBIA")</f>
        <v>EUROFARMA COLOMBIA</v>
      </c>
    </row>
    <row r="686" spans="1:1" ht="12.75">
      <c r="A686" s="3" t="str">
        <f ca="1">IFERROR(__xludf.DUMMYFUNCTION("""COMPUTED_VALUE"""),"EUROFARMA COLOMBIA")</f>
        <v>EUROFARMA COLOMBIA</v>
      </c>
    </row>
    <row r="687" spans="1:1" ht="12.75">
      <c r="A687" s="3" t="str">
        <f ca="1">IFERROR(__xludf.DUMMYFUNCTION("""COMPUTED_VALUE"""),"EUROFARMA COLOMBIA")</f>
        <v>EUROFARMA COLOMBIA</v>
      </c>
    </row>
    <row r="688" spans="1:1" ht="12.75">
      <c r="A688" s="3" t="str">
        <f ca="1">IFERROR(__xludf.DUMMYFUNCTION("""COMPUTED_VALUE"""),"EUROFARMA COLOMBIA")</f>
        <v>EUROFARMA COLOMBIA</v>
      </c>
    </row>
    <row r="689" spans="1:1" ht="12.75">
      <c r="A689" s="3" t="str">
        <f ca="1">IFERROR(__xludf.DUMMYFUNCTION("""COMPUTED_VALUE"""),"EXPERT COLOMBIA")</f>
        <v>EXPERT COLOMBIA</v>
      </c>
    </row>
    <row r="690" spans="1:1" ht="12.75">
      <c r="A690" s="3" t="str">
        <f ca="1">IFERROR(__xludf.DUMMYFUNCTION("""COMPUTED_VALUE"""),"ERJAR Y CIA S.A.S")</f>
        <v>ERJAR Y CIA S.A.S</v>
      </c>
    </row>
    <row r="691" spans="1:1" ht="12.75">
      <c r="A691" s="3" t="str">
        <f ca="1">IFERROR(__xludf.DUMMYFUNCTION("""COMPUTED_VALUE"""),"EXPERTS COLOMBIA SAS
ONELIK INTERNACIONAL")</f>
        <v>EXPERTS COLOMBIA SAS
ONELIK INTERNACIONAL</v>
      </c>
    </row>
    <row r="692" spans="1:1" ht="12.75">
      <c r="A692" s="3" t="str">
        <f ca="1">IFERROR(__xludf.DUMMYFUNCTION("""COMPUTED_VALUE"""),"FALABELLA DE COLOMBIA S.A.- TITAN PLAZA")</f>
        <v>FALABELLA DE COLOMBIA S.A.- TITAN PLAZA</v>
      </c>
    </row>
    <row r="693" spans="1:1" ht="12.75">
      <c r="A693" s="3" t="str">
        <f ca="1">IFERROR(__xludf.DUMMYFUNCTION("""COMPUTED_VALUE"""),"FALABELLA DE COLOMBIA S.A.- PLAZA CENTRAL")</f>
        <v>FALABELLA DE COLOMBIA S.A.- PLAZA CENTRAL</v>
      </c>
    </row>
    <row r="694" spans="1:1" ht="12.75">
      <c r="A694" s="3" t="str">
        <f ca="1">IFERROR(__xludf.DUMMYFUNCTION("""COMPUTED_VALUE"""),"FALABELLA DE COLOMBIA S.A.- CENTRO MAYOR")</f>
        <v>FALABELLA DE COLOMBIA S.A.- CENTRO MAYOR</v>
      </c>
    </row>
    <row r="695" spans="1:1" ht="12.75">
      <c r="A695" s="3" t="str">
        <f ca="1">IFERROR(__xludf.DUMMYFUNCTION("""COMPUTED_VALUE"""),"FALABELLA DE COLOMBIA S.A.- CENTRO MAYOR")</f>
        <v>FALABELLA DE COLOMBIA S.A.- CENTRO MAYOR</v>
      </c>
    </row>
    <row r="696" spans="1:1" ht="12.75">
      <c r="A696" s="3" t="str">
        <f ca="1">IFERROR(__xludf.DUMMYFUNCTION("""COMPUTED_VALUE"""),"FALABELLA DE COLOMBIA SA - DIVERPLAZA")</f>
        <v>FALABELLA DE COLOMBIA SA - DIVERPLAZA</v>
      </c>
    </row>
    <row r="697" spans="1:1" ht="12.75">
      <c r="A697" s="3" t="str">
        <f ca="1">IFERROR(__xludf.DUMMYFUNCTION("""COMPUTED_VALUE"""),"FALABELLA DE COLOMBIA SA - DIVERPLAZA")</f>
        <v>FALABELLA DE COLOMBIA SA - DIVERPLAZA</v>
      </c>
    </row>
    <row r="698" spans="1:1" ht="12.75">
      <c r="A698" s="3" t="str">
        <f ca="1">IFERROR(__xludf.DUMMYFUNCTION("""COMPUTED_VALUE"""),"FALABELLA DE COLOMBIA SA - FONTANAR")</f>
        <v>FALABELLA DE COLOMBIA SA - FONTANAR</v>
      </c>
    </row>
    <row r="699" spans="1:1" ht="12.75">
      <c r="A699" s="3" t="str">
        <f ca="1">IFERROR(__xludf.DUMMYFUNCTION("""COMPUTED_VALUE"""),"FALABELLA DE COLOMBIA SA - MULTIPLAZA")</f>
        <v>FALABELLA DE COLOMBIA SA - MULTIPLAZA</v>
      </c>
    </row>
    <row r="700" spans="1:1" ht="12.75">
      <c r="A700" s="3" t="str">
        <f ca="1">IFERROR(__xludf.DUMMYFUNCTION("""COMPUTED_VALUE"""),"FALABELLA DE COLOMBIA SA- HAYUELOS")</f>
        <v>FALABELLA DE COLOMBIA SA- HAYUELOS</v>
      </c>
    </row>
    <row r="701" spans="1:1" ht="12.75">
      <c r="A701" s="3" t="str">
        <f ca="1">IFERROR(__xludf.DUMMYFUNCTION("""COMPUTED_VALUE"""),"FALABELLA DE COLOMBIA SA-UNICENTRO")</f>
        <v>FALABELLA DE COLOMBIA SA-UNICENTRO</v>
      </c>
    </row>
    <row r="702" spans="1:1" ht="12.75">
      <c r="A702" s="3" t="str">
        <f ca="1">IFERROR(__xludf.DUMMYFUNCTION("""COMPUTED_VALUE"""),"FALABELLA DE COLOMBIA SA-UNICENTRO")</f>
        <v>FALABELLA DE COLOMBIA SA-UNICENTRO</v>
      </c>
    </row>
    <row r="703" spans="1:1" ht="12.75">
      <c r="A703" s="3" t="str">
        <f ca="1">IFERROR(__xludf.DUMMYFUNCTION("""COMPUTED_VALUE"""),"FALABELLA DE COLOMBIA SA-UNICENTRO-SUBA")</f>
        <v>FALABELLA DE COLOMBIA SA-UNICENTRO-SUBA</v>
      </c>
    </row>
    <row r="704" spans="1:1" ht="12.75">
      <c r="A704" s="39" t="str">
        <f ca="1">IFERROR(__xludf.DUMMYFUNCTION("""COMPUTED_VALUE"""),"FALABELLA.COM")</f>
        <v>FALABELLA.COM</v>
      </c>
    </row>
    <row r="705" spans="1:1" ht="12.75">
      <c r="A705" s="3" t="str">
        <f ca="1">IFERROR(__xludf.DUMMYFUNCTION("""COMPUTED_VALUE"""),"FEDERACION HANDICAP INTERNATIONAL")</f>
        <v>FEDERACION HANDICAP INTERNATIONAL</v>
      </c>
    </row>
    <row r="706" spans="1:1" ht="12.75">
      <c r="A706" s="3" t="str">
        <f ca="1">IFERROR(__xludf.DUMMYFUNCTION("""COMPUTED_VALUE"""),"FEDERACION NACIONAL DE CAFETEROS")</f>
        <v>FEDERACION NACIONAL DE CAFETEROS</v>
      </c>
    </row>
    <row r="707" spans="1:1" ht="12.75">
      <c r="A707" s="3" t="str">
        <f ca="1">IFERROR(__xludf.DUMMYFUNCTION("""COMPUTED_VALUE"""),"FEME INGENIERÍA SAS")</f>
        <v>FEME INGENIERÍA SAS</v>
      </c>
    </row>
    <row r="708" spans="1:1" ht="12.75">
      <c r="A708" s="3" t="str">
        <f ca="1">IFERROR(__xludf.DUMMYFUNCTION("""COMPUTED_VALUE"""),"FERNANDO RAMIREZ SAS")</f>
        <v>FERNANDO RAMIREZ SAS</v>
      </c>
    </row>
    <row r="709" spans="1:1" ht="12.75">
      <c r="A709" s="3" t="str">
        <f ca="1">IFERROR(__xludf.DUMMYFUNCTION("""COMPUTED_VALUE"""),"FIDEICOMISO GH BogotáFIDUBogotá")</f>
        <v>FIDEICOMISO GH BogotáFIDUBogotá</v>
      </c>
    </row>
    <row r="710" spans="1:1" ht="12.75">
      <c r="A710" s="3" t="str">
        <f ca="1">IFERROR(__xludf.DUMMYFUNCTION("""COMPUTED_VALUE"""),"FIDUCIARIA CORFICOLOMBIANA S.A.")</f>
        <v>FIDUCIARIA CORFICOLOMBIANA S.A.</v>
      </c>
    </row>
    <row r="711" spans="1:1" ht="12.75">
      <c r="A711" s="3" t="str">
        <f ca="1">IFERROR(__xludf.DUMMYFUNCTION("""COMPUTED_VALUE"""),"FINANCIERA DE DESARROLLO NACIONAL")</f>
        <v>FINANCIERA DE DESARROLLO NACIONAL</v>
      </c>
    </row>
    <row r="712" spans="1:1" ht="12.75">
      <c r="A712" s="3" t="str">
        <f ca="1">IFERROR(__xludf.DUMMYFUNCTION("""COMPUTED_VALUE"""),"FINANCIERA DE DESARROLLO TERRITORIAL S.A. FINDETER")</f>
        <v>FINANCIERA DE DESARROLLO TERRITORIAL S.A. FINDETER</v>
      </c>
    </row>
    <row r="713" spans="1:1" ht="12.75">
      <c r="A713" s="3" t="str">
        <f ca="1">IFERROR(__xludf.DUMMYFUNCTION("""COMPUTED_VALUE"""),"FONDO DE GARANTIAS DE ENTIDADES COOPERATIVAS FOGACOO")</f>
        <v>FONDO DE GARANTIAS DE ENTIDADES COOPERATIVAS FOGACOO</v>
      </c>
    </row>
    <row r="714" spans="1:1" ht="12.75">
      <c r="A714" s="3" t="str">
        <f ca="1">IFERROR(__xludf.DUMMYFUNCTION("""COMPUTED_VALUE"""),"FONDO DE GARANTIAS DE INSTITUCIONES FINANCIERAS")</f>
        <v>FONDO DE GARANTIAS DE INSTITUCIONES FINANCIERAS</v>
      </c>
    </row>
    <row r="715" spans="1:1" ht="12.75">
      <c r="A715" s="3" t="str">
        <f ca="1">IFERROR(__xludf.DUMMYFUNCTION("""COMPUTED_VALUE"""),"FONDO NACIONAL DE AHORRO")</f>
        <v>FONDO NACIONAL DE AHORRO</v>
      </c>
    </row>
    <row r="716" spans="1:1" ht="12.75">
      <c r="A716" s="3" t="str">
        <f ca="1">IFERROR(__xludf.DUMMYFUNCTION("""COMPUTED_VALUE"""),"FONDO NACIONAL DE AHORRO - FNA")</f>
        <v>FONDO NACIONAL DE AHORRO - FNA</v>
      </c>
    </row>
    <row r="717" spans="1:1" ht="12.75">
      <c r="A717" s="3" t="str">
        <f ca="1">IFERROR(__xludf.DUMMYFUNCTION("""COMPUTED_VALUE"""),"FONDO NACIONAL DE AHORRO - FNA.")</f>
        <v>FONDO NACIONAL DE AHORRO - FNA.</v>
      </c>
    </row>
    <row r="718" spans="1:1" ht="12.75">
      <c r="A718" s="3" t="str">
        <f ca="1">IFERROR(__xludf.DUMMYFUNCTION("""COMPUTED_VALUE"""),"EXPERT COLOMBIA SAS
GETCOM SERVICIOS S.A.S")</f>
        <v>EXPERT COLOMBIA SAS
GETCOM SERVICIOS S.A.S</v>
      </c>
    </row>
    <row r="719" spans="1:1" ht="12.75">
      <c r="A719" s="3" t="str">
        <f ca="1">IFERROR(__xludf.DUMMYFUNCTION("""COMPUTED_VALUE"""),"FONDO NACIONAL DE AHORRO / FNA")</f>
        <v>FONDO NACIONAL DE AHORRO / FNA</v>
      </c>
    </row>
    <row r="720" spans="1:1" ht="12.75">
      <c r="A720" s="3" t="str">
        <f ca="1">IFERROR(__xludf.DUMMYFUNCTION("""COMPUTED_VALUE"""),"FONDO NACIONAL DE AHORRO.")</f>
        <v>FONDO NACIONAL DE AHORRO.</v>
      </c>
    </row>
    <row r="721" spans="1:1" ht="12.75">
      <c r="A721" s="3" t="str">
        <f ca="1">IFERROR(__xludf.DUMMYFUNCTION("""COMPUTED_VALUE"""),"FONDO NACIONAL DE GARANTIAS S.A.")</f>
        <v>FONDO NACIONAL DE GARANTIAS S.A.</v>
      </c>
    </row>
    <row r="722" spans="1:1" ht="12.75">
      <c r="A722" s="3" t="str">
        <f ca="1">IFERROR(__xludf.DUMMYFUNCTION("""COMPUTED_VALUE"""),"FALABELLA DE COLOMBIA S.A.- GALERÍAS")</f>
        <v>FALABELLA DE COLOMBIA S.A.- GALERÍAS</v>
      </c>
    </row>
    <row r="723" spans="1:1" ht="12.75">
      <c r="A723" s="3" t="str">
        <f ca="1">IFERROR(__xludf.DUMMYFUNCTION("""COMPUTED_VALUE"""),"FALABELLA DE COLOMBIA SA - COLINA")</f>
        <v>FALABELLA DE COLOMBIA SA - COLINA</v>
      </c>
    </row>
    <row r="724" spans="1:1" ht="12.75">
      <c r="A724" s="3" t="str">
        <f ca="1">IFERROR(__xludf.DUMMYFUNCTION("""COMPUTED_VALUE"""),"FONDO NACIONAL DEL AHORRO (FNA)")</f>
        <v>FONDO NACIONAL DEL AHORRO (FNA)</v>
      </c>
    </row>
    <row r="725" spans="1:1" ht="12.75">
      <c r="A725" s="3" t="str">
        <f ca="1">IFERROR(__xludf.DUMMYFUNCTION("""COMPUTED_VALUE"""),"FONDO PASIVO SOCIAL FERROCARRILES NACIONALES DE COLOMBIA")</f>
        <v>FONDO PASIVO SOCIAL FERROCARRILES NACIONALES DE COLOMBIA</v>
      </c>
    </row>
    <row r="726" spans="1:1" ht="12.75">
      <c r="A726" s="3" t="str">
        <f ca="1">IFERROR(__xludf.DUMMYFUNCTION("""COMPUTED_VALUE"""),"FRESCONGELADOS PANETTIERE S.A")</f>
        <v>FRESCONGELADOS PANETTIERE S.A</v>
      </c>
    </row>
    <row r="727" spans="1:1" ht="12.75">
      <c r="A727" s="3" t="str">
        <f ca="1">IFERROR(__xludf.DUMMYFUNCTION("""COMPUTED_VALUE"""),"Frescongelados Panettiere S.A.")</f>
        <v>Frescongelados Panettiere S.A.</v>
      </c>
    </row>
    <row r="728" spans="1:1" ht="12.75">
      <c r="A728" s="3" t="str">
        <f ca="1">IFERROR(__xludf.DUMMYFUNCTION("""COMPUTED_VALUE"""),"FSQ GROUP SAS")</f>
        <v>FSQ GROUP SAS</v>
      </c>
    </row>
    <row r="729" spans="1:1" ht="12.75">
      <c r="A729" s="3" t="str">
        <f ca="1">IFERROR(__xludf.DUMMYFUNCTION("""COMPUTED_VALUE"""),"FUMIGIR LTDA")</f>
        <v>FUMIGIR LTDA</v>
      </c>
    </row>
    <row r="730" spans="1:1" ht="12.75">
      <c r="A730" s="3" t="str">
        <f ca="1">IFERROR(__xludf.DUMMYFUNCTION("""COMPUTED_VALUE"""),"FUNDACION ACCION CONTRA EL HAMBRE")</f>
        <v>FUNDACION ACCION CONTRA EL HAMBRE</v>
      </c>
    </row>
    <row r="731" spans="1:1" ht="12.75">
      <c r="A731" s="3" t="str">
        <f ca="1">IFERROR(__xludf.DUMMYFUNCTION("""COMPUTED_VALUE"""),"FUNDACIÓN UNIVERSITARIA SAN MATEO")</f>
        <v>FUNDACIÓN UNIVERSITARIA SAN MATEO</v>
      </c>
    </row>
    <row r="732" spans="1:1" ht="12.75">
      <c r="A732" s="3" t="str">
        <f ca="1">IFERROR(__xludf.DUMMYFUNCTION("""COMPUTED_VALUE"""),"G.M. FINANCIAL COLOMBIA S.A. COMPAÑIA DE FINANCIAMIENTO")</f>
        <v>G.M. FINANCIAL COLOMBIA S.A. COMPAÑIA DE FINANCIAMIENTO</v>
      </c>
    </row>
    <row r="733" spans="1:1" ht="12.75">
      <c r="A733" s="3" t="str">
        <f ca="1">IFERROR(__xludf.DUMMYFUNCTION("""COMPUTED_VALUE"""),"GALLAGHER CONSULTING LTDA / ARTHUR J GALLAGHER CORREDORES DE SEGUROS SA")</f>
        <v>GALLAGHER CONSULTING LTDA / ARTHUR J GALLAGHER CORREDORES DE SEGUROS SA</v>
      </c>
    </row>
    <row r="734" spans="1:1" ht="12.75">
      <c r="A734" s="3" t="str">
        <f ca="1">IFERROR(__xludf.DUMMYFUNCTION("""COMPUTED_VALUE"""),"GC&amp;INGENIEROS SAS
RJ&amp;P INGENIERIA SAS
R&amp;Q INGENIERIA COLOMBIA SA")</f>
        <v>GC&amp;INGENIEROS SAS
RJ&amp;P INGENIERIA SAS
R&amp;Q INGENIERIA COLOMBIA SA</v>
      </c>
    </row>
    <row r="735" spans="1:1" ht="12.75">
      <c r="A735" s="3" t="str">
        <f ca="1">IFERROR(__xludf.DUMMYFUNCTION("""COMPUTED_VALUE"""),"GENFAR SA")</f>
        <v>GENFAR SA</v>
      </c>
    </row>
    <row r="736" spans="1:1" ht="12.75">
      <c r="A736" s="3" t="str">
        <f ca="1">IFERROR(__xludf.DUMMYFUNCTION("""COMPUTED_VALUE"""),"GEOAMBIENTE SOCIEDAD POR ACCIONES SIMPLIFICADA")</f>
        <v>GEOAMBIENTE SOCIEDAD POR ACCIONES SIMPLIFICADA</v>
      </c>
    </row>
    <row r="737" spans="1:1" ht="12.75">
      <c r="A737" s="3" t="str">
        <f ca="1">IFERROR(__xludf.DUMMYFUNCTION("""COMPUTED_VALUE"""),"GEOESTABILIZACIONES SOLHER")</f>
        <v>GEOESTABILIZACIONES SOLHER</v>
      </c>
    </row>
    <row r="738" spans="1:1" ht="12.75">
      <c r="A738" s="3" t="str">
        <f ca="1">IFERROR(__xludf.DUMMYFUNCTION("""COMPUTED_VALUE"""),"GEOESTUDIOS INGENIERIA SAS")</f>
        <v>GEOESTUDIOS INGENIERIA SAS</v>
      </c>
    </row>
    <row r="739" spans="1:1" ht="12.75">
      <c r="A739" s="3" t="str">
        <f ca="1">IFERROR(__xludf.DUMMYFUNCTION("""COMPUTED_VALUE"""),"FLORES EL ALJIBE SAS")</f>
        <v>FLORES EL ALJIBE SAS</v>
      </c>
    </row>
    <row r="740" spans="1:1" ht="12.75">
      <c r="A740" s="3" t="str">
        <f ca="1">IFERROR(__xludf.DUMMYFUNCTION("""COMPUTED_VALUE"""),"GEOSOLUCIONES DE INGENIERIA SAS")</f>
        <v>GEOSOLUCIONES DE INGENIERIA SAS</v>
      </c>
    </row>
    <row r="741" spans="1:1" ht="12.75">
      <c r="A741" s="3" t="str">
        <f ca="1">IFERROR(__xludf.DUMMYFUNCTION("""COMPUTED_VALUE"""),"GEOTECNIA ANDINA CONSSULTORES SAS")</f>
        <v>GEOTECNIA ANDINA CONSSULTORES SAS</v>
      </c>
    </row>
    <row r="742" spans="1:1" ht="12.75">
      <c r="A742" s="3" t="str">
        <f ca="1">IFERROR(__xludf.DUMMYFUNCTION("""COMPUTED_VALUE"""),"GERENCIA E INGENIERÍA DE PROYECTOS SAS - GEINPRO SAS")</f>
        <v>GERENCIA E INGENIERÍA DE PROYECTOS SAS - GEINPRO SAS</v>
      </c>
    </row>
    <row r="743" spans="1:1" ht="12.75">
      <c r="A743" s="3" t="str">
        <f ca="1">IFERROR(__xludf.DUMMYFUNCTION("""COMPUTED_VALUE"""),"GESTION DE SEGURIDAD ELECTRONICA SA")</f>
        <v>GESTION DE SEGURIDAD ELECTRONICA SA</v>
      </c>
    </row>
    <row r="744" spans="1:1" ht="12.75">
      <c r="A744" s="3" t="str">
        <f ca="1">IFERROR(__xludf.DUMMYFUNCTION("""COMPUTED_VALUE"""),"GESTION DE SEGURIDAD ELECTRONICA SA / DIGITAL TRAINING COLOMBIA SAS / PAYNET SAS")</f>
        <v>GESTION DE SEGURIDAD ELECTRONICA SA / DIGITAL TRAINING COLOMBIA SAS / PAYNET SAS</v>
      </c>
    </row>
    <row r="745" spans="1:1" ht="12.75">
      <c r="A745" s="3" t="str">
        <f ca="1">IFERROR(__xludf.DUMMYFUNCTION("""COMPUTED_VALUE"""),"GESTION INTEGRAL DEL SUELO S.L COLOMBIA")</f>
        <v>GESTION INTEGRAL DEL SUELO S.L COLOMBIA</v>
      </c>
    </row>
    <row r="746" spans="1:1" ht="12.75">
      <c r="A746" s="3" t="str">
        <f ca="1">IFERROR(__xludf.DUMMYFUNCTION("""COMPUTED_VALUE"""),"GIJON SAS")</f>
        <v>GIJON SAS</v>
      </c>
    </row>
    <row r="747" spans="1:1" ht="12.75">
      <c r="A747" s="3" t="str">
        <f ca="1">IFERROR(__xludf.DUMMYFUNCTION("""COMPUTED_VALUE"""),"GILAT COLOMBIA")</f>
        <v>GILAT COLOMBIA</v>
      </c>
    </row>
    <row r="748" spans="1:1" ht="12.75">
      <c r="A748" s="3" t="str">
        <f ca="1">IFERROR(__xludf.DUMMYFUNCTION("""COMPUTED_VALUE"""),"GINPROSA INGENIERIA S L SUCURSAL COLOMBIA")</f>
        <v>GINPROSA INGENIERIA S L SUCURSAL COLOMBIA</v>
      </c>
    </row>
    <row r="749" spans="1:1" ht="12.75">
      <c r="A749" s="3" t="str">
        <f ca="1">IFERROR(__xludf.DUMMYFUNCTION("""COMPUTED_VALUE"""),"GIVAUDAN COLOMBIA S .A.S")</f>
        <v>GIVAUDAN COLOMBIA S .A.S</v>
      </c>
    </row>
    <row r="750" spans="1:1" ht="12.75">
      <c r="A750" s="3" t="str">
        <f ca="1">IFERROR(__xludf.DUMMYFUNCTION("""COMPUTED_VALUE"""),"GRAN TITÁN COLOMBIA SAS")</f>
        <v>GRAN TITÁN COLOMBIA SAS</v>
      </c>
    </row>
    <row r="751" spans="1:1" ht="12.75">
      <c r="A751" s="3" t="str">
        <f ca="1">IFERROR(__xludf.DUMMYFUNCTION("""COMPUTED_VALUE"""),"GRANECCO SAS")</f>
        <v>GRANECCO SAS</v>
      </c>
    </row>
    <row r="752" spans="1:1" ht="12.75">
      <c r="A752" s="3" t="str">
        <f ca="1">IFERROR(__xludf.DUMMYFUNCTION("""COMPUTED_VALUE"""),"GRUPO AVIATUR S.A.S")</f>
        <v>GRUPO AVIATUR S.A.S</v>
      </c>
    </row>
    <row r="753" spans="1:1" ht="12.75">
      <c r="A753" s="3" t="str">
        <f ca="1">IFERROR(__xludf.DUMMYFUNCTION("""COMPUTED_VALUE"""),"GRUPO ENERGÍA BogotáS.A. Esp, (GEB S.A. Esp)")</f>
        <v>GRUPO ENERGÍA BogotáS.A. Esp, (GEB S.A. Esp)</v>
      </c>
    </row>
    <row r="754" spans="1:1" ht="12.75">
      <c r="A754" s="3" t="str">
        <f ca="1">IFERROR(__xludf.DUMMYFUNCTION("""COMPUTED_VALUE"""),"GRUPO ERCA COMÚnicaCION INTEGRAL SAS")</f>
        <v>GRUPO ERCA COMÚnicaCION INTEGRAL SAS</v>
      </c>
    </row>
    <row r="755" spans="1:1" ht="12.75">
      <c r="A755" s="3" t="str">
        <f ca="1">IFERROR(__xludf.DUMMYFUNCTION("""COMPUTED_VALUE"""),"GRUPO GESTIUM COLOMBIA SAS")</f>
        <v>GRUPO GESTIUM COLOMBIA SAS</v>
      </c>
    </row>
    <row r="756" spans="1:1" ht="12.75">
      <c r="A756" s="3" t="str">
        <f ca="1">IFERROR(__xludf.DUMMYFUNCTION("""COMPUTED_VALUE"""),"Grupo Kopelle")</f>
        <v>Grupo Kopelle</v>
      </c>
    </row>
    <row r="757" spans="1:1" ht="12.75">
      <c r="A757" s="3" t="str">
        <f ca="1">IFERROR(__xludf.DUMMYFUNCTION("""COMPUTED_VALUE"""),"GRUPO M 
GROUPM TRADING COLOMBIA SAS 
WAVEMAKER COLOMBIA SAS
ESSENCEMEDIACOM COLOMBIA SAS
WWP MEDIA MANAGEMENT COLOMBIA SAS")</f>
        <v>GRUPO M 
GROUPM TRADING COLOMBIA SAS 
WAVEMAKER COLOMBIA SAS
ESSENCEMEDIACOM COLOMBIA SAS
WWP MEDIA MANAGEMENT COLOMBIA SAS</v>
      </c>
    </row>
    <row r="758" spans="1:1" ht="12.75">
      <c r="A758" s="3" t="str">
        <f ca="1">IFERROR(__xludf.DUMMYFUNCTION("""COMPUTED_VALUE"""),"GRUPO METRO COLOMBIA SAS")</f>
        <v>GRUPO METRO COLOMBIA SAS</v>
      </c>
    </row>
    <row r="759" spans="1:1" ht="12.75">
      <c r="A759" s="3" t="str">
        <f ca="1">IFERROR(__xludf.DUMMYFUNCTION("""COMPUTED_VALUE"""),"Grupo Novus Ltda")</f>
        <v>Grupo Novus Ltda</v>
      </c>
    </row>
    <row r="760" spans="1:1" ht="12.75">
      <c r="A760" s="3" t="str">
        <f ca="1">IFERROR(__xludf.DUMMYFUNCTION("""COMPUTED_VALUE"""),"GRUPO ONE")</f>
        <v>GRUPO ONE</v>
      </c>
    </row>
    <row r="761" spans="1:1" ht="12.75">
      <c r="A761" s="3" t="str">
        <f ca="1">IFERROR(__xludf.DUMMYFUNCTION("""COMPUTED_VALUE"""),"SISTEMAS COLOMBIA SAS")</f>
        <v>SISTEMAS COLOMBIA SAS</v>
      </c>
    </row>
    <row r="762" spans="1:1" ht="12.75">
      <c r="A762" s="3" t="str">
        <f ca="1">IFERROR(__xludf.DUMMYFUNCTION("""COMPUTED_VALUE"""),"GRUPO SIERRA NEVADA Galerias")</f>
        <v>GRUPO SIERRA NEVADA Galerias</v>
      </c>
    </row>
    <row r="763" spans="1:1" ht="12.75">
      <c r="A763" s="3" t="str">
        <f ca="1">IFERROR(__xludf.DUMMYFUNCTION("""COMPUTED_VALUE"""),"GRUPO SIERRA NEVADA SAS - Cedritos")</f>
        <v>GRUPO SIERRA NEVADA SAS - Cedritos</v>
      </c>
    </row>
    <row r="764" spans="1:1" ht="12.75">
      <c r="A764" s="3" t="str">
        <f ca="1">IFERROR(__xludf.DUMMYFUNCTION("""COMPUTED_VALUE"""),"GSG- GESTIÓN DE SERVICIOS GLOBALES S.A.S.")</f>
        <v>GSG- GESTIÓN DE SERVICIOS GLOBALES S.A.S.</v>
      </c>
    </row>
    <row r="765" spans="1:1" ht="12.75">
      <c r="A765" s="3" t="str">
        <f ca="1">IFERROR(__xludf.DUMMYFUNCTION("""COMPUTED_VALUE"""),"GURUS INVERSIONES SAS")</f>
        <v>GURUS INVERSIONES SAS</v>
      </c>
    </row>
    <row r="766" spans="1:1" ht="12.75">
      <c r="A766" s="3" t="str">
        <f ca="1">IFERROR(__xludf.DUMMYFUNCTION("""COMPUTED_VALUE"""),"HACH COLOMBIA S.A.S")</f>
        <v>HACH COLOMBIA S.A.S</v>
      </c>
    </row>
    <row r="767" spans="1:1" ht="12.75">
      <c r="A767" s="3" t="str">
        <f ca="1">IFERROR(__xludf.DUMMYFUNCTION("""COMPUTED_VALUE"""),"HAUTE PROTOCOLE SAS")</f>
        <v>HAUTE PROTOCOLE SAS</v>
      </c>
    </row>
    <row r="768" spans="1:1" ht="12.75">
      <c r="A768" s="3" t="str">
        <f ca="1">IFERROR(__xludf.DUMMYFUNCTION("""COMPUTED_VALUE"""),"HAVAS MEDIA COLOMBIA S.A.S")</f>
        <v>HAVAS MEDIA COLOMBIA S.A.S</v>
      </c>
    </row>
    <row r="769" spans="1:1" ht="12.75">
      <c r="A769" s="3" t="str">
        <f ca="1">IFERROR(__xludf.DUMMYFUNCTION("""COMPUTED_VALUE"""),"HEINSOHN BUSINESS TECHNOLOGY")</f>
        <v>HEINSOHN BUSINESS TECHNOLOGY</v>
      </c>
    </row>
    <row r="770" spans="1:1" ht="12.75">
      <c r="A770" s="3" t="str">
        <f ca="1">IFERROR(__xludf.DUMMYFUNCTION("""COMPUTED_VALUE"""),"HEINSOHN HUMAN GLOBAL SOLUTIONS")</f>
        <v>HEINSOHN HUMAN GLOBAL SOLUTIONS</v>
      </c>
    </row>
    <row r="771" spans="1:1" ht="12.75">
      <c r="A771" s="3" t="str">
        <f ca="1">IFERROR(__xludf.DUMMYFUNCTION("""COMPUTED_VALUE"""),"HELIOS TECHNOLOGY &amp; INNOVATION SAS")</f>
        <v>HELIOS TECHNOLOGY &amp; INNOVATION SAS</v>
      </c>
    </row>
    <row r="772" spans="1:1" ht="12.75">
      <c r="A772" s="3" t="str">
        <f ca="1">IFERROR(__xludf.DUMMYFUNCTION("""COMPUTED_VALUE"""),"HEXAGON BPO SOLUTIONS COLOMBIA SA")</f>
        <v>HEXAGON BPO SOLUTIONS COLOMBIA SA</v>
      </c>
    </row>
    <row r="773" spans="1:1" ht="12.75">
      <c r="A773" s="3" t="str">
        <f ca="1">IFERROR(__xludf.DUMMYFUNCTION("""COMPUTED_VALUE"""),"HIDALGO E HIDALGO COLOMBIA SAS")</f>
        <v>HIDALGO E HIDALGO COLOMBIA SAS</v>
      </c>
    </row>
    <row r="774" spans="1:1" ht="12.75">
      <c r="A774" s="3" t="str">
        <f ca="1">IFERROR(__xludf.DUMMYFUNCTION("""COMPUTED_VALUE"""),"HIDALGO E HIDALGO COLOMBIA SAS")</f>
        <v>HIDALGO E HIDALGO COLOMBIA SAS</v>
      </c>
    </row>
    <row r="775" spans="1:1" ht="12.75">
      <c r="A775" s="3" t="str">
        <f ca="1">IFERROR(__xludf.DUMMYFUNCTION("""COMPUTED_VALUE"""),"HIGH TECH SOFTWARE S.A.S")</f>
        <v>HIGH TECH SOFTWARE S.A.S</v>
      </c>
    </row>
    <row r="776" spans="1:1" ht="12.75">
      <c r="A776" s="3" t="str">
        <f ca="1">IFERROR(__xludf.DUMMYFUNCTION("""COMPUTED_VALUE"""),"HILTON
(SOCIEDAD OPERADORA 72 GRAN HOTEL SAS)
(OPERADOR HOTELERO PACTIA CORFERIAS SAS)")</f>
        <v>HILTON
(SOCIEDAD OPERADORA 72 GRAN HOTEL SAS)
(OPERADOR HOTELERO PACTIA CORFERIAS SAS)</v>
      </c>
    </row>
    <row r="777" spans="1:1" ht="12.75">
      <c r="A777" s="3" t="str">
        <f ca="1">IFERROR(__xludf.DUMMYFUNCTION("""COMPUTED_VALUE"""),"HIMHER Y CIA SA")</f>
        <v>HIMHER Y CIA SA</v>
      </c>
    </row>
    <row r="778" spans="1:1" ht="12.75">
      <c r="A778" s="3" t="str">
        <f ca="1">IFERROR(__xludf.DUMMYFUNCTION("""COMPUTED_VALUE"""),"HMV INGENIEROS LTDA")</f>
        <v>HMV INGENIEROS LTDA</v>
      </c>
    </row>
    <row r="779" spans="1:1" ht="12.75">
      <c r="A779" s="3" t="str">
        <f ca="1">IFERROR(__xludf.DUMMYFUNCTION("""COMPUTED_VALUE"""),"HOSPITAL UNIVERSITARIO SAN IGNACIO")</f>
        <v>HOSPITAL UNIVERSITARIO SAN IGNACIO</v>
      </c>
    </row>
    <row r="780" spans="1:1" ht="12.75">
      <c r="A780" s="3" t="str">
        <f ca="1">IFERROR(__xludf.DUMMYFUNCTION("""COMPUTED_VALUE"""),"HOSPITAL MILITAR CENTRAL")</f>
        <v>HOSPITAL MILITAR CENTRAL</v>
      </c>
    </row>
    <row r="781" spans="1:1" ht="12.75">
      <c r="A781" s="3" t="str">
        <f ca="1">IFERROR(__xludf.DUMMYFUNCTION("""COMPUTED_VALUE"""),"HOSPITAL VETERINARIO PRAGA SAS")</f>
        <v>HOSPITAL VETERINARIO PRAGA SAS</v>
      </c>
    </row>
    <row r="782" spans="1:1" ht="12.75">
      <c r="A782" s="3" t="str">
        <f ca="1">IFERROR(__xludf.DUMMYFUNCTION("""COMPUTED_VALUE"""),"HOTELES DE RICAURTE SOCIEDAD POR ACCIONES SIMPLIFICADA")</f>
        <v>HOTELES DE RICAURTE SOCIEDAD POR ACCIONES SIMPLIFICADA</v>
      </c>
    </row>
    <row r="783" spans="1:1" ht="12.75">
      <c r="A783" s="3" t="str">
        <f ca="1">IFERROR(__xludf.DUMMYFUNCTION("""COMPUTED_VALUE"""),"HOTELES ESTELAR S.A.")</f>
        <v>HOTELES ESTELAR S.A.</v>
      </c>
    </row>
    <row r="784" spans="1:1" ht="12.75">
      <c r="A784" s="3" t="str">
        <f ca="1">IFERROR(__xludf.DUMMYFUNCTION("""COMPUTED_VALUE"""),"HOTELES ESTELAR S.A. - SEDE LA FONTANA")</f>
        <v>HOTELES ESTELAR S.A. - SEDE LA FONTANA</v>
      </c>
    </row>
    <row r="785" spans="1:1" ht="12.75">
      <c r="A785" s="3" t="str">
        <f ca="1">IFERROR(__xludf.DUMMYFUNCTION("""COMPUTED_VALUE"""),"HOTELES ESTELAR S.A.  - SEDE ADMINISTRATIVA")</f>
        <v>HOTELES ESTELAR S.A.  - SEDE ADMINISTRATIVA</v>
      </c>
    </row>
    <row r="786" spans="1:1" ht="12.75">
      <c r="A786" s="3" t="str">
        <f ca="1">IFERROR(__xludf.DUMMYFUNCTION("""COMPUTED_VALUE"""),"GRUPO SIERRA NEVADA SAS - Virrey")</f>
        <v>GRUPO SIERRA NEVADA SAS - Virrey</v>
      </c>
    </row>
    <row r="787" spans="1:1" ht="12.75">
      <c r="A787" s="3" t="str">
        <f ca="1">IFERROR(__xludf.DUMMYFUNCTION("""COMPUTED_VALUE"""),"GRUPO SIERRA NEVADA SAS - Virrey")</f>
        <v>GRUPO SIERRA NEVADA SAS - Virrey</v>
      </c>
    </row>
    <row r="788" spans="1:1" ht="12.75">
      <c r="A788" s="3" t="str">
        <f ca="1">IFERROR(__xludf.DUMMYFUNCTION("""COMPUTED_VALUE"""),"HUGE SAS")</f>
        <v>HUGE SAS</v>
      </c>
    </row>
    <row r="789" spans="1:1" ht="12.75">
      <c r="A789" s="3" t="str">
        <f ca="1">IFERROR(__xludf.DUMMYFUNCTION("""COMPUTED_VALUE"""),"IBEROAMERICANA DE ALIMENTOS Y SERVICIOS SAS / IBEASER")</f>
        <v>IBEROAMERICANA DE ALIMENTOS Y SERVICIOS SAS / IBEASER</v>
      </c>
    </row>
    <row r="790" spans="1:1" ht="12.75">
      <c r="A790" s="3" t="str">
        <f ca="1">IFERROR(__xludf.DUMMYFUNCTION("""COMPUTED_VALUE"""),"ICC-INGENIERIA Y CONSTRUCCIONES CIVILES SAS")</f>
        <v>ICC-INGENIERIA Y CONSTRUCCIONES CIVILES SAS</v>
      </c>
    </row>
    <row r="791" spans="1:1" ht="12.75">
      <c r="A791" s="3" t="str">
        <f ca="1">IFERROR(__xludf.DUMMYFUNCTION("""COMPUTED_VALUE"""),"ICOL CONSULTORES S.A.S.")</f>
        <v>ICOL CONSULTORES S.A.S.</v>
      </c>
    </row>
    <row r="792" spans="1:1" ht="12.75">
      <c r="A792" s="3" t="str">
        <f ca="1">IFERROR(__xludf.DUMMYFUNCTION("""COMPUTED_VALUE"""),"ICSAFER SAS")</f>
        <v>ICSAFER SAS</v>
      </c>
    </row>
    <row r="793" spans="1:1" ht="12.75">
      <c r="A793" s="3" t="str">
        <f ca="1">IFERROR(__xludf.DUMMYFUNCTION("""COMPUTED_VALUE"""),"IEH GRUCON S.A.")</f>
        <v>IEH GRUCON S.A.</v>
      </c>
    </row>
    <row r="794" spans="1:1" ht="12.75">
      <c r="A794" s="3" t="str">
        <f ca="1">IFERROR(__xludf.DUMMYFUNCTION("""COMPUTED_VALUE"""),"IFX - NETWORKS COLOMBIA SAS.")</f>
        <v>IFX - NETWORKS COLOMBIA SAS.</v>
      </c>
    </row>
    <row r="795" spans="1:1" ht="12.75">
      <c r="A795" s="3" t="str">
        <f ca="1">IFERROR(__xludf.DUMMYFUNCTION("""COMPUTED_VALUE"""),"HELIOS TECHNOLOGY AND INNOVATION")</f>
        <v>HELIOS TECHNOLOGY AND INNOVATION</v>
      </c>
    </row>
    <row r="796" spans="1:1" ht="12.75">
      <c r="A796" s="3" t="str">
        <f ca="1">IFERROR(__xludf.DUMMYFUNCTION("""COMPUTED_VALUE"""),"IFX NETWORKS COLOMBIA SAS")</f>
        <v>IFX NETWORKS COLOMBIA SAS</v>
      </c>
    </row>
    <row r="797" spans="1:1" ht="12.75">
      <c r="A797" s="3" t="str">
        <f ca="1">IFERROR(__xludf.DUMMYFUNCTION("""COMPUTED_VALUE"""),"IGT SERVICES AND TECHNOLOGIES COLOMBIA S.A.S.")</f>
        <v>IGT SERVICES AND TECHNOLOGIES COLOMBIA S.A.S.</v>
      </c>
    </row>
    <row r="798" spans="1:1" ht="12.75">
      <c r="A798" s="3" t="str">
        <f ca="1">IFERROR(__xludf.DUMMYFUNCTION("""COMPUTED_VALUE"""),"ILUNION LAVANDERIA BogotáS.A.S- SEDE PRINCIPAL")</f>
        <v>ILUNION LAVANDERIA BogotáS.A.S- SEDE PRINCIPAL</v>
      </c>
    </row>
    <row r="799" spans="1:1" ht="12.75">
      <c r="A799" s="3" t="str">
        <f ca="1">IFERROR(__xludf.DUMMYFUNCTION("""COMPUTED_VALUE"""),"ILUNION LAVANDERIA BogotáS.A.S")</f>
        <v>ILUNION LAVANDERIA BogotáS.A.S</v>
      </c>
    </row>
    <row r="800" spans="1:1" ht="12.75">
      <c r="A800" s="3" t="str">
        <f ca="1">IFERROR(__xludf.DUMMYFUNCTION("""COMPUTED_VALUE"""),"ILUNION LAVANDERIA BogotáS.A.S.- SEDE HOMI")</f>
        <v>ILUNION LAVANDERIA BogotáS.A.S.- SEDE HOMI</v>
      </c>
    </row>
    <row r="801" spans="1:1" ht="12.75">
      <c r="A801" s="3" t="str">
        <f ca="1">IFERROR(__xludf.DUMMYFUNCTION("""COMPUTED_VALUE"""),"ILUNION LAVANDERIA BogotáS.AS.- SEDE COUNTRY")</f>
        <v>ILUNION LAVANDERIA BogotáS.AS.- SEDE COUNTRY</v>
      </c>
    </row>
    <row r="802" spans="1:1" ht="12.75">
      <c r="A802" s="3" t="str">
        <f ca="1">IFERROR(__xludf.DUMMYFUNCTION("""COMPUTED_VALUE"""),"ILUNION LAVANDERIA BogotáSA.S.- SEDE CLINICA SHAIO")</f>
        <v>ILUNION LAVANDERIA BogotáSA.S.- SEDE CLINICA SHAIO</v>
      </c>
    </row>
    <row r="803" spans="1:1" ht="12.75">
      <c r="A803" s="3" t="str">
        <f ca="1">IFERROR(__xludf.DUMMYFUNCTION("""COMPUTED_VALUE"""),"ILUNION LAVANDERIA BogotáSAS.- SEDE CLINICA COLINA")</f>
        <v>ILUNION LAVANDERIA BogotáSAS.- SEDE CLINICA COLINA</v>
      </c>
    </row>
    <row r="804" spans="1:1" ht="12.75">
      <c r="A804" s="3" t="str">
        <f ca="1">IFERROR(__xludf.DUMMYFUNCTION("""COMPUTED_VALUE"""),"IMEVI SOLUCIONES INTEGRADAS EN SALUD VISUAL")</f>
        <v>IMEVI SOLUCIONES INTEGRADAS EN SALUD VISUAL</v>
      </c>
    </row>
    <row r="805" spans="1:1" ht="12.75">
      <c r="A805" s="3" t="str">
        <f ca="1">IFERROR(__xludf.DUMMYFUNCTION("""COMPUTED_VALUE"""),"IMPLEMENTAR SAS")</f>
        <v>IMPLEMENTAR SAS</v>
      </c>
    </row>
    <row r="806" spans="1:1" ht="12.75">
      <c r="A806" s="3" t="str">
        <f ca="1">IFERROR(__xludf.DUMMYFUNCTION("""COMPUTED_VALUE"""),"INACSA SAS o AMERICANA DE COLCHONES")</f>
        <v>INACSA SAS o AMERICANA DE COLCHONES</v>
      </c>
    </row>
    <row r="807" spans="1:1" ht="12.75">
      <c r="A807" s="3" t="str">
        <f ca="1">IFERROR(__xludf.DUMMYFUNCTION("""COMPUTED_VALUE"""),"INCITECO SAS")</f>
        <v>INCITECO SAS</v>
      </c>
    </row>
    <row r="808" spans="1:1" ht="12.75">
      <c r="A808" s="3" t="str">
        <f ca="1">IFERROR(__xludf.DUMMYFUNCTION("""COMPUTED_VALUE"""),"INDUSTRIA NACIONAL DE GASEOSAS")</f>
        <v>INDUSTRIA NACIONAL DE GASEOSAS</v>
      </c>
    </row>
    <row r="809" spans="1:1" ht="12.75">
      <c r="A809" s="3" t="str">
        <f ca="1">IFERROR(__xludf.DUMMYFUNCTION("""COMPUTED_VALUE"""),"INDUSTRIAS LA VICTORIA SAS")</f>
        <v>INDUSTRIAS LA VICTORIA SAS</v>
      </c>
    </row>
    <row r="810" spans="1:1" ht="12.75">
      <c r="A810" s="3" t="str">
        <f ca="1">IFERROR(__xludf.DUMMYFUNCTION("""COMPUTED_VALUE"""),"INDUSTRIAS LA VICTORIA SAS-SOACHA")</f>
        <v>INDUSTRIAS LA VICTORIA SAS-SOACHA</v>
      </c>
    </row>
    <row r="811" spans="1:1" ht="12.75">
      <c r="A811" s="3" t="str">
        <f ca="1">IFERROR(__xludf.DUMMYFUNCTION("""COMPUTED_VALUE"""),"INDUSTRIAS SPRING S.A.S")</f>
        <v>INDUSTRIAS SPRING S.A.S</v>
      </c>
    </row>
    <row r="812" spans="1:1" ht="12.75">
      <c r="A812" s="3" t="str">
        <f ca="1">IFERROR(__xludf.DUMMYFUNCTION("""COMPUTED_VALUE"""),"INDUSTRIAS SPRING S.A.S SEDE Bogotá")</f>
        <v>INDUSTRIAS SPRING S.A.S SEDE Bogotá</v>
      </c>
    </row>
    <row r="813" spans="1:1" ht="12.75">
      <c r="A813" s="3" t="str">
        <f ca="1">IFERROR(__xludf.DUMMYFUNCTION("""COMPUTED_VALUE"""),"IDEPLAS SAS")</f>
        <v>IDEPLAS SAS</v>
      </c>
    </row>
    <row r="814" spans="1:1" ht="12.75">
      <c r="A814" s="3" t="str">
        <f ca="1">IFERROR(__xludf.DUMMYFUNCTION("""COMPUTED_VALUE"""),"INDUSTRIAS SPRING S.A.S")</f>
        <v>INDUSTRIAS SPRING S.A.S</v>
      </c>
    </row>
    <row r="815" spans="1:1" ht="12.75">
      <c r="A815" s="3" t="str">
        <f ca="1">IFERROR(__xludf.DUMMYFUNCTION("""COMPUTED_VALUE"""),"INFERCAL SAS")</f>
        <v>INFERCAL SAS</v>
      </c>
    </row>
    <row r="816" spans="1:1" ht="12.75">
      <c r="A816" s="3" t="str">
        <f ca="1">IFERROR(__xludf.DUMMYFUNCTION("""COMPUTED_VALUE"""),"INFORMATICA Y TÉCNOLOGIA STEFANINI")</f>
        <v>INFORMATICA Y TÉCNOLOGIA STEFANINI</v>
      </c>
    </row>
    <row r="817" spans="1:1" ht="12.75">
      <c r="A817" s="3" t="str">
        <f ca="1">IFERROR(__xludf.DUMMYFUNCTION("""COMPUTED_VALUE"""),"INFORPETROL SA")</f>
        <v>INFORPETROL SA</v>
      </c>
    </row>
    <row r="818" spans="1:1" ht="12.75">
      <c r="A818" s="3" t="str">
        <f ca="1">IFERROR(__xludf.DUMMYFUNCTION("""COMPUTED_VALUE"""),"Infotrack S.A")</f>
        <v>Infotrack S.A</v>
      </c>
    </row>
    <row r="819" spans="1:1" ht="12.75">
      <c r="A819" s="3" t="str">
        <f ca="1">IFERROR(__xludf.DUMMYFUNCTION("""COMPUTED_VALUE"""),"Infotrack S.A
Comercializadora City parts SAS")</f>
        <v>Infotrack S.A
Comercializadora City parts SAS</v>
      </c>
    </row>
    <row r="820" spans="1:1" ht="12.75">
      <c r="A820" s="3" t="str">
        <f ca="1">IFERROR(__xludf.DUMMYFUNCTION("""COMPUTED_VALUE"""),"INFRAOBRAS INGENIERIA SAS")</f>
        <v>INFRAOBRAS INGENIERIA SAS</v>
      </c>
    </row>
    <row r="821" spans="1:1" ht="12.75">
      <c r="A821" s="3" t="str">
        <f ca="1">IFERROR(__xludf.DUMMYFUNCTION("""COMPUTED_VALUE"""),"ING INGENIERIA SAS")</f>
        <v>ING INGENIERIA SAS</v>
      </c>
    </row>
    <row r="822" spans="1:1" ht="12.75">
      <c r="A822" s="3" t="str">
        <f ca="1">IFERROR(__xludf.DUMMYFUNCTION("""COMPUTED_VALUE"""),"ING LTDA")</f>
        <v>ING LTDA</v>
      </c>
    </row>
    <row r="823" spans="1:1" ht="12.75">
      <c r="A823" s="3" t="str">
        <f ca="1">IFERROR(__xludf.DUMMYFUNCTION("""COMPUTED_VALUE"""),"INGECON S.A.")</f>
        <v>INGECON S.A.</v>
      </c>
    </row>
    <row r="824" spans="1:1" ht="12.75">
      <c r="A824" s="3" t="str">
        <f ca="1">IFERROR(__xludf.DUMMYFUNCTION("""COMPUTED_VALUE"""),"INGENIERIA RH SAS")</f>
        <v>INGENIERIA RH SAS</v>
      </c>
    </row>
    <row r="825" spans="1:1" ht="12.75">
      <c r="A825" s="3" t="str">
        <f ca="1">IFERROR(__xludf.DUMMYFUNCTION("""COMPUTED_VALUE"""),"INGENIERIA Y GESTION VIAL SAS")</f>
        <v>INGENIERIA Y GESTION VIAL SAS</v>
      </c>
    </row>
    <row r="826" spans="1:1" ht="12.75">
      <c r="A826" s="3" t="str">
        <f ca="1">IFERROR(__xludf.DUMMYFUNCTION("""COMPUTED_VALUE"""),"INGENIERIA Y PROYECTOS ARCA S.A.S.")</f>
        <v>INGENIERIA Y PROYECTOS ARCA S.A.S.</v>
      </c>
    </row>
    <row r="827" spans="1:1" ht="12.75">
      <c r="A827" s="3" t="str">
        <f ca="1">IFERROR(__xludf.DUMMYFUNCTION("""COMPUTED_VALUE"""),"INGENIERIA Y SERVICIO ESPECIALIZADO DE COMÚnicaCIONES S.A. ISEC S.A.")</f>
        <v>INGENIERIA Y SERVICIO ESPECIALIZADO DE COMÚnicaCIONES S.A. ISEC S.A.</v>
      </c>
    </row>
    <row r="828" spans="1:1" ht="12.75">
      <c r="A828" s="3" t="str">
        <f ca="1">IFERROR(__xludf.DUMMYFUNCTION("""COMPUTED_VALUE"""),"INGENIEROS CIVILES Y SANITARIOS ASOCIADOS SAS INC SAS")</f>
        <v>INGENIEROS CIVILES Y SANITARIOS ASOCIADOS SAS INC SAS</v>
      </c>
    </row>
    <row r="829" spans="1:1" ht="12.75">
      <c r="A829" s="3" t="str">
        <f ca="1">IFERROR(__xludf.DUMMYFUNCTION("""COMPUTED_VALUE"""),"INGENIO COLOMBIANO INGCO SAS")</f>
        <v>INGENIO COLOMBIANO INGCO SAS</v>
      </c>
    </row>
    <row r="830" spans="1:1" ht="12.75">
      <c r="A830" s="3" t="str">
        <f ca="1">IFERROR(__xludf.DUMMYFUNCTION("""COMPUTED_VALUE"""),"INGETEC SAS")</f>
        <v>INGETEC SAS</v>
      </c>
    </row>
    <row r="831" spans="1:1" ht="12.75">
      <c r="A831" s="3" t="str">
        <f ca="1">IFERROR(__xludf.DUMMYFUNCTION("""COMPUTED_VALUE"""),"INGETECHO Y CONSTRUCCIONES SAS /
INGEDUCTOS INGENIERIA ESPECIALIZADA SAS")</f>
        <v>INGETECHO Y CONSTRUCCIONES SAS /
INGEDUCTOS INGENIERIA ESPECIALIZADA SAS</v>
      </c>
    </row>
    <row r="832" spans="1:1" ht="12.75">
      <c r="A832" s="3" t="str">
        <f ca="1">IFERROR(__xludf.DUMMYFUNCTION("""COMPUTED_VALUE"""),"INGEURBE GESTORA DE PROYECTOS SAS")</f>
        <v>INGEURBE GESTORA DE PROYECTOS SAS</v>
      </c>
    </row>
    <row r="833" spans="1:1" ht="12.75">
      <c r="A833" s="3" t="str">
        <f ca="1">IFERROR(__xludf.DUMMYFUNCTION("""COMPUTED_VALUE"""),"INGNOVACON SAS")</f>
        <v>INGNOVACON SAS</v>
      </c>
    </row>
    <row r="834" spans="1:1" ht="12.75">
      <c r="A834" s="3" t="str">
        <f ca="1">IFERROR(__xludf.DUMMYFUNCTION("""COMPUTED_VALUE"""),"INGRAM MICRO SAS")</f>
        <v>INGRAM MICRO SAS</v>
      </c>
    </row>
    <row r="835" spans="1:1" ht="12.75">
      <c r="A835" s="3" t="str">
        <f ca="1">IFERROR(__xludf.DUMMYFUNCTION("""COMPUTED_VALUE"""),"INMOV S.A.S.")</f>
        <v>INMOV S.A.S.</v>
      </c>
    </row>
    <row r="836" spans="1:1" ht="12.75">
      <c r="A836" s="3" t="str">
        <f ca="1">IFERROR(__xludf.DUMMYFUNCTION("""COMPUTED_VALUE"""),"INNOVA TECH IT SAS")</f>
        <v>INNOVA TECH IT SAS</v>
      </c>
    </row>
    <row r="837" spans="1:1" ht="12.75">
      <c r="A837" s="3" t="str">
        <f ca="1">IFERROR(__xludf.DUMMYFUNCTION("""COMPUTED_VALUE"""),"INSPECTOR GENERAL DE TRIBUTOS, RENTAS Y CONTRIBUCIONES PARAFISCALES")</f>
        <v>INSPECTOR GENERAL DE TRIBUTOS, RENTAS Y CONTRIBUCIONES PARAFISCALES</v>
      </c>
    </row>
    <row r="838" spans="1:1" ht="12.75">
      <c r="A838" s="3" t="str">
        <f ca="1">IFERROR(__xludf.DUMMYFUNCTION("""COMPUTED_VALUE"""),"INSTITUTO CARO Y CUERVO")</f>
        <v>INSTITUTO CARO Y CUERVO</v>
      </c>
    </row>
    <row r="839" spans="1:1" ht="12.75">
      <c r="A839" s="3" t="str">
        <f ca="1">IFERROR(__xludf.DUMMYFUNCTION("""COMPUTED_VALUE"""),"INSTITUTO CARO Y CUERVO - PRINCIPAL BOGOTÁ")</f>
        <v>INSTITUTO CARO Y CUERVO - PRINCIPAL BOGOTÁ</v>
      </c>
    </row>
    <row r="840" spans="1:1" ht="12.75">
      <c r="A840" s="3" t="str">
        <f ca="1">IFERROR(__xludf.DUMMYFUNCTION("""COMPUTED_VALUE"""),"INSTITUTO CARO Y CUERVO - SEDE Chía")</f>
        <v>INSTITUTO CARO Y CUERVO - SEDE Chía</v>
      </c>
    </row>
    <row r="841" spans="1:1" ht="12.75">
      <c r="A841" s="3" t="str">
        <f ca="1">IFERROR(__xludf.DUMMYFUNCTION("""COMPUTED_VALUE"""),"INSTITUTO DE DESARROLLO URBANO")</f>
        <v>INSTITUTO DE DESARROLLO URBANO</v>
      </c>
    </row>
    <row r="842" spans="1:1" ht="12.75">
      <c r="A842" s="3" t="str">
        <f ca="1">IFERROR(__xludf.DUMMYFUNCTION("""COMPUTED_VALUE"""),"INSTITUTO DE DIAGNOSTICO MEDICO S.A.")</f>
        <v>INSTITUTO DE DIAGNOSTICO MEDICO S.A.</v>
      </c>
    </row>
    <row r="843" spans="1:1" ht="12.75">
      <c r="A843" s="3" t="str">
        <f ca="1">IFERROR(__xludf.DUMMYFUNCTION("""COMPUTED_VALUE"""),"U.A.E INSTITUTO NACIONAL DE METROLOGIA INM")</f>
        <v>U.A.E INSTITUTO NACIONAL DE METROLOGIA INM</v>
      </c>
    </row>
    <row r="844" spans="1:1" ht="12.75">
      <c r="A844" s="3" t="str">
        <f ca="1">IFERROR(__xludf.DUMMYFUNCTION("""COMPUTED_VALUE"""),"INTEEGRA S.A.S")</f>
        <v>INTEEGRA S.A.S</v>
      </c>
    </row>
    <row r="845" spans="1:1" ht="12.75">
      <c r="A845" s="3" t="str">
        <f ca="1">IFERROR(__xludf.DUMMYFUNCTION("""COMPUTED_VALUE"""),"INTERRAPIDISIMO SA")</f>
        <v>INTERRAPIDISIMO SA</v>
      </c>
    </row>
    <row r="846" spans="1:1" ht="12.75">
      <c r="A846" s="3" t="str">
        <f ca="1">IFERROR(__xludf.DUMMYFUNCTION("""COMPUTED_VALUE"""),"INTRAMAR SHIPPING SAS")</f>
        <v>INTRAMAR SHIPPING SAS</v>
      </c>
    </row>
    <row r="847" spans="1:1" ht="12.75">
      <c r="A847" s="3" t="str">
        <f ca="1">IFERROR(__xludf.DUMMYFUNCTION("""COMPUTED_VALUE"""),"INTUITO SAS")</f>
        <v>INTUITO SAS</v>
      </c>
    </row>
    <row r="848" spans="1:1" ht="12.75">
      <c r="A848" s="3" t="str">
        <f ca="1">IFERROR(__xludf.DUMMYFUNCTION("""COMPUTED_VALUE"""),"INVERJENOS SAS")</f>
        <v>INVERJENOS SAS</v>
      </c>
    </row>
    <row r="849" spans="1:1" ht="12.75">
      <c r="A849" s="3" t="str">
        <f ca="1">IFERROR(__xludf.DUMMYFUNCTION("""COMPUTED_VALUE"""),"INVERJENOS SAS")</f>
        <v>INVERJENOS SAS</v>
      </c>
    </row>
    <row r="850" spans="1:1" ht="12.75">
      <c r="A850" s="3" t="str">
        <f ca="1">IFERROR(__xludf.DUMMYFUNCTION("""COMPUTED_VALUE"""),"INVERSIONES GUERFOR")</f>
        <v>INVERSIONES GUERFOR</v>
      </c>
    </row>
    <row r="851" spans="1:1" ht="12.75">
      <c r="A851" s="3" t="str">
        <f ca="1">IFERROR(__xludf.DUMMYFUNCTION("""COMPUTED_VALUE"""),"INVERSIONES INT COLOMBIA SAS")</f>
        <v>INVERSIONES INT COLOMBIA SAS</v>
      </c>
    </row>
    <row r="852" spans="1:1" ht="12.75">
      <c r="A852" s="3" t="str">
        <f ca="1">IFERROR(__xludf.DUMMYFUNCTION("""COMPUTED_VALUE"""),"INVERSIONES LONTANO SAS")</f>
        <v>INVERSIONES LONTANO SAS</v>
      </c>
    </row>
    <row r="853" spans="1:1" ht="12.75">
      <c r="A853" s="3" t="str">
        <f ca="1">IFERROR(__xludf.DUMMYFUNCTION("""COMPUTED_VALUE"""),"INVERSIONES PENIEL SAS")</f>
        <v>INVERSIONES PENIEL SAS</v>
      </c>
    </row>
    <row r="854" spans="1:1" ht="12.75">
      <c r="A854" s="3" t="str">
        <f ca="1">IFERROR(__xludf.DUMMYFUNCTION("""COMPUTED_VALUE"""),"INVERSIONES PEVITO SAS")</f>
        <v>INVERSIONES PEVITO SAS</v>
      </c>
    </row>
    <row r="855" spans="1:1" ht="12.75">
      <c r="A855" s="3" t="str">
        <f ca="1">IFERROR(__xludf.DUMMYFUNCTION("""COMPUTED_VALUE"""),"INVERSIONES RODRIGUEZ INCOMRO S.A.S")</f>
        <v>INVERSIONES RODRIGUEZ INCOMRO S.A.S</v>
      </c>
    </row>
    <row r="856" spans="1:1" ht="12.75">
      <c r="A856" s="3" t="str">
        <f ca="1">IFERROR(__xludf.DUMMYFUNCTION("""COMPUTED_VALUE"""),"INVERSIONES Y OPERACIONES
DEL SUR S.A")</f>
        <v>INVERSIONES Y OPERACIONES
DEL SUR S.A</v>
      </c>
    </row>
    <row r="857" spans="1:1" ht="12.75">
      <c r="A857" s="3" t="str">
        <f ca="1">IFERROR(__xludf.DUMMYFUNCTION("""COMPUTED_VALUE"""),"INVIAS")</f>
        <v>INVIAS</v>
      </c>
    </row>
    <row r="858" spans="1:1" ht="12.75">
      <c r="A858" s="3" t="str">
        <f ca="1">IFERROR(__xludf.DUMMYFUNCTION("""COMPUTED_VALUE"""),"IRCC SAS")</f>
        <v>IRCC SAS</v>
      </c>
    </row>
    <row r="859" spans="1:1" ht="12.75">
      <c r="A859" s="3" t="str">
        <f ca="1">IFERROR(__xludf.DUMMYFUNCTION("""COMPUTED_VALUE"""),"IRCC SAS")</f>
        <v>IRCC SAS</v>
      </c>
    </row>
    <row r="860" spans="1:1" ht="12.75">
      <c r="A860" s="3" t="str">
        <f ca="1">IFERROR(__xludf.DUMMYFUNCTION("""COMPUTED_VALUE"""),"IRCC SAS")</f>
        <v>IRCC SAS</v>
      </c>
    </row>
    <row r="861" spans="1:1" ht="12.75">
      <c r="A861" s="3" t="str">
        <f ca="1">IFERROR(__xludf.DUMMYFUNCTION("""COMPUTED_VALUE"""),"IRCC SAS - PLAZA IMPERIAL ")</f>
        <v xml:space="preserve">IRCC SAS - PLAZA IMPERIAL </v>
      </c>
    </row>
    <row r="862" spans="1:1" ht="12.75">
      <c r="A862" s="3" t="str">
        <f ca="1">IFERROR(__xludf.DUMMYFUNCTION("""COMPUTED_VALUE"""),"IRCC SAS - CALLE 192")</f>
        <v>IRCC SAS - CALLE 192</v>
      </c>
    </row>
    <row r="863" spans="1:1" ht="12.75">
      <c r="A863" s="3" t="str">
        <f ca="1">IFERROR(__xludf.DUMMYFUNCTION("""COMPUTED_VALUE"""),"IRCC SAS - CALLE 116")</f>
        <v>IRCC SAS - CALLE 116</v>
      </c>
    </row>
    <row r="864" spans="1:1" ht="12.75">
      <c r="A864" s="3" t="str">
        <f ca="1">IFERROR(__xludf.DUMMYFUNCTION("""COMPUTED_VALUE"""),"IRCC SAS - CEDRITOS")</f>
        <v>IRCC SAS - CEDRITOS</v>
      </c>
    </row>
    <row r="865" spans="1:1" ht="12.75">
      <c r="A865" s="3" t="str">
        <f ca="1">IFERROR(__xludf.DUMMYFUNCTION("""COMPUTED_VALUE"""),"IRCC SAS - AEROPUERTO")</f>
        <v>IRCC SAS - AEROPUERTO</v>
      </c>
    </row>
    <row r="866" spans="1:1" ht="12.75">
      <c r="A866" s="3" t="str">
        <f ca="1">IFERROR(__xludf.DUMMYFUNCTION("""COMPUTED_VALUE"""),"INVERJENOS SAS")</f>
        <v>INVERJENOS SAS</v>
      </c>
    </row>
    <row r="867" spans="1:1" ht="12.75">
      <c r="A867" s="3" t="str">
        <f ca="1">IFERROR(__xludf.DUMMYFUNCTION("""COMPUTED_VALUE"""),"IRCC SAS - AMERICAS")</f>
        <v>IRCC SAS - AMERICAS</v>
      </c>
    </row>
    <row r="868" spans="1:1" ht="12.75">
      <c r="A868" s="3" t="str">
        <f ca="1">IFERROR(__xludf.DUMMYFUNCTION("""COMPUTED_VALUE"""),"IRCC SAS - CAFAM FLORESTA")</f>
        <v>IRCC SAS - CAFAM FLORESTA</v>
      </c>
    </row>
    <row r="869" spans="1:1" ht="12.75">
      <c r="A869" s="3" t="str">
        <f ca="1">IFERROR(__xludf.DUMMYFUNCTION("""COMPUTED_VALUE"""),"IRCC SAS - CALIMA")</f>
        <v>IRCC SAS - CALIMA</v>
      </c>
    </row>
    <row r="870" spans="1:1" ht="12.75">
      <c r="A870" s="3" t="str">
        <f ca="1">IFERROR(__xludf.DUMMYFUNCTION("""COMPUTED_VALUE"""),"IRCC SAS - CALLE 90")</f>
        <v>IRCC SAS - CALLE 90</v>
      </c>
    </row>
    <row r="871" spans="1:1" ht="12.75">
      <c r="A871" s="3" t="str">
        <f ca="1">IFERROR(__xludf.DUMMYFUNCTION("""COMPUTED_VALUE"""),"IRCC SAS - CAN")</f>
        <v>IRCC SAS - CAN</v>
      </c>
    </row>
    <row r="872" spans="1:1" ht="12.75">
      <c r="A872" s="3" t="str">
        <f ca="1">IFERROR(__xludf.DUMMYFUNCTION("""COMPUTED_VALUE"""),"IRCC SAS - CAPITAL CENTER")</f>
        <v>IRCC SAS - CAPITAL CENTER</v>
      </c>
    </row>
    <row r="873" spans="1:1" ht="12.75">
      <c r="A873" s="3" t="str">
        <f ca="1">IFERROR(__xludf.DUMMYFUNCTION("""COMPUTED_VALUE"""),"IRCC SAS - CAPITAL TOWER")</f>
        <v>IRCC SAS - CAPITAL TOWER</v>
      </c>
    </row>
    <row r="874" spans="1:1" ht="12.75">
      <c r="A874" s="3" t="str">
        <f ca="1">IFERROR(__xludf.DUMMYFUNCTION("""COMPUTED_VALUE"""),"IPSOS NAPOLEON FRANCO &amp; CIA S A S")</f>
        <v>IPSOS NAPOLEON FRANCO &amp; CIA S A S</v>
      </c>
    </row>
    <row r="875" spans="1:1" ht="12.75">
      <c r="A875" s="3" t="str">
        <f ca="1">IFERROR(__xludf.DUMMYFUNCTION("""COMPUTED_VALUE"""),"IRCC SAS - CAPITAL TOWER.")</f>
        <v>IRCC SAS - CAPITAL TOWER.</v>
      </c>
    </row>
    <row r="876" spans="1:1" ht="12.75">
      <c r="A876" s="3" t="str">
        <f ca="1">IFERROR(__xludf.DUMMYFUNCTION("""COMPUTED_VALUE"""),"IRCC SAS - CONECTA 26")</f>
        <v>IRCC SAS - CONECTA 26</v>
      </c>
    </row>
    <row r="877" spans="1:1" ht="12.75">
      <c r="A877" s="3" t="str">
        <f ca="1">IFERROR(__xludf.DUMMYFUNCTION("""COMPUTED_VALUE"""),"IRCC SAS - GALERIAS")</f>
        <v>IRCC SAS - GALERIAS</v>
      </c>
    </row>
    <row r="878" spans="1:1" ht="12.75">
      <c r="A878" s="3" t="str">
        <f ca="1">IFERROR(__xludf.DUMMYFUNCTION("""COMPUTED_VALUE"""),"IRCC SAS - GRAN ESTACION")</f>
        <v>IRCC SAS - GRAN ESTACION</v>
      </c>
    </row>
    <row r="879" spans="1:1" ht="12.75">
      <c r="A879" s="3" t="str">
        <f ca="1">IFERROR(__xludf.DUMMYFUNCTION("""COMPUTED_VALUE"""),"IRCC SAS - JUMBO 170")</f>
        <v>IRCC SAS - JUMBO 170</v>
      </c>
    </row>
    <row r="880" spans="1:1" ht="12.75">
      <c r="A880" s="3" t="str">
        <f ca="1">IFERROR(__xludf.DUMMYFUNCTION("""COMPUTED_VALUE"""),"IRCC SAS - KENNEDY")</f>
        <v>IRCC SAS - KENNEDY</v>
      </c>
    </row>
    <row r="881" spans="1:1" ht="12.75">
      <c r="A881" s="3" t="str">
        <f ca="1">IFERROR(__xludf.DUMMYFUNCTION("""COMPUTED_VALUE"""),"IRCC SAS - LAGO")</f>
        <v>IRCC SAS - LAGO</v>
      </c>
    </row>
    <row r="882" spans="1:1" ht="12.75">
      <c r="A882" s="3" t="str">
        <f ca="1">IFERROR(__xludf.DUMMYFUNCTION("""COMPUTED_VALUE"""),"IRCC SAS - PARWAY")</f>
        <v>IRCC SAS - PARWAY</v>
      </c>
    </row>
    <row r="883" spans="1:1" ht="12.75">
      <c r="A883" s="3" t="str">
        <f ca="1">IFERROR(__xludf.DUMMYFUNCTION("""COMPUTED_VALUE"""),"IRCC SAS - PLANTA")</f>
        <v>IRCC SAS - PLANTA</v>
      </c>
    </row>
    <row r="884" spans="1:1" ht="12.75">
      <c r="A884" s="3" t="str">
        <f ca="1">IFERROR(__xludf.DUMMYFUNCTION("""COMPUTED_VALUE"""),"IRCC SAS - PLAZA 127")</f>
        <v>IRCC SAS - PLAZA 127</v>
      </c>
    </row>
    <row r="885" spans="1:1" ht="12.75">
      <c r="A885" s="3" t="str">
        <f ca="1">IFERROR(__xludf.DUMMYFUNCTION("""COMPUTED_VALUE"""),"IRCC SAS - RESTREPO")</f>
        <v>IRCC SAS - RESTREPO</v>
      </c>
    </row>
    <row r="886" spans="1:1" ht="12.75">
      <c r="A886" s="3" t="str">
        <f ca="1">IFERROR(__xludf.DUMMYFUNCTION("""COMPUTED_VALUE"""),"IRCC SAS - SALITRE")</f>
        <v>IRCC SAS - SALITRE</v>
      </c>
    </row>
    <row r="887" spans="1:1" ht="12.75">
      <c r="A887" s="3" t="str">
        <f ca="1">IFERROR(__xludf.DUMMYFUNCTION("""COMPUTED_VALUE"""),"IRCC SAS - SAN RAFAEL")</f>
        <v>IRCC SAS - SAN RAFAEL</v>
      </c>
    </row>
    <row r="888" spans="1:1" ht="12.75">
      <c r="A888" s="3" t="str">
        <f ca="1">IFERROR(__xludf.DUMMYFUNCTION("""COMPUTED_VALUE"""),"IRCC SAS - SANTA ANA")</f>
        <v>IRCC SAS - SANTA ANA</v>
      </c>
    </row>
    <row r="889" spans="1:1" ht="12.75">
      <c r="A889" s="3" t="str">
        <f ca="1">IFERROR(__xludf.DUMMYFUNCTION("""COMPUTED_VALUE"""),"IRCC SAS - VIVA FONTIBON")</f>
        <v>IRCC SAS - VIVA FONTIBON</v>
      </c>
    </row>
    <row r="890" spans="1:1" ht="12.75">
      <c r="A890" s="3" t="str">
        <f ca="1">IFERROR(__xludf.DUMMYFUNCTION("""COMPUTED_VALUE"""),"IRON MOUNTAIN COLOMBIA")</f>
        <v>IRON MOUNTAIN COLOMBIA</v>
      </c>
    </row>
    <row r="891" spans="1:1" ht="12.75">
      <c r="A891" s="3" t="str">
        <f ca="1">IFERROR(__xludf.DUMMYFUNCTION("""COMPUTED_VALUE"""),"IRON MOUNTAIN SERVICES S.A.S")</f>
        <v>IRON MOUNTAIN SERVICES S.A.S</v>
      </c>
    </row>
    <row r="892" spans="1:1" ht="12.75">
      <c r="A892" s="3" t="str">
        <f ca="1">IFERROR(__xludf.DUMMYFUNCTION("""COMPUTED_VALUE"""),"ISEGORÍA SAS")</f>
        <v>ISEGORÍA SAS</v>
      </c>
    </row>
    <row r="893" spans="1:1" ht="12.75">
      <c r="A893" s="3" t="str">
        <f ca="1">IFERROR(__xludf.DUMMYFUNCTION("""COMPUTED_VALUE"""),"JAHV MCGREGOR S.A.S")</f>
        <v>JAHV MCGREGOR S.A.S</v>
      </c>
    </row>
    <row r="894" spans="1:1" ht="12.75">
      <c r="A894" s="3" t="str">
        <f ca="1">IFERROR(__xludf.DUMMYFUNCTION("""COMPUTED_VALUE"""),"JLX PROYECTOS SAS")</f>
        <v>JLX PROYECTOS SAS</v>
      </c>
    </row>
    <row r="895" spans="1:1" ht="12.75">
      <c r="A895" s="3" t="str">
        <f ca="1">IFERROR(__xludf.DUMMYFUNCTION("""COMPUTED_VALUE"""),"JMS INGENIERIA S.A.S")</f>
        <v>JMS INGENIERIA S.A.S</v>
      </c>
    </row>
    <row r="896" spans="1:1" ht="12.75">
      <c r="A896" s="3" t="str">
        <f ca="1">IFERROR(__xludf.DUMMYFUNCTION("""COMPUTED_VALUE"""),"JMS INGENIERIA S.A.S")</f>
        <v>JMS INGENIERIA S.A.S</v>
      </c>
    </row>
    <row r="897" spans="1:1" ht="12.75">
      <c r="A897" s="3" t="str">
        <f ca="1">IFERROR(__xludf.DUMMYFUNCTION("""COMPUTED_VALUE"""),"JMV CONSTRUKTORA SAS")</f>
        <v>JMV CONSTRUKTORA SAS</v>
      </c>
    </row>
    <row r="898" spans="1:1" ht="12.75">
      <c r="A898" s="3" t="str">
        <f ca="1">IFERROR(__xludf.DUMMYFUNCTION("""COMPUTED_VALUE"""),"JONES LANG LASALLE LTDA")</f>
        <v>JONES LANG LASALLE LTDA</v>
      </c>
    </row>
    <row r="899" spans="1:1" ht="12.75">
      <c r="A899" s="3" t="str">
        <f ca="1">IFERROR(__xludf.DUMMYFUNCTION("""COMPUTED_VALUE"""),"JORGE PIDDO SUCURSAL COLOMBIA")</f>
        <v>JORGE PIDDO SUCURSAL COLOMBIA</v>
      </c>
    </row>
    <row r="900" spans="1:1" ht="12.75">
      <c r="A900" s="3" t="str">
        <f ca="1">IFERROR(__xludf.DUMMYFUNCTION("""COMPUTED_VALUE"""),"JOYCO CONSULTORES SAS")</f>
        <v>JOYCO CONSULTORES SAS</v>
      </c>
    </row>
    <row r="901" spans="1:1" ht="12.75">
      <c r="A901" s="3" t="str">
        <f ca="1">IFERROR(__xludf.DUMMYFUNCTION("""COMPUTED_VALUE"""),"JUAN CARLOS LEDESMA")</f>
        <v>JUAN CARLOS LEDESMA</v>
      </c>
    </row>
    <row r="902" spans="1:1" ht="12.75">
      <c r="A902" s="3" t="str">
        <f ca="1">IFERROR(__xludf.DUMMYFUNCTION("""COMPUTED_VALUE"""),"JULIO FLORES")</f>
        <v>JULIO FLORES</v>
      </c>
    </row>
    <row r="903" spans="1:1" ht="12.75">
      <c r="A903" s="3" t="str">
        <f ca="1">IFERROR(__xludf.DUMMYFUNCTION("""COMPUTED_VALUE"""),"JÚnicaL MEDICAL SAS 
ANAVA TRANSPORT SAS 
FUMIGIR LTDA
INVERSIONES Y OPERACIONES COMERCIALES DEL SUR SA
TEMPORALES UNO A")</f>
        <v>JÚnicaL MEDICAL SAS 
ANAVA TRANSPORT SAS 
FUMIGIR LTDA
INVERSIONES Y OPERACIONES COMERCIALES DEL SUR SA
TEMPORALES UNO A</v>
      </c>
    </row>
    <row r="904" spans="1:1" ht="12.75">
      <c r="A904" s="3" t="str">
        <f ca="1">IFERROR(__xludf.DUMMYFUNCTION("""COMPUTED_VALUE"""),"KANTAR IBOPE MEDIA COLOMBIA S.A.S")</f>
        <v>KANTAR IBOPE MEDIA COLOMBIA S.A.S</v>
      </c>
    </row>
    <row r="905" spans="1:1" ht="12.75">
      <c r="A905" s="3" t="str">
        <f ca="1">IFERROR(__xludf.DUMMYFUNCTION("""COMPUTED_VALUE"""),"KOMATSU COLOMBIA SAS")</f>
        <v>KOMATSU COLOMBIA SAS</v>
      </c>
    </row>
    <row r="906" spans="1:1" ht="12.75">
      <c r="A906" s="3" t="str">
        <f ca="1">IFERROR(__xludf.DUMMYFUNCTION("""COMPUTED_VALUE"""),"KRIBA INGENIEROS LTDA")</f>
        <v>KRIBA INGENIEROS LTDA</v>
      </c>
    </row>
    <row r="907" spans="1:1" ht="12.75">
      <c r="A907" s="3" t="str">
        <f ca="1">IFERROR(__xludf.DUMMYFUNCTION("""COMPUTED_VALUE"""),"JAHV MCGREGOR S.A.S")</f>
        <v>JAHV MCGREGOR S.A.S</v>
      </c>
    </row>
    <row r="908" spans="1:1" ht="12.75">
      <c r="A908" s="3" t="str">
        <f ca="1">IFERROR(__xludf.DUMMYFUNCTION("""COMPUTED_VALUE"""),"LA CORPORACION COLOMBIANA DE INVESTIGACION AGROPECUARIA - AGROSAVIA")</f>
        <v>LA CORPORACION COLOMBIANA DE INVESTIGACION AGROPECUARIA - AGROSAVIA</v>
      </c>
    </row>
    <row r="909" spans="1:1" ht="12.75">
      <c r="A909" s="3" t="str">
        <f ca="1">IFERROR(__xludf.DUMMYFUNCTION("""COMPUTED_VALUE"""),"LA PREVISORA S A COMPAÑIA DE SEGURO")</f>
        <v>LA PREVISORA S A COMPAÑIA DE SEGURO</v>
      </c>
    </row>
    <row r="910" spans="1:1" ht="12.75">
      <c r="A910" s="3" t="str">
        <f ca="1">IFERROR(__xludf.DUMMYFUNCTION("""COMPUTED_VALUE"""),"LA PREVISORA SA. COMPAÑIA DE SEGUROS")</f>
        <v>LA PREVISORA SA. COMPAÑIA DE SEGUROS</v>
      </c>
    </row>
    <row r="911" spans="1:1" ht="12.75">
      <c r="A911" s="3" t="str">
        <f ca="1">IFERROR(__xludf.DUMMYFUNCTION("""COMPUTED_VALUE"""),"LA RECETTA SOLUCIONES GASTRONOMICAS INTEGRADAS S A S")</f>
        <v>LA RECETTA SOLUCIONES GASTRONOMICAS INTEGRADAS S A S</v>
      </c>
    </row>
    <row r="912" spans="1:1" ht="12.75">
      <c r="A912" s="3" t="str">
        <f ca="1">IFERROR(__xludf.DUMMYFUNCTION("""COMPUTED_VALUE"""),"LA RECETTA SOLUCIONES GASTRONOMICAS INTEGRADAS S.A.S")</f>
        <v>LA RECETTA SOLUCIONES GASTRONOMICAS INTEGRADAS S.A.S</v>
      </c>
    </row>
    <row r="913" spans="1:1" ht="12.75">
      <c r="A913" s="3" t="str">
        <f ca="1">IFERROR(__xludf.DUMMYFUNCTION("""COMPUTED_VALUE"""),"LABORATORIO UNIDSALUD S.A.S")</f>
        <v>LABORATORIO UNIDSALUD S.A.S</v>
      </c>
    </row>
    <row r="914" spans="1:1" ht="12.75">
      <c r="A914" s="3" t="str">
        <f ca="1">IFERROR(__xludf.DUMMYFUNCTION("""COMPUTED_VALUE"""),"LABORATORIOS DECNO SAS")</f>
        <v>LABORATORIOS DECNO SAS</v>
      </c>
    </row>
    <row r="915" spans="1:1" ht="12.75">
      <c r="A915" s="3" t="str">
        <f ca="1">IFERROR(__xludf.DUMMYFUNCTION("""COMPUTED_VALUE"""),"LABORATORIOS NUTRIPHARMA SAS")</f>
        <v>LABORATORIOS NUTRIPHARMA SAS</v>
      </c>
    </row>
    <row r="916" spans="1:1" ht="12.75">
      <c r="A916" s="3" t="str">
        <f ca="1">IFERROR(__xludf.DUMMYFUNCTION("""COMPUTED_VALUE"""),"LATIN FOOD SOLUTIONS SAS")</f>
        <v>LATIN FOOD SOLUTIONS SAS</v>
      </c>
    </row>
    <row r="917" spans="1:1" ht="12.75">
      <c r="A917" s="3" t="str">
        <f ca="1">IFERROR(__xludf.DUMMYFUNCTION("""COMPUTED_VALUE"""),"LATIR EXPERIENCES S.A.S")</f>
        <v>LATIR EXPERIENCES S.A.S</v>
      </c>
    </row>
    <row r="918" spans="1:1" ht="12.75">
      <c r="A918" s="3" t="str">
        <f ca="1">IFERROR(__xludf.DUMMYFUNCTION("""COMPUTED_VALUE"""),"LAVANSER SAS")</f>
        <v>LAVANSER SAS</v>
      </c>
    </row>
    <row r="919" spans="1:1" ht="12.75">
      <c r="A919" s="3" t="str">
        <f ca="1">IFERROR(__xludf.DUMMYFUNCTION("""COMPUTED_VALUE"""),"LAVANSER SAS")</f>
        <v>LAVANSER SAS</v>
      </c>
    </row>
    <row r="920" spans="1:1" ht="12.75">
      <c r="A920" s="3" t="str">
        <f ca="1">IFERROR(__xludf.DUMMYFUNCTION("""COMPUTED_VALUE"""),"LAVANSER SAS")</f>
        <v>LAVANSER SAS</v>
      </c>
    </row>
    <row r="921" spans="1:1" ht="12.75">
      <c r="A921" s="3" t="str">
        <f ca="1">IFERROR(__xludf.DUMMYFUNCTION("""COMPUTED_VALUE"""),"LA CLAVE EMPRESARIAL SAS")</f>
        <v>LA CLAVE EMPRESARIAL SAS</v>
      </c>
    </row>
    <row r="922" spans="1:1" ht="12.75">
      <c r="A922" s="3" t="str">
        <f ca="1">IFERROR(__xludf.DUMMYFUNCTION("""COMPUTED_VALUE"""),"LAVANSER SAS")</f>
        <v>LAVANSER SAS</v>
      </c>
    </row>
    <row r="923" spans="1:1" ht="12.75">
      <c r="A923" s="3" t="str">
        <f ca="1">IFERROR(__xludf.DUMMYFUNCTION("""COMPUTED_VALUE"""),"LAVANSER SAS- SEDE TOBERIN (ADMINISTRATIVA)")</f>
        <v>LAVANSER SAS- SEDE TOBERIN (ADMINISTRATIVA)</v>
      </c>
    </row>
    <row r="924" spans="1:1" ht="12.75">
      <c r="A924" s="3" t="str">
        <f ca="1">IFERROR(__xludf.DUMMYFUNCTION("""COMPUTED_VALUE"""),"LIMPIEZA INSTITUCIONAL LASU SAS")</f>
        <v>LIMPIEZA INSTITUCIONAL LASU SAS</v>
      </c>
    </row>
    <row r="925" spans="1:1" ht="12.75">
      <c r="A925" s="3" t="str">
        <f ca="1">IFERROR(__xludf.DUMMYFUNCTION("""COMPUTED_VALUE"""),"LINKTIC SAS")</f>
        <v>LINKTIC SAS</v>
      </c>
    </row>
    <row r="926" spans="1:1" ht="12.75">
      <c r="A926" s="3" t="str">
        <f ca="1">IFERROR(__xludf.DUMMYFUNCTION("""COMPUTED_VALUE"""),"LULO BANK S.A")</f>
        <v>LULO BANK S.A</v>
      </c>
    </row>
    <row r="927" spans="1:1" ht="12.75">
      <c r="A927" s="3" t="str">
        <f ca="1">IFERROR(__xludf.DUMMYFUNCTION("""COMPUTED_VALUE"""),"MACRODISTRINUIDORA WILMAR S A S")</f>
        <v>MACRODISTRINUIDORA WILMAR S A S</v>
      </c>
    </row>
    <row r="928" spans="1:1" ht="12.75">
      <c r="A928" s="3" t="str">
        <f ca="1">IFERROR(__xludf.DUMMYFUNCTION("""COMPUTED_VALUE"""),"MAKRO SUPERMAYORISTA SAS")</f>
        <v>MAKRO SUPERMAYORISTA SAS</v>
      </c>
    </row>
    <row r="929" spans="1:1" ht="12.75">
      <c r="A929" s="3" t="str">
        <f ca="1">IFERROR(__xludf.DUMMYFUNCTION("""COMPUTED_VALUE"""),"MAKRO SUPERMAYORISTA SAS - Cajicá")</f>
        <v>MAKRO SUPERMAYORISTA SAS - Cajicá</v>
      </c>
    </row>
    <row r="930" spans="1:1" ht="12.75">
      <c r="A930" s="3" t="str">
        <f ca="1">IFERROR(__xludf.DUMMYFUNCTION("""COMPUTED_VALUE"""),"LANTANIA AGUAS S.L.U SUCURSAL COLOMBIA3,")</f>
        <v>LANTANIA AGUAS S.L.U SUCURSAL COLOMBIA3,</v>
      </c>
    </row>
    <row r="931" spans="1:1" ht="12.75">
      <c r="A931" s="3" t="str">
        <f ca="1">IFERROR(__xludf.DUMMYFUNCTION("""COMPUTED_VALUE"""),"MAKRO SUPERMAYORISTA SAS AV. BOYACA")</f>
        <v>MAKRO SUPERMAYORISTA SAS AV. BOYACA</v>
      </c>
    </row>
    <row r="932" spans="1:1" ht="12.75">
      <c r="A932" s="3" t="str">
        <f ca="1">IFERROR(__xludf.DUMMYFUNCTION("""COMPUTED_VALUE"""),"MAKRO SUPERMAYORISTA SAS AV. BOYACA")</f>
        <v>MAKRO SUPERMAYORISTA SAS AV. BOYACA</v>
      </c>
    </row>
    <row r="933" spans="1:1" ht="12.75">
      <c r="A933" s="3" t="str">
        <f ca="1">IFERROR(__xludf.DUMMYFUNCTION("""COMPUTED_VALUE"""),"LAVANSER SAS")</f>
        <v>LAVANSER SAS</v>
      </c>
    </row>
    <row r="934" spans="1:1" ht="12.75">
      <c r="A934" s="3" t="str">
        <f ca="1">IFERROR(__xludf.DUMMYFUNCTION("""COMPUTED_VALUE"""),"LAVANSER SAS")</f>
        <v>LAVANSER SAS</v>
      </c>
    </row>
    <row r="935" spans="1:1" ht="12.75">
      <c r="A935" s="3" t="str">
        <f ca="1">IFERROR(__xludf.DUMMYFUNCTION("""COMPUTED_VALUE"""),"LAVANSER SAS")</f>
        <v>LAVANSER SAS</v>
      </c>
    </row>
    <row r="936" spans="1:1" ht="12.75">
      <c r="A936" s="3" t="str">
        <f ca="1">IFERROR(__xludf.DUMMYFUNCTION("""COMPUTED_VALUE"""),"LAVANSER SAS")</f>
        <v>LAVANSER SAS</v>
      </c>
    </row>
    <row r="937" spans="1:1" ht="12.75">
      <c r="A937" s="3" t="str">
        <f ca="1">IFERROR(__xludf.DUMMYFUNCTION("""COMPUTED_VALUE"""),"LAVANSER SAS")</f>
        <v>LAVANSER SAS</v>
      </c>
    </row>
    <row r="938" spans="1:1" ht="12.75">
      <c r="A938" s="3" t="str">
        <f ca="1">IFERROR(__xludf.DUMMYFUNCTION("""COMPUTED_VALUE"""),"LAVANSER SAS")</f>
        <v>LAVANSER SAS</v>
      </c>
    </row>
    <row r="939" spans="1:1" ht="12.75">
      <c r="A939" s="3" t="str">
        <f ca="1">IFERROR(__xludf.DUMMYFUNCTION("""COMPUTED_VALUE"""),"LAVANSER SAS")</f>
        <v>LAVANSER SAS</v>
      </c>
    </row>
    <row r="940" spans="1:1" ht="12.75">
      <c r="A940" s="3" t="str">
        <f ca="1">IFERROR(__xludf.DUMMYFUNCTION("""COMPUTED_VALUE"""),"LAVANSER SAS")</f>
        <v>LAVANSER SAS</v>
      </c>
    </row>
    <row r="941" spans="1:1" ht="12.75">
      <c r="A941" s="3" t="str">
        <f ca="1">IFERROR(__xludf.DUMMYFUNCTION("""COMPUTED_VALUE"""),"MAKRO SUPERMAYORISTA SAS PUENTE ARANDA-AMERICAS")</f>
        <v>MAKRO SUPERMAYORISTA SAS PUENTE ARANDA-AMERICAS</v>
      </c>
    </row>
    <row r="942" spans="1:1" ht="12.75">
      <c r="A942" s="3" t="str">
        <f ca="1">IFERROR(__xludf.DUMMYFUNCTION("""COMPUTED_VALUE"""),"MAKRO SUPERMAYORISTA SAS PUENTE ARANDA-AMERICAS")</f>
        <v>MAKRO SUPERMAYORISTA SAS PUENTE ARANDA-AMERICAS</v>
      </c>
    </row>
    <row r="943" spans="1:1" ht="12.75">
      <c r="A943" s="3" t="str">
        <f ca="1">IFERROR(__xludf.DUMMYFUNCTION("""COMPUTED_VALUE"""),"MAKRO SUPERMAYORISTA SAS PUENTE ARANDA-AMERICAS")</f>
        <v>MAKRO SUPERMAYORISTA SAS PUENTE ARANDA-AMERICAS</v>
      </c>
    </row>
    <row r="944" spans="1:1" ht="12.75">
      <c r="A944" s="3" t="str">
        <f ca="1">IFERROR(__xludf.DUMMYFUNCTION("""COMPUTED_VALUE"""),"MAKRO SUPERMAYORISTA SAS- Cumara")</f>
        <v>MAKRO SUPERMAYORISTA SAS- Cumara</v>
      </c>
    </row>
    <row r="945" spans="1:1" ht="12.75">
      <c r="A945" s="3" t="str">
        <f ca="1">IFERROR(__xludf.DUMMYFUNCTION("""COMPUTED_VALUE"""),"MAPFRE REASEGUROS S.A.")</f>
        <v>MAPFRE REASEGUROS S.A.</v>
      </c>
    </row>
    <row r="946" spans="1:1" ht="12.75">
      <c r="A946" s="3" t="str">
        <f ca="1">IFERROR(__xludf.DUMMYFUNCTION("""COMPUTED_VALUE"""),"MAQUINARIA E INFRAESTRUCTURA SAS")</f>
        <v>MAQUINARIA E INFRAESTRUCTURA SAS</v>
      </c>
    </row>
    <row r="947" spans="1:1" ht="12.75">
      <c r="A947" s="3" t="str">
        <f ca="1">IFERROR(__xludf.DUMMYFUNCTION("""COMPUTED_VALUE"""),"MAQUINAS Y GRAMAS LTDA")</f>
        <v>MAQUINAS Y GRAMAS LTDA</v>
      </c>
    </row>
    <row r="948" spans="1:1" ht="12.75">
      <c r="A948" s="3" t="str">
        <f ca="1">IFERROR(__xludf.DUMMYFUNCTION("""COMPUTED_VALUE"""),"MARKET TEAM S.A.")</f>
        <v>MARKET TEAM S.A.</v>
      </c>
    </row>
    <row r="949" spans="1:1" ht="12.75">
      <c r="A949" s="3" t="str">
        <f ca="1">IFERROR(__xludf.DUMMYFUNCTION("""COMPUTED_VALUE"""),"MARZO TRIANGULAR SAS")</f>
        <v>MARZO TRIANGULAR SAS</v>
      </c>
    </row>
    <row r="950" spans="1:1" ht="12.75">
      <c r="A950" s="3" t="str">
        <f ca="1">IFERROR(__xludf.DUMMYFUNCTION("""COMPUTED_VALUE"""),"Marzo triangular SAS")</f>
        <v>Marzo triangular SAS</v>
      </c>
    </row>
    <row r="951" spans="1:1" ht="12.75">
      <c r="A951" s="3" t="str">
        <f ca="1">IFERROR(__xludf.DUMMYFUNCTION("""COMPUTED_VALUE"""),"MATRAKA SAS")</f>
        <v>MATRAKA SAS</v>
      </c>
    </row>
    <row r="952" spans="1:1" ht="12.75">
      <c r="A952" s="3" t="str">
        <f ca="1">IFERROR(__xludf.DUMMYFUNCTION("""COMPUTED_VALUE"""),"MAXIALIMENTOS LTDA")</f>
        <v>MAXIALIMENTOS LTDA</v>
      </c>
    </row>
    <row r="953" spans="1:1" ht="12.75">
      <c r="A953" s="3" t="str">
        <f ca="1">IFERROR(__xludf.DUMMYFUNCTION("""COMPUTED_VALUE"""),"MC KEAN CONSULTORES SAS
CONSORCIO CALIDAD FOMAG 002-2018
CONSORCIO INTERBogotá001-2017
JAHV MCGREGOR SAS")</f>
        <v>MC KEAN CONSULTORES SAS
CONSORCIO CALIDAD FOMAG 002-2018
CONSORCIO INTERBogotá001-2017
JAHV MCGREGOR SAS</v>
      </c>
    </row>
    <row r="954" spans="1:1" ht="12.75">
      <c r="A954" s="3" t="str">
        <f ca="1">IFERROR(__xludf.DUMMYFUNCTION("""COMPUTED_VALUE"""),"MEALS MERCADEO DE ALIMENTOS DE COLOMBIA S A S")</f>
        <v>MEALS MERCADEO DE ALIMENTOS DE COLOMBIA S A S</v>
      </c>
    </row>
    <row r="955" spans="1:1" ht="12.75">
      <c r="A955" s="3" t="str">
        <f ca="1">IFERROR(__xludf.DUMMYFUNCTION("""COMPUTED_VALUE"""),"MERCADOLIBRE COLOMBIA LTDA")</f>
        <v>MERCADOLIBRE COLOMBIA LTDA</v>
      </c>
    </row>
    <row r="956" spans="1:1" ht="12.75">
      <c r="A956" s="3" t="str">
        <f ca="1">IFERROR(__xludf.DUMMYFUNCTION("""COMPUTED_VALUE"""),"MERIDIAN CONSULTING LTDA")</f>
        <v>MERIDIAN CONSULTING LTDA</v>
      </c>
    </row>
    <row r="957" spans="1:1" ht="12.75">
      <c r="A957" s="3" t="str">
        <f ca="1">IFERROR(__xludf.DUMMYFUNCTION("""COMPUTED_VALUE"""),"MAKRO SUPERMAYORISTA SAS VILLA DEL RIO")</f>
        <v>MAKRO SUPERMAYORISTA SAS VILLA DEL RIO</v>
      </c>
    </row>
    <row r="958" spans="1:1" ht="12.75">
      <c r="A958" s="3" t="str">
        <f ca="1">IFERROR(__xludf.DUMMYFUNCTION("""COMPUTED_VALUE"""),"MAKRO SUPERMAYORISTA SAS VILLA DEL RIO")</f>
        <v>MAKRO SUPERMAYORISTA SAS VILLA DEL RIO</v>
      </c>
    </row>
    <row r="959" spans="1:1" ht="12.75">
      <c r="A959" s="3" t="str">
        <f ca="1">IFERROR(__xludf.DUMMYFUNCTION("""COMPUTED_VALUE"""),"MERSEN COLOMBIA S.A.")</f>
        <v>MERSEN COLOMBIA S.A.</v>
      </c>
    </row>
    <row r="960" spans="1:1" ht="12.75">
      <c r="A960" s="3" t="str">
        <f ca="1">IFERROR(__xludf.DUMMYFUNCTION("""COMPUTED_VALUE"""),"METAL NODUL SAS")</f>
        <v>METAL NODUL SAS</v>
      </c>
    </row>
    <row r="961" spans="1:1" ht="12.75">
      <c r="A961" s="3" t="str">
        <f ca="1">IFERROR(__xludf.DUMMYFUNCTION("""COMPUTED_VALUE"""),"METLIFE COLOMBIA SEGUROS DE VIDA S.A.")</f>
        <v>METLIFE COLOMBIA SEGUROS DE VIDA S.A.</v>
      </c>
    </row>
    <row r="962" spans="1:1" ht="12.75">
      <c r="A962" s="3" t="str">
        <f ca="1">IFERROR(__xludf.DUMMYFUNCTION("""COMPUTED_VALUE"""),"MEYAN S.A")</f>
        <v>MEYAN S.A</v>
      </c>
    </row>
    <row r="963" spans="1:1" ht="12.75">
      <c r="A963" s="3" t="str">
        <f ca="1">IFERROR(__xludf.DUMMYFUNCTION("""COMPUTED_VALUE"""),"MG CONSULTORES S.A.S")</f>
        <v>MG CONSULTORES S.A.S</v>
      </c>
    </row>
    <row r="964" spans="1:1" ht="12.75">
      <c r="A964" s="3" t="str">
        <f ca="1">IFERROR(__xludf.DUMMYFUNCTION("""COMPUTED_VALUE"""),"MINISTERIO DE AMBIENTE Y DESARROLLO SOSTENIBLE")</f>
        <v>MINISTERIO DE AMBIENTE Y DESARROLLO SOSTENIBLE</v>
      </c>
    </row>
    <row r="965" spans="1:1" ht="12.75">
      <c r="A965" s="3" t="str">
        <f ca="1">IFERROR(__xludf.DUMMYFUNCTION("""COMPUTED_VALUE"""),"MINISTERIO DE MINAS Y ENERGIA")</f>
        <v>MINISTERIO DE MINAS Y ENERGIA</v>
      </c>
    </row>
    <row r="966" spans="1:1" ht="12.75">
      <c r="A966" s="3" t="str">
        <f ca="1">IFERROR(__xludf.DUMMYFUNCTION("""COMPUTED_VALUE"""),"MINISTERIO DE VIVIENDA, CIUDAD Y TERRITORIO")</f>
        <v>MINISTERIO DE VIVIENDA, CIUDAD Y TERRITORIO</v>
      </c>
    </row>
    <row r="967" spans="1:1" ht="12.75">
      <c r="A967" s="3" t="str">
        <f ca="1">IFERROR(__xludf.DUMMYFUNCTION("""COMPUTED_VALUE"""),"MJPR CONSTRUCCIONES SAS")</f>
        <v>MJPR CONSTRUCCIONES SAS</v>
      </c>
    </row>
    <row r="968" spans="1:1" ht="12.75">
      <c r="A968" s="3" t="str">
        <f ca="1">IFERROR(__xludf.DUMMYFUNCTION("""COMPUTED_VALUE"""),"MJPR CONSTRUCCIONES SAS")</f>
        <v>MJPR CONSTRUCCIONES SAS</v>
      </c>
    </row>
    <row r="969" spans="1:1" ht="12.75">
      <c r="A969" s="3" t="str">
        <f ca="1">IFERROR(__xludf.DUMMYFUNCTION("""COMPUTED_VALUE"""),"MODERLINE S.A.S.")</f>
        <v>MODERLINE S.A.S.</v>
      </c>
    </row>
    <row r="970" spans="1:1" ht="12.75">
      <c r="A970" s="3" t="str">
        <f ca="1">IFERROR(__xludf.DUMMYFUNCTION("""COMPUTED_VALUE"""),"MOLDING SAS MOLDES &amp; INGENIERIA SAS")</f>
        <v>MOLDING SAS MOLDES &amp; INGENIERIA SAS</v>
      </c>
    </row>
    <row r="971" spans="1:1" ht="12.75">
      <c r="A971" s="3" t="str">
        <f ca="1">IFERROR(__xludf.DUMMYFUNCTION("""COMPUTED_VALUE"""),"MOUNTAIN FOOD S.A.S")</f>
        <v>MOUNTAIN FOOD S.A.S</v>
      </c>
    </row>
    <row r="972" spans="1:1" ht="12.75">
      <c r="A972" s="3" t="str">
        <f ca="1">IFERROR(__xludf.DUMMYFUNCTION("""COMPUTED_VALUE"""),"MOUNTAIN FOOD S.A.S")</f>
        <v>MOUNTAIN FOOD S.A.S</v>
      </c>
    </row>
    <row r="973" spans="1:1" ht="12.75">
      <c r="A973" s="3" t="str">
        <f ca="1">IFERROR(__xludf.DUMMYFUNCTION("""COMPUTED_VALUE"""),"MOUNTAIN FOOD S.A.S")</f>
        <v>MOUNTAIN FOOD S.A.S</v>
      </c>
    </row>
    <row r="974" spans="1:1" ht="12.75">
      <c r="A974" s="3" t="str">
        <f ca="1">IFERROR(__xludf.DUMMYFUNCTION("""COMPUTED_VALUE"""),"MOUNTAIN FOOD S.A.S")</f>
        <v>MOUNTAIN FOOD S.A.S</v>
      </c>
    </row>
    <row r="975" spans="1:1" ht="12.75">
      <c r="A975" s="3" t="str">
        <f ca="1">IFERROR(__xludf.DUMMYFUNCTION("""COMPUTED_VALUE"""),"Mountain Roses SAS")</f>
        <v>Mountain Roses SAS</v>
      </c>
    </row>
    <row r="976" spans="1:1" ht="12.75">
      <c r="A976" s="3" t="str">
        <f ca="1">IFERROR(__xludf.DUMMYFUNCTION("""COMPUTED_VALUE"""),"MU TEAM SAS")</f>
        <v>MU TEAM SAS</v>
      </c>
    </row>
    <row r="977" spans="1:1" ht="12.75">
      <c r="A977" s="3" t="str">
        <f ca="1">IFERROR(__xludf.DUMMYFUNCTION("""COMPUTED_VALUE"""),"MULTIENLACE SAS")</f>
        <v>MULTIENLACE SAS</v>
      </c>
    </row>
    <row r="978" spans="1:1" ht="12.75">
      <c r="A978" s="3" t="str">
        <f ca="1">IFERROR(__xludf.DUMMYFUNCTION("""COMPUTED_VALUE"""),"MÚLTIPLES TECNOLOGÍAS APLICADAS DE COLOMBIA SAS")</f>
        <v>MÚLTIPLES TECNOLOGÍAS APLICADAS DE COLOMBIA SAS</v>
      </c>
    </row>
    <row r="979" spans="1:1" ht="12.75">
      <c r="A979" s="3" t="str">
        <f ca="1">IFERROR(__xludf.DUMMYFUNCTION("""COMPUTED_VALUE"""),"MUNICIPIO DE Facatativá")</f>
        <v>MUNICIPIO DE Facatativá</v>
      </c>
    </row>
    <row r="980" spans="1:1" ht="12.75">
      <c r="A980" s="3" t="str">
        <f ca="1">IFERROR(__xludf.DUMMYFUNCTION("""COMPUTED_VALUE"""),"MUNICIPIO DE MADRID")</f>
        <v>MUNICIPIO DE MADRID</v>
      </c>
    </row>
    <row r="981" spans="1:1" ht="12.75">
      <c r="A981" s="3" t="str">
        <f ca="1">IFERROR(__xludf.DUMMYFUNCTION("""COMPUTED_VALUE"""),"NALSANI SAS")</f>
        <v>NALSANI SAS</v>
      </c>
    </row>
    <row r="982" spans="1:1" ht="12.75">
      <c r="A982" s="3" t="str">
        <f ca="1">IFERROR(__xludf.DUMMYFUNCTION("""COMPUTED_VALUE"""),"NALSANI SAS.")</f>
        <v>NALSANI SAS.</v>
      </c>
    </row>
    <row r="983" spans="1:1" ht="12.75">
      <c r="A983" s="3" t="str">
        <f ca="1">IFERROR(__xludf.DUMMYFUNCTION("""COMPUTED_VALUE"""),"NALSANI SAS - MOSQUERA")</f>
        <v>NALSANI SAS - MOSQUERA</v>
      </c>
    </row>
    <row r="984" spans="1:1" ht="12.75">
      <c r="A984" s="3" t="str">
        <f ca="1">IFERROR(__xludf.DUMMYFUNCTION("""COMPUTED_VALUE"""),"NASES EST, EMPRESA DE SERVICIOS TEMPORALES SAS")</f>
        <v>NASES EST, EMPRESA DE SERVICIOS TEMPORALES SAS</v>
      </c>
    </row>
    <row r="985" spans="1:1" ht="12.75">
      <c r="A985" s="3" t="str">
        <f ca="1">IFERROR(__xludf.DUMMYFUNCTION("""COMPUTED_VALUE"""),"NETCOL INGENIERIA S.A.S BIC
INTEEGRA S.A.S. BIC
TRIANGULUM BPO SAS
LOGISTICA EMPRESARIAL DE TRANSPORTE INTEGRAL SAS")</f>
        <v>NETCOL INGENIERIA S.A.S BIC
INTEEGRA S.A.S. BIC
TRIANGULUM BPO SAS
LOGISTICA EMPRESARIAL DE TRANSPORTE INTEGRAL SAS</v>
      </c>
    </row>
    <row r="986" spans="1:1" ht="12.75">
      <c r="A986" s="3" t="str">
        <f ca="1">IFERROR(__xludf.DUMMYFUNCTION("""COMPUTED_VALUE"""),"NETCOM WIRELESS SAS")</f>
        <v>NETCOM WIRELESS SAS</v>
      </c>
    </row>
    <row r="987" spans="1:1" ht="12.75">
      <c r="A987" s="3" t="str">
        <f ca="1">IFERROR(__xludf.DUMMYFUNCTION("""COMPUTED_VALUE"""),"NIETO VERA S.A. - NIVER S.A")</f>
        <v>NIETO VERA S.A. - NIVER S.A</v>
      </c>
    </row>
    <row r="988" spans="1:1" ht="12.75">
      <c r="A988" s="3" t="str">
        <f ca="1">IFERROR(__xludf.DUMMYFUNCTION("""COMPUTED_VALUE"""),"NIÑO CAINA CONSTRUCCIONES SAS")</f>
        <v>NIÑO CAINA CONSTRUCCIONES SAS</v>
      </c>
    </row>
    <row r="989" spans="1:1" ht="12.75">
      <c r="A989" s="3" t="str">
        <f ca="1">IFERROR(__xludf.DUMMYFUNCTION("""COMPUTED_VALUE"""),"NOVAMBIENTTI SOLUCIONES AMBIENTALES S.A.S")</f>
        <v>NOVAMBIENTTI SOLUCIONES AMBIENTALES S.A.S</v>
      </c>
    </row>
    <row r="990" spans="1:1" ht="12.75">
      <c r="A990" s="3" t="str">
        <f ca="1">IFERROR(__xludf.DUMMYFUNCTION("""COMPUTED_VALUE"""),"NUEVA ERA SOLUCIONES")</f>
        <v>NUEVA ERA SOLUCIONES</v>
      </c>
    </row>
    <row r="991" spans="1:1" ht="12.75">
      <c r="A991" s="3" t="str">
        <f ca="1">IFERROR(__xludf.DUMMYFUNCTION("""COMPUTED_VALUE"""),"NUTRISER")</f>
        <v>NUTRISER</v>
      </c>
    </row>
    <row r="992" spans="1:1" ht="12.75">
      <c r="A992" s="3" t="str">
        <f ca="1">IFERROR(__xludf.DUMMYFUNCTION("""COMPUTED_VALUE"""),"O3 SMART CITIES S.A.S - B.I.C.")</f>
        <v>O3 SMART CITIES S.A.S - B.I.C.</v>
      </c>
    </row>
    <row r="993" spans="1:1" ht="12.75">
      <c r="A993" s="3" t="str">
        <f ca="1">IFERROR(__xludf.DUMMYFUNCTION("""COMPUTED_VALUE"""),"OBCIPOL SAS")</f>
        <v>OBCIPOL SAS</v>
      </c>
    </row>
    <row r="994" spans="1:1" ht="12.75">
      <c r="A994" s="3" t="str">
        <f ca="1">IFERROR(__xludf.DUMMYFUNCTION("""COMPUTED_VALUE"""),"MUR PROYECTOS SAS")</f>
        <v>MUR PROYECTOS SAS</v>
      </c>
    </row>
    <row r="995" spans="1:1" ht="12.75">
      <c r="A995" s="3" t="str">
        <f ca="1">IFERROR(__xludf.DUMMYFUNCTION("""COMPUTED_VALUE"""),"OBRASCON HUARTE LAIN SA")</f>
        <v>OBRASCON HUARTE LAIN SA</v>
      </c>
    </row>
    <row r="996" spans="1:1" ht="12.75">
      <c r="A996" s="3" t="str">
        <f ca="1">IFERROR(__xludf.DUMMYFUNCTION("""COMPUTED_VALUE"""),"OBRASCON HUARTE LAIN SA- Succursal Colombia- Transmilenio")</f>
        <v>OBRASCON HUARTE LAIN SA- Succursal Colombia- Transmilenio</v>
      </c>
    </row>
    <row r="997" spans="1:1" ht="12.75">
      <c r="A997" s="3" t="str">
        <f ca="1">IFERROR(__xludf.DUMMYFUNCTION("""COMPUTED_VALUE"""),"OBSERVER MONITORING ON LINE LTDA")</f>
        <v>OBSERVER MONITORING ON LINE LTDA</v>
      </c>
    </row>
    <row r="998" spans="1:1" ht="12.75">
      <c r="A998" s="3" t="str">
        <f ca="1">IFERROR(__xludf.DUMMYFUNCTION("""COMPUTED_VALUE"""),"OLIMPIA IT S.A.S")</f>
        <v>OLIMPIA IT S.A.S</v>
      </c>
    </row>
    <row r="999" spans="1:1" ht="12.75">
      <c r="A999" s="3" t="str">
        <f ca="1">IFERROR(__xludf.DUMMYFUNCTION("""COMPUTED_VALUE"""),"OPERADOR DISTRITAL DE TRANSPORTE S.A.S (LA ROLITA)")</f>
        <v>OPERADOR DISTRITAL DE TRANSPORTE S.A.S (LA ROLITA)</v>
      </c>
    </row>
    <row r="1000" spans="1:1" ht="12.75">
      <c r="A1000" s="3" t="str">
        <f ca="1">IFERROR(__xludf.DUMMYFUNCTION("""COMPUTED_VALUE"""),"OPERADORA DISTRITAL DE TRANSPORTE S.A.S.
(La Rolita).")</f>
        <v>OPERADORA DISTRITAL DE TRANSPORTE S.A.S.
(La Rolita).</v>
      </c>
    </row>
    <row r="1001" spans="1:1" ht="12.75">
      <c r="A1001" s="3" t="str">
        <f ca="1">IFERROR(__xludf.DUMMYFUNCTION("""COMPUTED_VALUE"""),"NIKKEN COLOMBIA LTDA")</f>
        <v>NIKKEN COLOMBIA LTDA</v>
      </c>
    </row>
    <row r="1002" spans="1:1" ht="12.75">
      <c r="A1002" s="3" t="str">
        <f ca="1">IFERROR(__xludf.DUMMYFUNCTION("""COMPUTED_VALUE"""),"OPERATIVE RESEARCH SAS")</f>
        <v>OPERATIVE RESEARCH SAS</v>
      </c>
    </row>
    <row r="1003" spans="1:1" ht="12.75">
      <c r="A1003" s="3" t="str">
        <f ca="1">IFERROR(__xludf.DUMMYFUNCTION("""COMPUTED_VALUE"""),"OPPERAR COLOMBIA SAS")</f>
        <v>OPPERAR COLOMBIA SAS</v>
      </c>
    </row>
    <row r="1004" spans="1:1" ht="12.75">
      <c r="A1004" s="3" t="str">
        <f ca="1">IFERROR(__xludf.DUMMYFUNCTION("""COMPUTED_VALUE"""),"ORCA CONSTRUCTORA COLOMBIA SAS")</f>
        <v>ORCA CONSTRUCTORA COLOMBIA SAS</v>
      </c>
    </row>
    <row r="1005" spans="1:1" ht="12.75">
      <c r="A1005" s="3" t="str">
        <f ca="1">IFERROR(__xludf.DUMMYFUNCTION("""COMPUTED_VALUE"""),"ORGANIZACION VICAN SAS 
VICTOR ARBOLEDA CORDOBA")</f>
        <v>ORGANIZACION VICAN SAS 
VICTOR ARBOLEDA CORDOBA</v>
      </c>
    </row>
    <row r="1006" spans="1:1" ht="12.75">
      <c r="A1006" s="3" t="str">
        <f ca="1">IFERROR(__xludf.DUMMYFUNCTION("""COMPUTED_VALUE"""),"ORTOPÉDICOS FUTURO COLOMBIA SAS")</f>
        <v>ORTOPÉDICOS FUTURO COLOMBIA SAS</v>
      </c>
    </row>
    <row r="1007" spans="1:1" ht="12.75">
      <c r="A1007" s="3" t="str">
        <f ca="1">IFERROR(__xludf.DUMMYFUNCTION("""COMPUTED_VALUE"""),"OUTSOURCING S.A.S")</f>
        <v>OUTSOURCING S.A.S</v>
      </c>
    </row>
    <row r="1008" spans="1:1" ht="12.75">
      <c r="A1008" s="3" t="str">
        <f ca="1">IFERROR(__xludf.DUMMYFUNCTION("""COMPUTED_VALUE"""),"OVAL CONSULTORIA GERENCIAL S.A.S.")</f>
        <v>OVAL CONSULTORIA GERENCIAL S.A.S.</v>
      </c>
    </row>
    <row r="1009" spans="1:1" ht="12.75">
      <c r="A1009" s="3" t="str">
        <f ca="1">IFERROR(__xludf.DUMMYFUNCTION("""COMPUTED_VALUE"""),"OVM INDUSTRIAL SAS")</f>
        <v>OVM INDUSTRIAL SAS</v>
      </c>
    </row>
    <row r="1010" spans="1:1" ht="12.75">
      <c r="A1010" s="3" t="str">
        <f ca="1">IFERROR(__xludf.DUMMYFUNCTION("""COMPUTED_VALUE"""),"PACTO DE PRODUCTIVIDAD - FUNDACION CORONA")</f>
        <v>PACTO DE PRODUCTIVIDAD - FUNDACION CORONA</v>
      </c>
    </row>
    <row r="1011" spans="1:1" ht="12.75">
      <c r="A1011" s="3" t="str">
        <f ca="1">IFERROR(__xludf.DUMMYFUNCTION("""COMPUTED_VALUE"""),"PARTNERS OF THE AMERICAS")</f>
        <v>PARTNERS OF THE AMERICAS</v>
      </c>
    </row>
    <row r="1012" spans="1:1" ht="12.75">
      <c r="A1012" s="3" t="str">
        <f ca="1">IFERROR(__xludf.DUMMYFUNCTION("""COMPUTED_VALUE"""),"OLIMPIA IT SAS")</f>
        <v>OLIMPIA IT SAS</v>
      </c>
    </row>
    <row r="1013" spans="1:1" ht="12.75">
      <c r="A1013" s="3" t="str">
        <f ca="1">IFERROR(__xludf.DUMMYFUNCTION("""COMPUTED_VALUE"""),"PARTNERS TELECOM COLOMBIA SAS")</f>
        <v>PARTNERS TELECOM COLOMBIA SAS</v>
      </c>
    </row>
    <row r="1014" spans="1:1" ht="12.75">
      <c r="A1014" s="3" t="str">
        <f ca="1">IFERROR(__xludf.DUMMYFUNCTION("""COMPUTED_VALUE"""),"PATRIA RODOVÍAS COLOMBIA S.A.S")</f>
        <v>PATRIA RODOVÍAS COLOMBIA S.A.S</v>
      </c>
    </row>
    <row r="1015" spans="1:1" ht="12.75">
      <c r="A1015" s="3" t="str">
        <f ca="1">IFERROR(__xludf.DUMMYFUNCTION("""COMPUTED_VALUE"""),"PDC VINOS Y LICORES SAS")</f>
        <v>PDC VINOS Y LICORES SAS</v>
      </c>
    </row>
    <row r="1016" spans="1:1" ht="12.75">
      <c r="A1016" s="3" t="str">
        <f ca="1">IFERROR(__xludf.DUMMYFUNCTION("""COMPUTED_VALUE"""),"PEAR SOLUTIONS SAS")</f>
        <v>PEAR SOLUTIONS SAS</v>
      </c>
    </row>
    <row r="1017" spans="1:1" ht="12.75">
      <c r="A1017" s="3" t="str">
        <f ca="1">IFERROR(__xludf.DUMMYFUNCTION("""COMPUTED_VALUE"""),"PERMODA LTDA")</f>
        <v>PERMODA LTDA</v>
      </c>
    </row>
    <row r="1018" spans="1:1" ht="12.75">
      <c r="A1018" s="3" t="str">
        <f ca="1">IFERROR(__xludf.DUMMYFUNCTION("""COMPUTED_VALUE"""),"PETROSEISMIC SERVICES SAS")</f>
        <v>PETROSEISMIC SERVICES SAS</v>
      </c>
    </row>
    <row r="1019" spans="1:1" ht="12.75">
      <c r="A1019" s="3" t="str">
        <f ca="1">IFERROR(__xludf.DUMMYFUNCTION("""COMPUTED_VALUE"""),"PLANETA, PROYECTOS Y OBRAS SAS")</f>
        <v>PLANETA, PROYECTOS Y OBRAS SAS</v>
      </c>
    </row>
    <row r="1020" spans="1:1" ht="12.75">
      <c r="A1020" s="3" t="str">
        <f ca="1">IFERROR(__xludf.DUMMYFUNCTION("""COMPUTED_VALUE"""),"PLANTADOR COLOMBIA S A S")</f>
        <v>PLANTADOR COLOMBIA S A S</v>
      </c>
    </row>
    <row r="1021" spans="1:1" ht="12.75">
      <c r="A1021" s="3" t="str">
        <f ca="1">IFERROR(__xludf.DUMMYFUNCTION("""COMPUTED_VALUE"""),"PM&amp;F FISHING OIL SERVICES S.A.")</f>
        <v>PM&amp;F FISHING OIL SERVICES S.A.</v>
      </c>
    </row>
    <row r="1022" spans="1:1" ht="12.75">
      <c r="A1022" s="3" t="str">
        <f ca="1">IFERROR(__xludf.DUMMYFUNCTION("""COMPUTED_VALUE"""),"POLLO FIESTA S A")</f>
        <v>POLLO FIESTA S A</v>
      </c>
    </row>
    <row r="1023" spans="1:1" ht="12.75">
      <c r="A1023" s="3" t="str">
        <f ca="1">IFERROR(__xludf.DUMMYFUNCTION("""COMPUTED_VALUE"""),"PRIME ENERGIA COLOMBIA SAS")</f>
        <v>PRIME ENERGIA COLOMBIA SAS</v>
      </c>
    </row>
    <row r="1024" spans="1:1" ht="12.75">
      <c r="A1024" s="3" t="str">
        <f ca="1">IFERROR(__xludf.DUMMYFUNCTION("""COMPUTED_VALUE"""),"PRODUCCIÓN DE EVENTO 911 S.A.S.")</f>
        <v>PRODUCCIÓN DE EVENTO 911 S.A.S.</v>
      </c>
    </row>
    <row r="1025" spans="1:1" ht="12.75">
      <c r="A1025" s="3" t="str">
        <f ca="1">IFERROR(__xludf.DUMMYFUNCTION("""COMPUTED_VALUE"""),"PRODUCCION DE EVENTOS 911 S.A.S")</f>
        <v>PRODUCCION DE EVENTOS 911 S.A.S</v>
      </c>
    </row>
    <row r="1026" spans="1:1" ht="12.75">
      <c r="A1026" s="3" t="str">
        <f ca="1">IFERROR(__xludf.DUMMYFUNCTION("""COMPUTED_VALUE"""),"PRODUCCIÓN DE EVENTOS 911 SAS")</f>
        <v>PRODUCCIÓN DE EVENTOS 911 SAS</v>
      </c>
    </row>
    <row r="1027" spans="1:1" ht="12.75">
      <c r="A1027" s="3" t="str">
        <f ca="1">IFERROR(__xludf.DUMMYFUNCTION("""COMPUTED_VALUE"""),"PRODUCTOS RAMO SAS")</f>
        <v>PRODUCTOS RAMO SAS</v>
      </c>
    </row>
    <row r="1028" spans="1:1" ht="12.75">
      <c r="A1028" s="3" t="str">
        <f ca="1">IFERROR(__xludf.DUMMYFUNCTION("""COMPUTED_VALUE"""),"PRODUCTOS RAMO SAS")</f>
        <v>PRODUCTOS RAMO SAS</v>
      </c>
    </row>
    <row r="1029" spans="1:1" ht="12.75">
      <c r="A1029" s="3" t="str">
        <f ca="1">IFERROR(__xludf.DUMMYFUNCTION("""COMPUTED_VALUE"""),"PROES INGENIERIA SAS")</f>
        <v>PROES INGENIERIA SAS</v>
      </c>
    </row>
    <row r="1030" spans="1:1" ht="12.75">
      <c r="A1030" s="3" t="str">
        <f ca="1">IFERROR(__xludf.DUMMYFUNCTION("""COMPUTED_VALUE"""),"PROGRESO Y PROYECTOS S.A.S.")</f>
        <v>PROGRESO Y PROYECTOS S.A.S.</v>
      </c>
    </row>
    <row r="1031" spans="1:1" ht="12.75">
      <c r="A1031" s="3" t="str">
        <f ca="1">IFERROR(__xludf.DUMMYFUNCTION("""COMPUTED_VALUE"""),"PROMCIVILES S.A.S")</f>
        <v>PROMCIVILES S.A.S</v>
      </c>
    </row>
    <row r="1032" spans="1:1" ht="12.75">
      <c r="A1032" s="3" t="str">
        <f ca="1">IFERROR(__xludf.DUMMYFUNCTION("""COMPUTED_VALUE"""),"PROMOTORA PUGA LTDA")</f>
        <v>PROMOTORA PUGA LTDA</v>
      </c>
    </row>
    <row r="1033" spans="1:1" ht="12.75">
      <c r="A1033" s="3" t="str">
        <f ca="1">IFERROR(__xludf.DUMMYFUNCTION("""COMPUTED_VALUE"""),"PROMOTORA VALORES SAS")</f>
        <v>PROMOTORA VALORES SAS</v>
      </c>
    </row>
    <row r="1034" spans="1:1" ht="12.75">
      <c r="A1034" s="3" t="str">
        <f ca="1">IFERROR(__xludf.DUMMYFUNCTION("""COMPUTED_VALUE"""),"PROTELCA INGENIEROS ARQUITECTOS SAS")</f>
        <v>PROTELCA INGENIEROS ARQUITECTOS SAS</v>
      </c>
    </row>
    <row r="1035" spans="1:1" ht="12.75">
      <c r="A1035" s="3" t="str">
        <f ca="1">IFERROR(__xludf.DUMMYFUNCTION("""COMPUTED_VALUE"""),"PROTISA COLOMBIA S.A.- SEDE BOGOTÁ")</f>
        <v>PROTISA COLOMBIA S.A.- SEDE BOGOTÁ</v>
      </c>
    </row>
    <row r="1036" spans="1:1" ht="12.75">
      <c r="A1036" s="3" t="str">
        <f ca="1">IFERROR(__xludf.DUMMYFUNCTION("""COMPUTED_VALUE"""),"PROTISA COLOMBIA S.A.- SEDE GACHANCIPÁ")</f>
        <v>PROTISA COLOMBIA S.A.- SEDE GACHANCIPÁ</v>
      </c>
    </row>
    <row r="1037" spans="1:1" ht="12.75">
      <c r="A1037" s="3" t="str">
        <f ca="1">IFERROR(__xludf.DUMMYFUNCTION("""COMPUTED_VALUE"""),"PROVEEXPRESS SAS")</f>
        <v>PROVEEXPRESS SAS</v>
      </c>
    </row>
    <row r="1038" spans="1:1" ht="12.75">
      <c r="A1038" s="3" t="str">
        <f ca="1">IFERROR(__xludf.DUMMYFUNCTION("""COMPUTED_VALUE"""),"PROVISER LTDA")</f>
        <v>PROVISER LTDA</v>
      </c>
    </row>
    <row r="1039" spans="1:1" ht="12.75">
      <c r="A1039" s="3" t="str">
        <f ca="1">IFERROR(__xludf.DUMMYFUNCTION("""COMPUTED_VALUE"""),"PUBLICIS GROUPE MMS COMÚnicaCIONES COLOMBIA SAS")</f>
        <v>PUBLICIS GROUPE MMS COMÚnicaCIONES COLOMBIA SAS</v>
      </c>
    </row>
    <row r="1040" spans="1:1" ht="12.75">
      <c r="A1040" s="3" t="str">
        <f ca="1">IFERROR(__xludf.DUMMYFUNCTION("""COMPUTED_VALUE"""),"PULPA FRUIT SAS")</f>
        <v>PULPA FRUIT SAS</v>
      </c>
    </row>
    <row r="1041" spans="1:1" ht="12.75">
      <c r="A1041" s="3" t="str">
        <f ca="1">IFERROR(__xludf.DUMMYFUNCTION("""COMPUTED_VALUE"""),"PROFIT BANCA DE INVERSION SAS")</f>
        <v>PROFIT BANCA DE INVERSION SAS</v>
      </c>
    </row>
    <row r="1042" spans="1:1" ht="12.75">
      <c r="A1042" s="3" t="str">
        <f ca="1">IFERROR(__xludf.DUMMYFUNCTION("""COMPUTED_VALUE"""),"PYRAMID CONSULTING GROUP S.A.S")</f>
        <v>PYRAMID CONSULTING GROUP S.A.S</v>
      </c>
    </row>
    <row r="1043" spans="1:1" ht="12.75">
      <c r="A1043" s="3" t="str">
        <f ca="1">IFERROR(__xludf.DUMMYFUNCTION("""COMPUTED_VALUE"""),"PYRAMID CONSULTING GROUP S.A.S")</f>
        <v>PYRAMID CONSULTING GROUP S.A.S</v>
      </c>
    </row>
    <row r="1044" spans="1:1" ht="12.75">
      <c r="A1044" s="3" t="str">
        <f ca="1">IFERROR(__xludf.DUMMYFUNCTION("""COMPUTED_VALUE"""),"Q-TECH S.A.S")</f>
        <v>Q-TECH S.A.S</v>
      </c>
    </row>
    <row r="1045" spans="1:1" ht="12.75">
      <c r="A1045" s="3" t="str">
        <f ca="1">IFERROR(__xludf.DUMMYFUNCTION("""COMPUTED_VALUE"""),"QUARZO CONSTRUCCIONES S.A.S")</f>
        <v>QUARZO CONSTRUCCIONES S.A.S</v>
      </c>
    </row>
    <row r="1046" spans="1:1" ht="12.75">
      <c r="A1046" s="3" t="str">
        <f ca="1">IFERROR(__xludf.DUMMYFUNCTION("""COMPUTED_VALUE"""),"R &amp; Q INGENIERIA COLOMBIA S.A.")</f>
        <v>R &amp; Q INGENIERIA COLOMBIA S.A.</v>
      </c>
    </row>
    <row r="1047" spans="1:1" ht="12.75">
      <c r="A1047" s="3" t="str">
        <f ca="1">IFERROR(__xludf.DUMMYFUNCTION("""COMPUTED_VALUE"""),"RAFAEL POVEDA TELEVISIÓN A.H.S")</f>
        <v>RAFAEL POVEDA TELEVISIÓN A.H.S</v>
      </c>
    </row>
    <row r="1048" spans="1:1" ht="12.75">
      <c r="A1048" s="3" t="str">
        <f ca="1">IFERROR(__xludf.DUMMYFUNCTION("""COMPUTED_VALUE"""),"REDASISTENCIA COLOMBIA SAS")</f>
        <v>REDASISTENCIA COLOMBIA SAS</v>
      </c>
    </row>
    <row r="1049" spans="1:1" ht="12.75">
      <c r="A1049" s="3" t="str">
        <f ca="1">IFERROR(__xludf.DUMMYFUNCTION("""COMPUTED_VALUE"""),"REDCOMPUTO LIMITADA")</f>
        <v>REDCOMPUTO LIMITADA</v>
      </c>
    </row>
    <row r="1050" spans="1:1" ht="12.75">
      <c r="A1050" s="3" t="str">
        <f ca="1">IFERROR(__xludf.DUMMYFUNCTION("""COMPUTED_VALUE"""),"REDES Y EDIFICACIONES S A QUE PODRA ABREVIARSE COMO R&amp;E SA")</f>
        <v>REDES Y EDIFICACIONES S A QUE PODRA ABREVIARSE COMO R&amp;E SA</v>
      </c>
    </row>
    <row r="1051" spans="1:1" ht="12.75">
      <c r="A1051" s="3" t="str">
        <f ca="1">IFERROR(__xludf.DUMMYFUNCTION("""COMPUTED_VALUE"""),"REPRESENTACIONES D JESCA SAS")</f>
        <v>REPRESENTACIONES D JESCA SAS</v>
      </c>
    </row>
    <row r="1052" spans="1:1" ht="12.75">
      <c r="A1052" s="3" t="str">
        <f ca="1">IFERROR(__xludf.DUMMYFUNCTION("""COMPUTED_VALUE"""),"ASISTENCIAS RESPALDAR LTDA")</f>
        <v>ASISTENCIAS RESPALDAR LTDA</v>
      </c>
    </row>
    <row r="1053" spans="1:1" ht="12.75">
      <c r="A1053" s="3" t="str">
        <f ca="1">IFERROR(__xludf.DUMMYFUNCTION("""COMPUTED_VALUE"""),"RG ARQUITECTOS E INGENIEROS SAS")</f>
        <v>RG ARQUITECTOS E INGENIEROS SAS</v>
      </c>
    </row>
    <row r="1054" spans="1:1" ht="12.75">
      <c r="A1054" s="3" t="str">
        <f ca="1">IFERROR(__xludf.DUMMYFUNCTION("""COMPUTED_VALUE"""),"SAC SEGURIDAD AUTOMATIZACION Y CONTROL SAS")</f>
        <v>SAC SEGURIDAD AUTOMATIZACION Y CONTROL SAS</v>
      </c>
    </row>
    <row r="1055" spans="1:1" ht="12.75">
      <c r="A1055" s="3" t="str">
        <f ca="1">IFERROR(__xludf.DUMMYFUNCTION("""COMPUTED_VALUE"""),"SACYR CONCESIONES COLOMBIA SAS")</f>
        <v>SACYR CONCESIONES COLOMBIA SAS</v>
      </c>
    </row>
    <row r="1056" spans="1:1" ht="12.75">
      <c r="A1056" s="3" t="str">
        <f ca="1">IFERROR(__xludf.DUMMYFUNCTION("""COMPUTED_VALUE"""),"SAP COLOMBIA SAS")</f>
        <v>SAP COLOMBIA SAS</v>
      </c>
    </row>
    <row r="1057" spans="1:1" ht="12.75">
      <c r="A1057" s="3" t="str">
        <f ca="1">IFERROR(__xludf.DUMMYFUNCTION("""COMPUTED_VALUE"""),"SCAIN ADMINISTRACION E INGENIERIA SAS /
 SILVA CARREÑO ADMINISTRACION E INGENIERIA SAS")</f>
        <v>SCAIN ADMINISTRACION E INGENIERIA SAS /
 SILVA CARREÑO ADMINISTRACION E INGENIERIA SAS</v>
      </c>
    </row>
    <row r="1058" spans="1:1" ht="12.75">
      <c r="A1058" s="3" t="str">
        <f ca="1">IFERROR(__xludf.DUMMYFUNCTION("""COMPUTED_VALUE"""),"SCALA ASCENSORES SAS")</f>
        <v>SCALA ASCENSORES SAS</v>
      </c>
    </row>
    <row r="1059" spans="1:1" ht="12.75">
      <c r="A1059" s="3" t="str">
        <f ca="1">IFERROR(__xludf.DUMMYFUNCTION("""COMPUTED_VALUE"""),"REDNEET SAS")</f>
        <v>REDNEET SAS</v>
      </c>
    </row>
    <row r="1060" spans="1:1" ht="12.75">
      <c r="A1060" s="3" t="str">
        <f ca="1">IFERROR(__xludf.DUMMYFUNCTION("""COMPUTED_VALUE"""),"SECURITAS COLOMBIA SA")</f>
        <v>SECURITAS COLOMBIA SA</v>
      </c>
    </row>
    <row r="1061" spans="1:1" ht="12.75">
      <c r="A1061" s="3" t="str">
        <f ca="1">IFERROR(__xludf.DUMMYFUNCTION("""COMPUTED_VALUE"""),"SEFARCOL PRODUCTOS Y SERVICIOS S.A")</f>
        <v>SEFARCOL PRODUCTOS Y SERVICIOS S.A</v>
      </c>
    </row>
    <row r="1062" spans="1:1" ht="12.75">
      <c r="A1062" s="3" t="str">
        <f ca="1">IFERROR(__xludf.DUMMYFUNCTION("""COMPUTED_VALUE"""),"RG ARQUITECTOS E INGENIEROS SAS")</f>
        <v>RG ARQUITECTOS E INGENIEROS SAS</v>
      </c>
    </row>
    <row r="1063" spans="1:1" ht="12.75">
      <c r="A1063" s="3" t="str">
        <f ca="1">IFERROR(__xludf.DUMMYFUNCTION("""COMPUTED_VALUE"""),"SEGURIDAD ARARAT LTDA")</f>
        <v>SEGURIDAD ARARAT LTDA</v>
      </c>
    </row>
    <row r="1064" spans="1:1" ht="12.75">
      <c r="A1064" s="3" t="str">
        <f ca="1">IFERROR(__xludf.DUMMYFUNCTION("""COMPUTED_VALUE"""),"SEGURIDAD EL PENTAGONO COLOMBIANO LIMITADA SEPECOL LTDA")</f>
        <v>SEGURIDAD EL PENTAGONO COLOMBIANO LIMITADA SEPECOL LTDA</v>
      </c>
    </row>
    <row r="1065" spans="1:1" ht="12.75">
      <c r="A1065" s="3" t="str">
        <f ca="1">IFERROR(__xludf.DUMMYFUNCTION("""COMPUTED_VALUE"""),"SEGURIDAD ELIAR LTDA")</f>
        <v>SEGURIDAD ELIAR LTDA</v>
      </c>
    </row>
    <row r="1066" spans="1:1" ht="12.75">
      <c r="A1066" s="3" t="str">
        <f ca="1">IFERROR(__xludf.DUMMYFUNCTION("""COMPUTED_VALUE"""),"SEGURIDAD OCCIDENTE LTDA")</f>
        <v>SEGURIDAD OCCIDENTE LTDA</v>
      </c>
    </row>
    <row r="1067" spans="1:1" ht="12.75">
      <c r="A1067" s="3" t="str">
        <f ca="1">IFERROR(__xludf.DUMMYFUNCTION("""COMPUTED_VALUE"""),"SEGURIDAD SCANNER LTDA.")</f>
        <v>SEGURIDAD SCANNER LTDA.</v>
      </c>
    </row>
    <row r="1068" spans="1:1" ht="12.75">
      <c r="A1068" s="3" t="str">
        <f ca="1">IFERROR(__xludf.DUMMYFUNCTION("""COMPUTED_VALUE"""),"SEGURIDAD SUPER LTDA")</f>
        <v>SEGURIDAD SUPER LTDA</v>
      </c>
    </row>
    <row r="1069" spans="1:1" ht="12.75">
      <c r="A1069" s="3" t="str">
        <f ca="1">IFERROR(__xludf.DUMMYFUNCTION("""COMPUTED_VALUE"""),"SEGURIDAD SUPER LTDA.")</f>
        <v>SEGURIDAD SUPER LTDA.</v>
      </c>
    </row>
    <row r="1070" spans="1:1" ht="12.75">
      <c r="A1070" s="3" t="str">
        <f ca="1">IFERROR(__xludf.DUMMYFUNCTION("""COMPUTED_VALUE"""),"SEGURIDAD SUPERIOR LTDA")</f>
        <v>SEGURIDAD SUPERIOR LTDA</v>
      </c>
    </row>
    <row r="1071" spans="1:1" ht="12.75">
      <c r="A1071" s="3" t="str">
        <f ca="1">IFERROR(__xludf.DUMMYFUNCTION("""COMPUTED_VALUE"""),"SEGURIDAD THOR LTDA")</f>
        <v>SEGURIDAD THOR LTDA</v>
      </c>
    </row>
    <row r="1072" spans="1:1" ht="12.75">
      <c r="A1072" s="3" t="str">
        <f ca="1">IFERROR(__xludf.DUMMYFUNCTION("""COMPUTED_VALUE"""),"Seguridad y Salud Ocupacional Consultoría SAS IPS - SYSO CONSULTORÍA SAS IPS")</f>
        <v>Seguridad y Salud Ocupacional Consultoría SAS IPS - SYSO CONSULTORÍA SAS IPS</v>
      </c>
    </row>
    <row r="1073" spans="1:1" ht="12.75">
      <c r="A1073" s="3" t="str">
        <f ca="1">IFERROR(__xludf.DUMMYFUNCTION("""COMPUTED_VALUE"""),"SEGURIDAD EL PROGRESO LTDA")</f>
        <v>SEGURIDAD EL PROGRESO LTDA</v>
      </c>
    </row>
    <row r="1074" spans="1:1" ht="12.75">
      <c r="A1074" s="3" t="str">
        <f ca="1">IFERROR(__xludf.DUMMYFUNCTION("""COMPUTED_VALUE"""),"SEGURITECH COLOMBIA SAS")</f>
        <v>SEGURITECH COLOMBIA SAS</v>
      </c>
    </row>
    <row r="1075" spans="1:1" ht="12.75">
      <c r="A1075" s="3" t="str">
        <f ca="1">IFERROR(__xludf.DUMMYFUNCTION("""COMPUTED_VALUE"""),"SELCOMP INGENIERIA SAS")</f>
        <v>SELCOMP INGENIERIA SAS</v>
      </c>
    </row>
    <row r="1076" spans="1:1" ht="12.75">
      <c r="A1076" s="3" t="str">
        <f ca="1">IFERROR(__xludf.DUMMYFUNCTION("""COMPUTED_VALUE"""),"SELLING SAS")</f>
        <v>SELLING SAS</v>
      </c>
    </row>
    <row r="1077" spans="1:1" ht="12.75">
      <c r="A1077" s="3" t="str">
        <f ca="1">IFERROR(__xludf.DUMMYFUNCTION("""COMPUTED_VALUE"""),"Sergio Gonzalez y Cia Ltda - Sergo Ltda")</f>
        <v>Sergio Gonzalez y Cia Ltda - Sergo Ltda</v>
      </c>
    </row>
    <row r="1078" spans="1:1" ht="12.75">
      <c r="A1078" s="3" t="str">
        <f ca="1">IFERROR(__xludf.DUMMYFUNCTION("""COMPUTED_VALUE"""),"SERVICANES DE COLOMBIA LTDA")</f>
        <v>SERVICANES DE COLOMBIA LTDA</v>
      </c>
    </row>
    <row r="1079" spans="1:1" ht="12.75">
      <c r="A1079" s="3" t="str">
        <f ca="1">IFERROR(__xludf.DUMMYFUNCTION("""COMPUTED_VALUE"""),"SERVICIO AÉREO A TERRITORIOS NACIONALES S.A SATENA")</f>
        <v>SERVICIO AÉREO A TERRITORIOS NACIONALES S.A SATENA</v>
      </c>
    </row>
    <row r="1080" spans="1:1" ht="12.75">
      <c r="A1080" s="3" t="str">
        <f ca="1">IFERROR(__xludf.DUMMYFUNCTION("""COMPUTED_VALUE"""),"SERVICIO GEOLÓGICO COLOMBIANO")</f>
        <v>SERVICIO GEOLÓGICO COLOMBIANO</v>
      </c>
    </row>
    <row r="1081" spans="1:1" ht="12.75">
      <c r="A1081" s="3" t="str">
        <f ca="1">IFERROR(__xludf.DUMMYFUNCTION("""COMPUTED_VALUE"""),"SERVICIOS AÉREOS TERRITORIOS NACIONALES-SATENA")</f>
        <v>SERVICIOS AÉREOS TERRITORIOS NACIONALES-SATENA</v>
      </c>
    </row>
    <row r="1082" spans="1:1" ht="12.75">
      <c r="A1082" s="3" t="str">
        <f ca="1">IFERROR(__xludf.DUMMYFUNCTION("""COMPUTED_VALUE"""),"SERVIKALL INGENIERÍA S.A.S")</f>
        <v>SERVIKALL INGENIERÍA S.A.S</v>
      </c>
    </row>
    <row r="1083" spans="1:1" ht="12.75">
      <c r="A1083" s="3" t="str">
        <f ca="1">IFERROR(__xludf.DUMMYFUNCTION("""COMPUTED_VALUE"""),"SGS COLOMBIA HOLDING SAS")</f>
        <v>SGS COLOMBIA HOLDING SAS</v>
      </c>
    </row>
    <row r="1084" spans="1:1" ht="12.75">
      <c r="A1084" s="3" t="str">
        <f ca="1">IFERROR(__xludf.DUMMYFUNCTION("""COMPUTED_VALUE"""),"SGS COLOMBIA HOLDING SAS")</f>
        <v>SGS COLOMBIA HOLDING SAS</v>
      </c>
    </row>
    <row r="1085" spans="1:1" ht="12.75">
      <c r="A1085" s="3" t="str">
        <f ca="1">IFERROR(__xludf.DUMMYFUNCTION("""COMPUTED_VALUE"""),"SGS COLOMBIA HOLDING SAS. Bog Americas")</f>
        <v>SGS COLOMBIA HOLDING SAS. Bog Americas</v>
      </c>
    </row>
    <row r="1086" spans="1:1" ht="12.75">
      <c r="A1086" s="3" t="str">
        <f ca="1">IFERROR(__xludf.DUMMYFUNCTION("""COMPUTED_VALUE"""),"SINTONIZAR MEDIOS S.A. S.")</f>
        <v>SINTONIZAR MEDIOS S.A. S.</v>
      </c>
    </row>
    <row r="1087" spans="1:1" ht="12.75">
      <c r="A1087" s="3" t="str">
        <f ca="1">IFERROR(__xludf.DUMMYFUNCTION("""COMPUTED_VALUE"""),"Sistema Integrado de operación de Transporte Sí18 S.A.S")</f>
        <v>Sistema Integrado de operación de Transporte Sí18 S.A.S</v>
      </c>
    </row>
    <row r="1088" spans="1:1" ht="12.75">
      <c r="A1088" s="3" t="str">
        <f ca="1">IFERROR(__xludf.DUMMYFUNCTION("""COMPUTED_VALUE"""),"SISTEMAS COLOMBIA SAS")</f>
        <v>SISTEMAS COLOMBIA SAS</v>
      </c>
    </row>
    <row r="1089" spans="1:1" ht="12.75">
      <c r="A1089" s="3" t="str">
        <f ca="1">IFERROR(__xludf.DUMMYFUNCTION("""COMPUTED_VALUE"""),"SISTEMAS ESPECIALES DE CONSTRUCCIÓN")</f>
        <v>SISTEMAS ESPECIALES DE CONSTRUCCIÓN</v>
      </c>
    </row>
    <row r="1090" spans="1:1" ht="12.75">
      <c r="A1090" s="3" t="str">
        <f ca="1">IFERROR(__xludf.DUMMYFUNCTION("""COMPUTED_VALUE"""),"SISTEMAS ESPECIALIZADOS DE INFORMACIÓN S.A")</f>
        <v>SISTEMAS ESPECIALIZADOS DE INFORMACIÓN S.A</v>
      </c>
    </row>
    <row r="1091" spans="1:1" ht="12.75">
      <c r="A1091" s="3" t="str">
        <f ca="1">IFERROR(__xludf.DUMMYFUNCTION("""COMPUTED_VALUE"""),"SK REMTAL")</f>
        <v>SK REMTAL</v>
      </c>
    </row>
    <row r="1092" spans="1:1" ht="12.75">
      <c r="A1092" s="3" t="str">
        <f ca="1">IFERROR(__xludf.DUMMYFUNCTION("""COMPUTED_VALUE"""),"SKANDIA ADMINISTRADORA DE FONDOS DE PENSIONES Y CESANTIAS")</f>
        <v>SKANDIA ADMINISTRADORA DE FONDOS DE PENSIONES Y CESANTIAS</v>
      </c>
    </row>
    <row r="1093" spans="1:1" ht="12.75">
      <c r="A1093" s="3" t="str">
        <f ca="1">IFERROR(__xludf.DUMMYFUNCTION("""COMPUTED_VALUE"""),"SHM INGENIERIA SAS")</f>
        <v>SHM INGENIERIA SAS</v>
      </c>
    </row>
    <row r="1094" spans="1:1" ht="12.75">
      <c r="A1094" s="3" t="str">
        <f ca="1">IFERROR(__xludf.DUMMYFUNCTION("""COMPUTED_VALUE"""),"SMARTY COLOMBIA S.A.S")</f>
        <v>SMARTY COLOMBIA S.A.S</v>
      </c>
    </row>
    <row r="1095" spans="1:1" ht="12.75">
      <c r="A1095" s="3" t="str">
        <f ca="1">IFERROR(__xludf.DUMMYFUNCTION("""COMPUTED_VALUE"""),"SNB INGENIERÍA SAS")</f>
        <v>SNB INGENIERÍA SAS</v>
      </c>
    </row>
    <row r="1096" spans="1:1" ht="12.75">
      <c r="A1096" s="3" t="str">
        <f ca="1">IFERROR(__xludf.DUMMYFUNCTION("""COMPUTED_VALUE"""),"SOAIN SOFTWARE ASSOCIATES S.A.S.")</f>
        <v>SOAIN SOFTWARE ASSOCIATES S.A.S.</v>
      </c>
    </row>
    <row r="1097" spans="1:1" ht="12.75">
      <c r="A1097" s="3" t="str">
        <f ca="1">IFERROR(__xludf.DUMMYFUNCTION("""COMPUTED_VALUE"""),"SOCIEDAD ANONIMA DE OBRAS Y SERVICIOS COPASA SUCURSAL DE COLOMBIA")</f>
        <v>SOCIEDAD ANONIMA DE OBRAS Y SERVICIOS COPASA SUCURSAL DE COLOMBIA</v>
      </c>
    </row>
    <row r="1098" spans="1:1" ht="12.75">
      <c r="A1098" s="3" t="str">
        <f ca="1">IFERROR(__xludf.DUMMYFUNCTION("""COMPUTED_VALUE"""),"SOCIEDAD FIDUCIARIA DE DESARROLLO AGROPECUARIA - FIDUAGRARIA")</f>
        <v>SOCIEDAD FIDUCIARIA DE DESARROLLO AGROPECUARIA - FIDUAGRARIA</v>
      </c>
    </row>
    <row r="1099" spans="1:1" ht="12.75">
      <c r="A1099" s="3" t="str">
        <f ca="1">IFERROR(__xludf.DUMMYFUNCTION("""COMPUTED_VALUE"""),"SOFTTEK RENOVATION SAS")</f>
        <v>SOFTTEK RENOVATION SAS</v>
      </c>
    </row>
    <row r="1100" spans="1:1" ht="12.75">
      <c r="A1100" s="3" t="str">
        <f ca="1">IFERROR(__xludf.DUMMYFUNCTION("""COMPUTED_VALUE"""),"SOLINOFF CORP SA")</f>
        <v>SOLINOFF CORP SA</v>
      </c>
    </row>
    <row r="1101" spans="1:1" ht="12.75">
      <c r="A1101" s="3" t="str">
        <f ca="1">IFERROR(__xludf.DUMMYFUNCTION("""COMPUTED_VALUE"""),"SOLINOFF CORP SA")</f>
        <v>SOLINOFF CORP SA</v>
      </c>
    </row>
    <row r="1102" spans="1:1" ht="12.75">
      <c r="A1102" s="3" t="str">
        <f ca="1">IFERROR(__xludf.DUMMYFUNCTION("""COMPUTED_VALUE"""),"SOLINOFF CORP SA")</f>
        <v>SOLINOFF CORP SA</v>
      </c>
    </row>
    <row r="1103" spans="1:1" ht="12.75">
      <c r="A1103" s="3" t="str">
        <f ca="1">IFERROR(__xludf.DUMMYFUNCTION("""COMPUTED_VALUE"""),"SOLINOFF CORP SA")</f>
        <v>SOLINOFF CORP SA</v>
      </c>
    </row>
    <row r="1104" spans="1:1" ht="12.75">
      <c r="A1104" s="3" t="str">
        <f ca="1">IFERROR(__xludf.DUMMYFUNCTION("""COMPUTED_VALUE"""),"SOLLA S.A")</f>
        <v>SOLLA S.A</v>
      </c>
    </row>
    <row r="1105" spans="1:1" ht="12.75">
      <c r="A1105" s="3" t="str">
        <f ca="1">IFERROR(__xludf.DUMMYFUNCTION("""COMPUTED_VALUE"""),"SOLUCIONES EN SUMINISTROS INGENIERIA Y CONSTRUCCION SAS")</f>
        <v>SOLUCIONES EN SUMINISTROS INGENIERIA Y CONSTRUCCION SAS</v>
      </c>
    </row>
    <row r="1106" spans="1:1" ht="12.75">
      <c r="A1106" s="3" t="str">
        <f ca="1">IFERROR(__xludf.DUMMYFUNCTION("""COMPUTED_VALUE"""),"SOLUCIONES LOGISTICAS DE ESPACIOS EXTERIORES S.A.S.")</f>
        <v>SOLUCIONES LOGISTICAS DE ESPACIOS EXTERIORES S.A.S.</v>
      </c>
    </row>
    <row r="1107" spans="1:1" ht="12.75">
      <c r="A1107" s="3" t="str">
        <f ca="1">IFERROR(__xludf.DUMMYFUNCTION("""COMPUTED_VALUE"""),"SPAS Y HOTELES SAS")</f>
        <v>SPAS Y HOTELES SAS</v>
      </c>
    </row>
    <row r="1108" spans="1:1" ht="12.75">
      <c r="A1108" s="3" t="str">
        <f ca="1">IFERROR(__xludf.DUMMYFUNCTION("""COMPUTED_VALUE"""),"SPHERA PRODUCCIONES SAS")</f>
        <v>SPHERA PRODUCCIONES SAS</v>
      </c>
    </row>
    <row r="1109" spans="1:1" ht="12.75">
      <c r="A1109" s="3" t="str">
        <f ca="1">IFERROR(__xludf.DUMMYFUNCTION("""COMPUTED_VALUE"""),"STRABAG SAS")</f>
        <v>STRABAG SAS</v>
      </c>
    </row>
    <row r="1110" spans="1:1" ht="12.75">
      <c r="A1110" s="3" t="str">
        <f ca="1">IFERROR(__xludf.DUMMYFUNCTION("""COMPUTED_VALUE"""),"SUDAMERICANA INTEGRAL DE CONSTRUCCIONES SUDINCO S.A. SUCURSAL COLOMBIANA")</f>
        <v>SUDAMERICANA INTEGRAL DE CONSTRUCCIONES SUDINCO S.A. SUCURSAL COLOMBIANA</v>
      </c>
    </row>
    <row r="1111" spans="1:1" ht="12.75">
      <c r="A1111" s="3" t="str">
        <f ca="1">IFERROR(__xludf.DUMMYFUNCTION("""COMPUTED_VALUE"""),"SUDAMERICANA INTEGRAL DE CONSTRUCCIONES SUDINCO S.A. SUCURSAL COLOMBIANA")</f>
        <v>SUDAMERICANA INTEGRAL DE CONSTRUCCIONES SUDINCO S.A. SUCURSAL COLOMBIANA</v>
      </c>
    </row>
    <row r="1112" spans="1:1" ht="12.75">
      <c r="A1112" s="3" t="str">
        <f ca="1">IFERROR(__xludf.DUMMYFUNCTION("""COMPUTED_VALUE"""),"Sumup Medios De Pagos Colombia S A S")</f>
        <v>Sumup Medios De Pagos Colombia S A S</v>
      </c>
    </row>
    <row r="1113" spans="1:1" ht="12.75">
      <c r="A1113" s="3" t="str">
        <f ca="1">IFERROR(__xludf.DUMMYFUNCTION("""COMPUTED_VALUE"""),"SUNSHINE BOUQUET COLOMBIA")</f>
        <v>SUNSHINE BOUQUET COLOMBIA</v>
      </c>
    </row>
    <row r="1114" spans="1:1" ht="12.75">
      <c r="A1114" s="3" t="str">
        <f ca="1">IFERROR(__xludf.DUMMYFUNCTION("""COMPUTED_VALUE"""),"Superintendencia de Servicios Públicos Domiciliarios SUPERSERVICIOS
SEDE 1")</f>
        <v>Superintendencia de Servicios Públicos Domiciliarios SUPERSERVICIOS
SEDE 1</v>
      </c>
    </row>
    <row r="1115" spans="1:1" ht="12.75">
      <c r="A1115" s="3" t="str">
        <f ca="1">IFERROR(__xludf.DUMMYFUNCTION("""COMPUTED_VALUE"""),"Superintendencia de Servicios Públicos Domiciliarios SUPERSERVICIOS
SEDE 2")</f>
        <v>Superintendencia de Servicios Públicos Domiciliarios SUPERSERVICIOS
SEDE 2</v>
      </c>
    </row>
    <row r="1116" spans="1:1" ht="12.75">
      <c r="A1116" s="3" t="str">
        <f ca="1">IFERROR(__xludf.DUMMYFUNCTION("""COMPUTED_VALUE"""),"SUPERINTENDENCIA NACIONAL DE SALUD")</f>
        <v>SUPERINTENDENCIA NACIONAL DE SALUD</v>
      </c>
    </row>
    <row r="1117" spans="1:1" ht="12.75">
      <c r="A1117" s="3" t="str">
        <f ca="1">IFERROR(__xludf.DUMMYFUNCTION("""COMPUTED_VALUE"""),"SUPERINTENTENDENCIA DE TRANSPORTE")</f>
        <v>SUPERINTENTENDENCIA DE TRANSPORTE</v>
      </c>
    </row>
    <row r="1118" spans="1:1" ht="12.75">
      <c r="A1118" s="3" t="str">
        <f ca="1">IFERROR(__xludf.DUMMYFUNCTION("""COMPUTED_VALUE"""),"SUPPLA SA")</f>
        <v>SUPPLA SA</v>
      </c>
    </row>
    <row r="1119" spans="1:1" ht="12.75">
      <c r="A1119" s="3" t="str">
        <f ca="1">IFERROR(__xludf.DUMMYFUNCTION("""COMPUTED_VALUE"""),"SUPPLIES 4 PETS SAS")</f>
        <v>SUPPLIES 4 PETS SAS</v>
      </c>
    </row>
    <row r="1120" spans="1:1" ht="12.75">
      <c r="A1120" s="3" t="str">
        <f ca="1">IFERROR(__xludf.DUMMYFUNCTION("""COMPUTED_VALUE"""),"SURAMERICANA DE PROTECCION Y SEGURIDAD PRIVADA LIMITADA")</f>
        <v>SURAMERICANA DE PROTECCION Y SEGURIDAD PRIVADA LIMITADA</v>
      </c>
    </row>
    <row r="1121" spans="1:1" ht="12.75">
      <c r="A1121" s="3" t="str">
        <f ca="1">IFERROR(__xludf.DUMMYFUNCTION("""COMPUTED_VALUE"""),"SUSTENTABILIDAD EMPRESARIAL SAS")</f>
        <v>SUSTENTABILIDAD EMPRESARIAL SAS</v>
      </c>
    </row>
    <row r="1122" spans="1:1" ht="12.75">
      <c r="A1122" s="3" t="str">
        <f ca="1">IFERROR(__xludf.DUMMYFUNCTION("""COMPUTED_VALUE"""),"T.EN COLOMBIA S.A")</f>
        <v>T.EN COLOMBIA S.A</v>
      </c>
    </row>
    <row r="1123" spans="1:1" ht="12.75">
      <c r="A1123" s="3" t="str">
        <f ca="1">IFERROR(__xludf.DUMMYFUNCTION("""COMPUTED_VALUE"""),"TAC SEGURIDAD LTDA")</f>
        <v>TAC SEGURIDAD LTDA</v>
      </c>
    </row>
    <row r="1124" spans="1:1" ht="12.75">
      <c r="A1124" s="3" t="str">
        <f ca="1">IFERROR(__xludf.DUMMYFUNCTION("""COMPUTED_VALUE"""),"TALENTO 911 S.A.S")</f>
        <v>TALENTO 911 S.A.S</v>
      </c>
    </row>
    <row r="1125" spans="1:1" ht="12.75">
      <c r="A1125" s="3" t="str">
        <f ca="1">IFERROR(__xludf.DUMMYFUNCTION("""COMPUTED_VALUE"""),"TALENTO SOLIDO S.A.S.")</f>
        <v>TALENTO SOLIDO S.A.S.</v>
      </c>
    </row>
    <row r="1126" spans="1:1" ht="12.75">
      <c r="A1126" s="3" t="str">
        <f ca="1">IFERROR(__xludf.DUMMYFUNCTION("""COMPUTED_VALUE"""),"tatiana_castillo01@hotmail.com")</f>
        <v>tatiana_castillo01@hotmail.com</v>
      </c>
    </row>
    <row r="1127" spans="1:1" ht="12.75">
      <c r="A1127" s="3" t="str">
        <f ca="1">IFERROR(__xludf.DUMMYFUNCTION("""COMPUTED_VALUE"""),"TEIXEIRA DUARTE-ENGENHARIA E CONSTRUÇÕES, COLOMBIA S.A /
TEIXEIRA DUARTE - ENGENHARIA E CONSTRUCOES, SUCURSAL EN COLOMBIA")</f>
        <v>TEIXEIRA DUARTE-ENGENHARIA E CONSTRUÇÕES, COLOMBIA S.A /
TEIXEIRA DUARTE - ENGENHARIA E CONSTRUCOES, SUCURSAL EN COLOMBIA</v>
      </c>
    </row>
    <row r="1128" spans="1:1" ht="12.75">
      <c r="A1128" s="3" t="str">
        <f ca="1">IFERROR(__xludf.DUMMYFUNCTION("""COMPUTED_VALUE"""),"TELEPERFORMANCE COLOMBIS S.A.S")</f>
        <v>TELEPERFORMANCE COLOMBIS S.A.S</v>
      </c>
    </row>
    <row r="1129" spans="1:1" ht="12.75">
      <c r="A1129" s="3" t="str">
        <f ca="1">IFERROR(__xludf.DUMMYFUNCTION("""COMPUTED_VALUE"""),"TERMINAL DE TRANSPORTES DE GirardotS A")</f>
        <v>TERMINAL DE TRANSPORTES DE GirardotS A</v>
      </c>
    </row>
    <row r="1130" spans="1:1" ht="12.75">
      <c r="A1130" s="3" t="str">
        <f ca="1">IFERROR(__xludf.DUMMYFUNCTION("""COMPUTED_VALUE"""),"TERPEL SA")</f>
        <v>TERPEL SA</v>
      </c>
    </row>
    <row r="1131" spans="1:1" ht="12.75">
      <c r="A1131" s="3" t="str">
        <f ca="1">IFERROR(__xludf.DUMMYFUNCTION("""COMPUTED_VALUE"""),"TERRA FERME SAS")</f>
        <v>TERRA FERME SAS</v>
      </c>
    </row>
    <row r="1132" spans="1:1" ht="12.75">
      <c r="A1132" s="3" t="str">
        <f ca="1">IFERROR(__xludf.DUMMYFUNCTION("""COMPUTED_VALUE"""),"TERRITORIUM LIFE")</f>
        <v>TERRITORIUM LIFE</v>
      </c>
    </row>
    <row r="1133" spans="1:1" ht="12.75">
      <c r="A1133" s="3" t="str">
        <f ca="1">IFERROR(__xludf.DUMMYFUNCTION("""COMPUTED_VALUE"""),"TIVIT COLOMBIA SAS")</f>
        <v>TIVIT COLOMBIA SAS</v>
      </c>
    </row>
    <row r="1134" spans="1:1" ht="12.75">
      <c r="A1134" s="3" t="str">
        <f ca="1">IFERROR(__xludf.DUMMYFUNCTION("""COMPUTED_VALUE"""),"TKARGA SAS")</f>
        <v>TKARGA SAS</v>
      </c>
    </row>
    <row r="1135" spans="1:1" ht="12.75">
      <c r="A1135" s="3" t="str">
        <f ca="1">IFERROR(__xludf.DUMMYFUNCTION("""COMPUTED_VALUE"""),"TOSTACAFE SAS")</f>
        <v>TOSTACAFE SAS</v>
      </c>
    </row>
    <row r="1136" spans="1:1" ht="12.75">
      <c r="A1136" s="3" t="str">
        <f ca="1">IFERROR(__xludf.DUMMYFUNCTION("""COMPUTED_VALUE"""),"TOSTACAFE SAS")</f>
        <v>TOSTACAFE SAS</v>
      </c>
    </row>
    <row r="1137" spans="1:1" ht="12.75">
      <c r="A1137" s="3" t="str">
        <f ca="1">IFERROR(__xludf.DUMMYFUNCTION("""COMPUTED_VALUE"""),"TOUR VACATION HOTELES AZULES SAS")</f>
        <v>TOUR VACATION HOTELES AZULES SAS</v>
      </c>
    </row>
    <row r="1138" spans="1:1" ht="12.75">
      <c r="A1138" s="3" t="str">
        <f ca="1">IFERROR(__xludf.DUMMYFUNCTION("""COMPUTED_VALUE"""),"TRANSOCEANICA SAS")</f>
        <v>TRANSOCEANICA SAS</v>
      </c>
    </row>
    <row r="1139" spans="1:1" ht="12.75">
      <c r="A1139" s="3" t="str">
        <f ca="1">IFERROR(__xludf.DUMMYFUNCTION("""COMPUTED_VALUE"""),"TRANSPORTES GALAXIA SA")</f>
        <v>TRANSPORTES GALAXIA SA</v>
      </c>
    </row>
    <row r="1140" spans="1:1" ht="12.75">
      <c r="A1140" s="3" t="str">
        <f ca="1">IFERROR(__xludf.DUMMYFUNCTION("""COMPUTED_VALUE"""),"TUL S.A.S")</f>
        <v>TUL S.A.S</v>
      </c>
    </row>
    <row r="1141" spans="1:1" ht="12.75">
      <c r="A1141" s="3" t="str">
        <f ca="1">IFERROR(__xludf.DUMMYFUNCTION("""COMPUTED_VALUE"""),"TUL S.A.S.")</f>
        <v>TUL S.A.S.</v>
      </c>
    </row>
    <row r="1142" spans="1:1" ht="12.75">
      <c r="A1142" s="3" t="str">
        <f ca="1">IFERROR(__xludf.DUMMYFUNCTION("""COMPUTED_VALUE"""),"UBITS LEARNING SOLUTIONS S.A.S")</f>
        <v>UBITS LEARNING SOLUTIONS S.A.S</v>
      </c>
    </row>
    <row r="1143" spans="1:1" ht="12.75">
      <c r="A1143" s="3" t="str">
        <f ca="1">IFERROR(__xludf.DUMMYFUNCTION("""COMPUTED_VALUE"""),"UNIDAD ADMINISTRATIVA ESPECIAL DE ALIMENTACIÓN ESCOLAR")</f>
        <v>UNIDAD ADMINISTRATIVA ESPECIAL DE ALIMENTACIÓN ESCOLAR</v>
      </c>
    </row>
    <row r="1144" spans="1:1" ht="12.75">
      <c r="A1144" s="3" t="str">
        <f ca="1">IFERROR(__xludf.DUMMYFUNCTION("""COMPUTED_VALUE"""),"UNIDAD AdministrativaESPECIAL DE CATASTRO DISTRITAL")</f>
        <v>UNIDAD AdministrativaESPECIAL DE CATASTRO DISTRITAL</v>
      </c>
    </row>
    <row r="1145" spans="1:1" ht="12.75">
      <c r="A1145" s="3" t="str">
        <f ca="1">IFERROR(__xludf.DUMMYFUNCTION("""COMPUTED_VALUE"""),"UNIDAD AdministrativaESPECIAL DE GESTIÓN PENSIONAL Y CONTRIBUCIONES PARAFISCALES DE LA PROTECCIÓN SOCIAL")</f>
        <v>UNIDAD AdministrativaESPECIAL DE GESTIÓN PENSIONAL Y CONTRIBUCIONES PARAFISCALES DE LA PROTECCIÓN SOCIAL</v>
      </c>
    </row>
    <row r="1146" spans="1:1" ht="12.75">
      <c r="A1146" s="3" t="str">
        <f ca="1">IFERROR(__xludf.DUMMYFUNCTION("""COMPUTED_VALUE"""),"UNIDAD AdministrativaESPECIAL JUNTA CENTRAL DE CONTADORES")</f>
        <v>UNIDAD AdministrativaESPECIAL JUNTA CENTRAL DE CONTADORES</v>
      </c>
    </row>
    <row r="1147" spans="1:1" ht="12.75">
      <c r="A1147" s="3" t="str">
        <f ca="1">IFERROR(__xludf.DUMMYFUNCTION("""COMPUTED_VALUE"""),"UNIDAD NACIONAL PARA LA GESTIÓN DEL RIESGO DE DESASTRES - UNGRD")</f>
        <v>UNIDAD NACIONAL PARA LA GESTIÓN DEL RIESGO DE DESASTRES - UNGRD</v>
      </c>
    </row>
    <row r="1148" spans="1:1" ht="12.75">
      <c r="A1148" s="3" t="str">
        <f ca="1">IFERROR(__xludf.DUMMYFUNCTION("""COMPUTED_VALUE"""),"UNILEVER Andina Colombia")</f>
        <v>UNILEVER Andina Colombia</v>
      </c>
    </row>
    <row r="1149" spans="1:1" ht="12.75">
      <c r="A1149" s="3" t="str">
        <f ca="1">IFERROR(__xludf.DUMMYFUNCTION("""COMPUTED_VALUE"""),"VALORACIÓN ECONÓMICA AMBIENTAL SAS")</f>
        <v>VALORACIÓN ECONÓMICA AMBIENTAL SAS</v>
      </c>
    </row>
    <row r="1150" spans="1:1" ht="12.75">
      <c r="A1150" s="3" t="str">
        <f ca="1">IFERROR(__xludf.DUMMYFUNCTION("""COMPUTED_VALUE"""),"VECTOR GEOPHYSICAL SAS")</f>
        <v>VECTOR GEOPHYSICAL SAS</v>
      </c>
    </row>
    <row r="1151" spans="1:1" ht="12.75">
      <c r="A1151" s="3" t="str">
        <f ca="1">IFERROR(__xludf.DUMMYFUNCTION("""COMPUTED_VALUE"""),"Verytel S.A")</f>
        <v>Verytel S.A</v>
      </c>
    </row>
    <row r="1152" spans="1:1" ht="12.75">
      <c r="A1152" s="3" t="str">
        <f ca="1">IFERROR(__xludf.DUMMYFUNCTION("""COMPUTED_VALUE"""),"VICPAR SA")</f>
        <v>VICPAR SA</v>
      </c>
    </row>
    <row r="1153" spans="1:1" ht="12.75">
      <c r="A1153" s="3" t="str">
        <f ca="1">IFERROR(__xludf.DUMMYFUNCTION("""COMPUTED_VALUE"""),"VICTORIAS FASHION CYG SAS")</f>
        <v>VICTORIAS FASHION CYG SAS</v>
      </c>
    </row>
    <row r="1154" spans="1:1" ht="12.75">
      <c r="A1154" s="3" t="str">
        <f ca="1">IFERROR(__xludf.DUMMYFUNCTION("""COMPUTED_VALUE"""),"VIDA PRODUCE COMPANY / VPC COLOMBIA S.A.S")</f>
        <v>VIDA PRODUCE COMPANY / VPC COLOMBIA S.A.S</v>
      </c>
    </row>
    <row r="1155" spans="1:1" ht="12.75">
      <c r="A1155" s="3" t="str">
        <f ca="1">IFERROR(__xludf.DUMMYFUNCTION("""COMPUTED_VALUE"""),"VIDRIO ANDINO SAS")</f>
        <v>VIDRIO ANDINO SAS</v>
      </c>
    </row>
    <row r="1156" spans="1:1" ht="12.75">
      <c r="A1156" s="3" t="str">
        <f ca="1">IFERROR(__xludf.DUMMYFUNCTION("""COMPUTED_VALUE"""),"VIGIAS DE COLOMBIA SRL LTDA")</f>
        <v>VIGIAS DE COLOMBIA SRL LTDA</v>
      </c>
    </row>
    <row r="1157" spans="1:1" ht="12.75">
      <c r="A1157" s="3" t="str">
        <f ca="1">IFERROR(__xludf.DUMMYFUNCTION("""COMPUTED_VALUE"""),"VILLEGAS Y VILLEGAS IVEGAS S.A.S.")</f>
        <v>VILLEGAS Y VILLEGAS IVEGAS S.A.S.</v>
      </c>
    </row>
    <row r="1158" spans="1:1" ht="12.75">
      <c r="A1158" s="3" t="str">
        <f ca="1">IFERROR(__xludf.DUMMYFUNCTION("""COMPUTED_VALUE"""),"VITRO SA")</f>
        <v>VITRO SA</v>
      </c>
    </row>
    <row r="1159" spans="1:1" ht="12.75">
      <c r="A1159" s="3" t="str">
        <f ca="1">IFERROR(__xludf.DUMMYFUNCTION("""COMPUTED_VALUE"""),"VIVE CAFÉ .BIC. 
R&amp;D CAFES SAS")</f>
        <v>VIVE CAFÉ .BIC. 
R&amp;D CAFES SAS</v>
      </c>
    </row>
    <row r="1160" spans="1:1" ht="12.75">
      <c r="A1160" s="3" t="str">
        <f ca="1">IFERROR(__xludf.DUMMYFUNCTION("""COMPUTED_VALUE"""),"WALGO SAS")</f>
        <v>WALGO SAS</v>
      </c>
    </row>
    <row r="1161" spans="1:1" ht="12.75">
      <c r="A1161" s="3" t="str">
        <f ca="1">IFERROR(__xludf.DUMMYFUNCTION("""COMPUTED_VALUE"""),"WELLCOME RENTAS VACACIONALES SAS")</f>
        <v>WELLCOME RENTAS VACACIONALES SAS</v>
      </c>
    </row>
    <row r="1162" spans="1:1" ht="12.75">
      <c r="A1162" s="3" t="str">
        <f ca="1">IFERROR(__xludf.DUMMYFUNCTION("""COMPUTED_VALUE"""),"WEXLER SAS")</f>
        <v>WEXLER SAS</v>
      </c>
    </row>
    <row r="1163" spans="1:1" ht="12.75">
      <c r="A1163" s="3" t="str">
        <f ca="1">IFERROR(__xludf.DUMMYFUNCTION("""COMPUTED_VALUE"""),"WILLIS TOWERS WATSON COLOMBIA CORREDORES DE SEGUROS SA")</f>
        <v>WILLIS TOWERS WATSON COLOMBIA CORREDORES DE SEGUROS SA</v>
      </c>
    </row>
    <row r="1164" spans="1:1" ht="12.75">
      <c r="A1164" s="3" t="str">
        <f ca="1">IFERROR(__xludf.DUMMYFUNCTION("""COMPUTED_VALUE"""),"WT Y CIA S.A.S.")</f>
        <v>WT Y CIA S.A.S.</v>
      </c>
    </row>
    <row r="1165" spans="1:1" ht="12.75">
      <c r="A1165" s="3" t="str">
        <f ca="1">IFERROR(__xludf.DUMMYFUNCTION("""COMPUTED_VALUE"""),"XENITAL SAS")</f>
        <v>XENITAL SAS</v>
      </c>
    </row>
    <row r="1166" spans="1:1" ht="12.75">
      <c r="A1166" s="3" t="str">
        <f ca="1">IFERROR(__xludf.DUMMYFUNCTION("""COMPUTED_VALUE"""),"YDN INFRAESTRUCTURA SAS")</f>
        <v>YDN INFRAESTRUCTURA SAS</v>
      </c>
    </row>
    <row r="1167" spans="1:1" ht="12.75">
      <c r="A1167" s="3" t="str">
        <f ca="1">IFERROR(__xludf.DUMMYFUNCTION("""COMPUTED_VALUE"""),"XTREME RECREATION PERILLA SAS
CONSTRUCCIONES E INVERSIONES EL IMPERIO SAS")</f>
        <v>XTREME RECREATION PERILLA SAS
CONSTRUCCIONES E INVERSIONES EL IMPERIO SAS</v>
      </c>
    </row>
    <row r="1168" spans="1:1" ht="12.75">
      <c r="A1168" s="3" t="str">
        <f ca="1">IFERROR(__xludf.DUMMYFUNCTION("""COMPUTED_VALUE"""),"YANHAAS SAS")</f>
        <v>YANHAAS SAS</v>
      </c>
    </row>
    <row r="1169" spans="1:1" ht="12.75">
      <c r="A1169" s="3" t="str">
        <f ca="1">IFERROR(__xludf.DUMMYFUNCTION("""COMPUTED_VALUE"""),"YUNEX TRAFFIC")</f>
        <v>YUNEX TRAFFIC</v>
      </c>
    </row>
    <row r="1170" spans="1:1" ht="12.75">
      <c r="A1170" s="3"/>
    </row>
    <row r="1171" spans="1:1" ht="12.75">
      <c r="A1171" s="3"/>
    </row>
    <row r="1172" spans="1:1" ht="12.75">
      <c r="A1172" s="3"/>
    </row>
    <row r="1173" spans="1:1" ht="12.75">
      <c r="A1173" s="3"/>
    </row>
    <row r="1174" spans="1:1" ht="12.75">
      <c r="A1174" s="3"/>
    </row>
    <row r="1175" spans="1:1" ht="12.75">
      <c r="A1175" s="3"/>
    </row>
    <row r="1176" spans="1:1" ht="12.75">
      <c r="A1176" s="3"/>
    </row>
    <row r="1177" spans="1:1" ht="12.75">
      <c r="A1177" s="3"/>
    </row>
    <row r="1178" spans="1:1" ht="12.75">
      <c r="A1178" s="3"/>
    </row>
    <row r="1179" spans="1:1" ht="12.75">
      <c r="A1179" s="3"/>
    </row>
    <row r="1180" spans="1:1" ht="12.75">
      <c r="A1180" s="3"/>
    </row>
    <row r="1181" spans="1:1" ht="12.75">
      <c r="A1181" s="3"/>
    </row>
    <row r="1182" spans="1:1" ht="12.75">
      <c r="A1182" s="3"/>
    </row>
    <row r="1183" spans="1:1" ht="12.75">
      <c r="A1183" s="3"/>
    </row>
    <row r="1184" spans="1:1" ht="12.75">
      <c r="A1184" s="3"/>
    </row>
    <row r="1185" spans="1:1" ht="12.75">
      <c r="A1185" s="3"/>
    </row>
    <row r="1186" spans="1:1" ht="12.75">
      <c r="A1186" s="3"/>
    </row>
    <row r="1187" spans="1:1" ht="12.75">
      <c r="A1187" s="3"/>
    </row>
    <row r="1188" spans="1:1" ht="12.75">
      <c r="A1188" s="3"/>
    </row>
    <row r="1189" spans="1:1" ht="12.75">
      <c r="A1189" s="3"/>
    </row>
    <row r="1190" spans="1:1" ht="12.75">
      <c r="A1190" s="3"/>
    </row>
    <row r="1191" spans="1:1" ht="12.75">
      <c r="A1191" s="3"/>
    </row>
    <row r="1192" spans="1:1" ht="12.75">
      <c r="A1192" s="3"/>
    </row>
    <row r="1193" spans="1:1" ht="12.75">
      <c r="A1193" s="3"/>
    </row>
    <row r="1194" spans="1:1" ht="12.75">
      <c r="A1194" s="3"/>
    </row>
    <row r="1195" spans="1:1" ht="12.75">
      <c r="A1195" s="3"/>
    </row>
    <row r="1196" spans="1:1" ht="12.75">
      <c r="A1196" s="3"/>
    </row>
    <row r="1197" spans="1:1" ht="12.75">
      <c r="A1197" s="3"/>
    </row>
    <row r="1198" spans="1:1" ht="12.75">
      <c r="A1198" s="3"/>
    </row>
  </sheetData>
  <mergeCells count="15">
    <mergeCell ref="AA1:AD1"/>
    <mergeCell ref="AE1:AH1"/>
    <mergeCell ref="AI1:AL1"/>
    <mergeCell ref="AM1:AP1"/>
    <mergeCell ref="AR1:AT1"/>
    <mergeCell ref="B75:D75"/>
    <mergeCell ref="B76:D76"/>
    <mergeCell ref="B77:D77"/>
    <mergeCell ref="S1:V1"/>
    <mergeCell ref="W1:Z1"/>
    <mergeCell ref="AR2:AT2"/>
    <mergeCell ref="AR3:AT3"/>
    <mergeCell ref="AR4:AT4"/>
    <mergeCell ref="AR5:AT5"/>
    <mergeCell ref="AR6:AT6"/>
  </mergeCells>
  <hyperlinks>
    <hyperlink ref="A156" r:id="rId1" display="http://falabella.com/" xr:uid="{00000000-0004-0000-0000-000000000000}"/>
    <hyperlink ref="A160" r:id="rId2" display="http://falabella.com/" xr:uid="{00000000-0004-0000-0000-000001000000}"/>
    <hyperlink ref="A704" r:id="rId3" display="http://falabella.com/" xr:uid="{00000000-0004-0000-0000-000002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S164"/>
  <sheetViews>
    <sheetView showGridLines="0" tabSelected="1" topLeftCell="A152" workbookViewId="0">
      <selection activeCell="L153" sqref="L153:S153"/>
    </sheetView>
  </sheetViews>
  <sheetFormatPr baseColWidth="10" defaultColWidth="12.5703125" defaultRowHeight="15.75" customHeight="1"/>
  <cols>
    <col min="1" max="1" width="7.85546875" customWidth="1"/>
    <col min="2" max="2" width="5" customWidth="1"/>
    <col min="3" max="3" width="3.5703125" customWidth="1"/>
    <col min="4" max="4" width="6.140625" customWidth="1"/>
    <col min="5" max="5" width="4.7109375" customWidth="1"/>
    <col min="6" max="6" width="6.140625" customWidth="1"/>
    <col min="7" max="7" width="12.7109375" customWidth="1"/>
    <col min="8" max="8" width="6.5703125" customWidth="1"/>
    <col min="9" max="9" width="7.140625" customWidth="1"/>
    <col min="10" max="10" width="14.140625" customWidth="1"/>
    <col min="11" max="11" width="7.85546875" customWidth="1"/>
    <col min="12" max="12" width="18.5703125" customWidth="1"/>
    <col min="13" max="13" width="3.5703125" customWidth="1"/>
    <col min="14" max="14" width="6.5703125" customWidth="1"/>
    <col min="15" max="15" width="6.42578125" customWidth="1"/>
    <col min="16" max="16" width="10.42578125" customWidth="1"/>
    <col min="17" max="17" width="5.5703125" customWidth="1"/>
    <col min="18" max="18" width="10.28515625" customWidth="1"/>
    <col min="19" max="19" width="14" customWidth="1"/>
  </cols>
  <sheetData>
    <row r="1" spans="1:19" s="42" customFormat="1" ht="12.75">
      <c r="A1" s="56"/>
      <c r="B1" s="57"/>
      <c r="C1" s="57"/>
      <c r="D1" s="57"/>
      <c r="E1" s="57"/>
      <c r="F1" s="57"/>
      <c r="G1" s="58"/>
      <c r="H1" s="101" t="s">
        <v>161</v>
      </c>
      <c r="I1" s="57"/>
      <c r="J1" s="57"/>
      <c r="K1" s="57"/>
      <c r="L1" s="57"/>
      <c r="M1" s="57"/>
      <c r="N1" s="57"/>
      <c r="O1" s="57"/>
      <c r="P1" s="57"/>
      <c r="Q1" s="58"/>
      <c r="R1" s="41" t="s">
        <v>162</v>
      </c>
      <c r="S1" s="43" t="s">
        <v>163</v>
      </c>
    </row>
    <row r="2" spans="1:19" s="42" customFormat="1" ht="12.75">
      <c r="A2" s="98"/>
      <c r="B2" s="99"/>
      <c r="C2" s="99"/>
      <c r="D2" s="99"/>
      <c r="E2" s="99"/>
      <c r="F2" s="99"/>
      <c r="G2" s="100"/>
      <c r="H2" s="98"/>
      <c r="I2" s="99"/>
      <c r="J2" s="99"/>
      <c r="K2" s="99"/>
      <c r="L2" s="99"/>
      <c r="M2" s="99"/>
      <c r="N2" s="99"/>
      <c r="O2" s="99"/>
      <c r="P2" s="99"/>
      <c r="Q2" s="100"/>
      <c r="R2" s="41" t="s">
        <v>164</v>
      </c>
      <c r="S2" s="43" t="s">
        <v>157</v>
      </c>
    </row>
    <row r="3" spans="1:19" s="42" customFormat="1" ht="13.5" customHeight="1">
      <c r="A3" s="98"/>
      <c r="B3" s="99"/>
      <c r="C3" s="99"/>
      <c r="D3" s="99"/>
      <c r="E3" s="99"/>
      <c r="F3" s="99"/>
      <c r="G3" s="100"/>
      <c r="H3" s="98"/>
      <c r="I3" s="99"/>
      <c r="J3" s="99"/>
      <c r="K3" s="99"/>
      <c r="L3" s="99"/>
      <c r="M3" s="99"/>
      <c r="N3" s="99"/>
      <c r="O3" s="99"/>
      <c r="P3" s="99"/>
      <c r="Q3" s="100"/>
      <c r="R3" s="41" t="s">
        <v>141</v>
      </c>
      <c r="S3" s="44">
        <v>45320</v>
      </c>
    </row>
    <row r="4" spans="1:19" s="42" customFormat="1" ht="17.25" customHeight="1">
      <c r="A4" s="59"/>
      <c r="B4" s="60"/>
      <c r="C4" s="60"/>
      <c r="D4" s="60"/>
      <c r="E4" s="60"/>
      <c r="F4" s="60"/>
      <c r="G4" s="61"/>
      <c r="H4" s="59"/>
      <c r="I4" s="60"/>
      <c r="J4" s="60"/>
      <c r="K4" s="60"/>
      <c r="L4" s="60"/>
      <c r="M4" s="60"/>
      <c r="N4" s="60"/>
      <c r="O4" s="60"/>
      <c r="P4" s="60"/>
      <c r="Q4" s="61"/>
      <c r="R4" s="102" t="s">
        <v>142</v>
      </c>
      <c r="S4" s="55"/>
    </row>
    <row r="5" spans="1:19" s="42" customFormat="1" ht="51" customHeight="1">
      <c r="A5" s="49" t="s">
        <v>165</v>
      </c>
      <c r="B5" s="105"/>
      <c r="C5" s="105"/>
      <c r="D5" s="105"/>
      <c r="E5" s="105"/>
      <c r="F5" s="105"/>
      <c r="G5" s="105"/>
      <c r="H5" s="105"/>
      <c r="I5" s="105"/>
      <c r="J5" s="105"/>
      <c r="K5" s="105"/>
      <c r="L5" s="105"/>
      <c r="M5" s="105"/>
      <c r="N5" s="105"/>
      <c r="O5" s="105"/>
      <c r="P5" s="105"/>
      <c r="Q5" s="105"/>
      <c r="R5" s="105"/>
      <c r="S5" s="106"/>
    </row>
    <row r="6" spans="1:19" s="42" customFormat="1" ht="24" customHeight="1">
      <c r="A6" s="103" t="s">
        <v>166</v>
      </c>
      <c r="B6" s="47"/>
      <c r="C6" s="47"/>
      <c r="D6" s="47"/>
      <c r="E6" s="47"/>
      <c r="F6" s="47"/>
      <c r="G6" s="47"/>
      <c r="H6" s="47"/>
      <c r="I6" s="47"/>
      <c r="J6" s="47"/>
      <c r="K6" s="47"/>
      <c r="L6" s="47"/>
      <c r="M6" s="47"/>
      <c r="N6" s="47"/>
      <c r="O6" s="47"/>
      <c r="P6" s="47"/>
      <c r="Q6" s="47"/>
      <c r="R6" s="47"/>
      <c r="S6" s="55"/>
    </row>
    <row r="7" spans="1:19" s="42" customFormat="1" ht="22.5" customHeight="1">
      <c r="A7" s="90" t="s">
        <v>143</v>
      </c>
      <c r="B7" s="60"/>
      <c r="C7" s="60"/>
      <c r="D7" s="60"/>
      <c r="E7" s="60"/>
      <c r="F7" s="104"/>
      <c r="G7" s="87"/>
      <c r="H7" s="87"/>
      <c r="I7" s="87"/>
      <c r="J7" s="87"/>
      <c r="K7" s="88"/>
      <c r="L7" s="82" t="s">
        <v>144</v>
      </c>
      <c r="M7" s="48"/>
      <c r="N7" s="46"/>
      <c r="O7" s="87"/>
      <c r="P7" s="87"/>
      <c r="Q7" s="87"/>
      <c r="R7" s="87"/>
      <c r="S7" s="89"/>
    </row>
    <row r="8" spans="1:19" s="42" customFormat="1" ht="22.5" customHeight="1">
      <c r="A8" s="90" t="s">
        <v>145</v>
      </c>
      <c r="B8" s="60"/>
      <c r="C8" s="60"/>
      <c r="D8" s="60"/>
      <c r="E8" s="60"/>
      <c r="F8" s="46"/>
      <c r="G8" s="87"/>
      <c r="H8" s="87"/>
      <c r="I8" s="87"/>
      <c r="J8" s="87"/>
      <c r="K8" s="88"/>
      <c r="L8" s="82" t="s">
        <v>146</v>
      </c>
      <c r="M8" s="48"/>
      <c r="N8" s="86"/>
      <c r="O8" s="87"/>
      <c r="P8" s="87"/>
      <c r="Q8" s="87"/>
      <c r="R8" s="87"/>
      <c r="S8" s="89"/>
    </row>
    <row r="9" spans="1:19" s="42" customFormat="1" ht="22.5" customHeight="1">
      <c r="A9" s="90" t="s">
        <v>147</v>
      </c>
      <c r="B9" s="60"/>
      <c r="C9" s="60"/>
      <c r="D9" s="60"/>
      <c r="E9" s="60"/>
      <c r="F9" s="86"/>
      <c r="G9" s="87"/>
      <c r="H9" s="87"/>
      <c r="I9" s="87"/>
      <c r="J9" s="87"/>
      <c r="K9" s="88"/>
      <c r="L9" s="82" t="s">
        <v>148</v>
      </c>
      <c r="M9" s="48"/>
      <c r="N9" s="86"/>
      <c r="O9" s="87"/>
      <c r="P9" s="87"/>
      <c r="Q9" s="87"/>
      <c r="R9" s="87"/>
      <c r="S9" s="89"/>
    </row>
    <row r="10" spans="1:19" s="42" customFormat="1" ht="22.5" customHeight="1">
      <c r="A10" s="90" t="s">
        <v>149</v>
      </c>
      <c r="B10" s="60"/>
      <c r="C10" s="60"/>
      <c r="D10" s="60"/>
      <c r="E10" s="60"/>
      <c r="F10" s="86"/>
      <c r="G10" s="87"/>
      <c r="H10" s="87"/>
      <c r="I10" s="87"/>
      <c r="J10" s="87"/>
      <c r="K10" s="88"/>
      <c r="L10" s="82" t="s">
        <v>150</v>
      </c>
      <c r="M10" s="48"/>
      <c r="N10" s="86"/>
      <c r="O10" s="87"/>
      <c r="P10" s="87"/>
      <c r="Q10" s="87"/>
      <c r="R10" s="87"/>
      <c r="S10" s="89"/>
    </row>
    <row r="11" spans="1:19" s="42" customFormat="1" ht="37.5" customHeight="1">
      <c r="A11" s="90" t="s">
        <v>167</v>
      </c>
      <c r="B11" s="60"/>
      <c r="C11" s="60"/>
      <c r="D11" s="60"/>
      <c r="E11" s="60"/>
      <c r="F11" s="86"/>
      <c r="G11" s="87"/>
      <c r="H11" s="87"/>
      <c r="I11" s="87"/>
      <c r="J11" s="87"/>
      <c r="K11" s="88"/>
      <c r="L11" s="97" t="s">
        <v>151</v>
      </c>
      <c r="M11" s="48"/>
      <c r="N11" s="86"/>
      <c r="O11" s="87"/>
      <c r="P11" s="87"/>
      <c r="Q11" s="87"/>
      <c r="R11" s="87"/>
      <c r="S11" s="89"/>
    </row>
    <row r="12" spans="1:19" s="42" customFormat="1" ht="37.5" customHeight="1">
      <c r="A12" s="85" t="s">
        <v>152</v>
      </c>
      <c r="B12" s="47"/>
      <c r="C12" s="47"/>
      <c r="D12" s="47"/>
      <c r="E12" s="47"/>
      <c r="F12" s="86"/>
      <c r="G12" s="87"/>
      <c r="H12" s="87"/>
      <c r="I12" s="87"/>
      <c r="J12" s="87"/>
      <c r="K12" s="88"/>
      <c r="L12" s="82" t="s">
        <v>153</v>
      </c>
      <c r="M12" s="48"/>
      <c r="N12" s="86"/>
      <c r="O12" s="87"/>
      <c r="P12" s="87"/>
      <c r="Q12" s="87"/>
      <c r="R12" s="87"/>
      <c r="S12" s="89"/>
    </row>
    <row r="13" spans="1:19" s="42" customFormat="1" ht="37.5" customHeight="1">
      <c r="A13" s="90" t="s">
        <v>158</v>
      </c>
      <c r="B13" s="60"/>
      <c r="C13" s="60"/>
      <c r="D13" s="60"/>
      <c r="E13" s="60"/>
      <c r="F13" s="86"/>
      <c r="G13" s="87"/>
      <c r="H13" s="87"/>
      <c r="I13" s="87"/>
      <c r="J13" s="87"/>
      <c r="K13" s="88"/>
      <c r="L13" s="82" t="s">
        <v>154</v>
      </c>
      <c r="M13" s="48"/>
      <c r="N13" s="86"/>
      <c r="O13" s="87"/>
      <c r="P13" s="87"/>
      <c r="Q13" s="87"/>
      <c r="R13" s="87"/>
      <c r="S13" s="89"/>
    </row>
    <row r="14" spans="1:19" s="42" customFormat="1" ht="12.75">
      <c r="A14" s="91" t="s">
        <v>168</v>
      </c>
      <c r="B14" s="57"/>
      <c r="C14" s="57"/>
      <c r="D14" s="57"/>
      <c r="E14" s="57"/>
      <c r="F14" s="57"/>
      <c r="G14" s="57"/>
      <c r="H14" s="57"/>
      <c r="I14" s="57"/>
      <c r="J14" s="57"/>
      <c r="K14" s="57"/>
      <c r="L14" s="57"/>
      <c r="M14" s="57"/>
      <c r="N14" s="57"/>
      <c r="O14" s="57"/>
      <c r="P14" s="57"/>
      <c r="Q14" s="57"/>
      <c r="R14" s="57"/>
      <c r="S14" s="62"/>
    </row>
    <row r="15" spans="1:19" s="42" customFormat="1" ht="22.5" customHeight="1">
      <c r="A15" s="46" t="s">
        <v>169</v>
      </c>
      <c r="B15" s="92"/>
      <c r="C15" s="92"/>
      <c r="D15" s="92"/>
      <c r="E15" s="92"/>
      <c r="F15" s="92"/>
      <c r="G15" s="92"/>
      <c r="H15" s="93"/>
      <c r="I15" s="46"/>
      <c r="J15" s="47"/>
      <c r="K15" s="47"/>
      <c r="L15" s="47"/>
      <c r="M15" s="47"/>
      <c r="N15" s="47"/>
      <c r="O15" s="47"/>
      <c r="P15" s="47"/>
      <c r="Q15" s="47"/>
      <c r="R15" s="47"/>
      <c r="S15" s="55"/>
    </row>
    <row r="16" spans="1:19" s="42" customFormat="1" ht="22.5" customHeight="1">
      <c r="A16" s="46" t="s">
        <v>170</v>
      </c>
      <c r="B16" s="92"/>
      <c r="C16" s="92"/>
      <c r="D16" s="92"/>
      <c r="E16" s="92"/>
      <c r="F16" s="92"/>
      <c r="G16" s="92"/>
      <c r="H16" s="93"/>
      <c r="I16" s="94"/>
      <c r="J16" s="47"/>
      <c r="K16" s="47"/>
      <c r="L16" s="47"/>
      <c r="M16" s="47"/>
      <c r="N16" s="47"/>
      <c r="O16" s="47"/>
      <c r="P16" s="47"/>
      <c r="Q16" s="47"/>
      <c r="R16" s="47"/>
      <c r="S16" s="55"/>
    </row>
    <row r="17" spans="1:19" s="42" customFormat="1" ht="22.5" customHeight="1">
      <c r="A17" s="107" t="s">
        <v>171</v>
      </c>
      <c r="B17" s="108"/>
      <c r="C17" s="108"/>
      <c r="D17" s="108"/>
      <c r="E17" s="108"/>
      <c r="F17" s="108"/>
      <c r="G17" s="108"/>
      <c r="H17" s="109"/>
      <c r="I17" s="95"/>
      <c r="J17" s="60"/>
      <c r="K17" s="60"/>
      <c r="L17" s="60"/>
      <c r="M17" s="60"/>
      <c r="N17" s="60"/>
      <c r="O17" s="60"/>
      <c r="P17" s="60"/>
      <c r="Q17" s="60"/>
      <c r="R17" s="60"/>
      <c r="S17" s="63"/>
    </row>
    <row r="18" spans="1:19" s="42" customFormat="1" ht="22.5" customHeight="1">
      <c r="A18" s="46" t="s">
        <v>172</v>
      </c>
      <c r="B18" s="92"/>
      <c r="C18" s="92"/>
      <c r="D18" s="92"/>
      <c r="E18" s="92"/>
      <c r="F18" s="92"/>
      <c r="G18" s="92"/>
      <c r="H18" s="93"/>
      <c r="I18" s="94"/>
      <c r="J18" s="47"/>
      <c r="K18" s="47"/>
      <c r="L18" s="47"/>
      <c r="M18" s="47"/>
      <c r="N18" s="47"/>
      <c r="O18" s="47"/>
      <c r="P18" s="47"/>
      <c r="Q18" s="47"/>
      <c r="R18" s="47"/>
      <c r="S18" s="55"/>
    </row>
    <row r="19" spans="1:19" s="42" customFormat="1" ht="22.5" customHeight="1">
      <c r="A19" s="46" t="s">
        <v>173</v>
      </c>
      <c r="B19" s="92"/>
      <c r="C19" s="92"/>
      <c r="D19" s="92"/>
      <c r="E19" s="92"/>
      <c r="F19" s="92"/>
      <c r="G19" s="92"/>
      <c r="H19" s="93"/>
      <c r="I19" s="94"/>
      <c r="J19" s="47"/>
      <c r="K19" s="47"/>
      <c r="L19" s="47"/>
      <c r="M19" s="47"/>
      <c r="N19" s="47"/>
      <c r="O19" s="47"/>
      <c r="P19" s="47"/>
      <c r="Q19" s="47"/>
      <c r="R19" s="47"/>
      <c r="S19" s="55"/>
    </row>
    <row r="20" spans="1:19" s="42" customFormat="1" ht="22.5" customHeight="1">
      <c r="A20" s="46" t="s">
        <v>174</v>
      </c>
      <c r="B20" s="92"/>
      <c r="C20" s="92"/>
      <c r="D20" s="92"/>
      <c r="E20" s="92"/>
      <c r="F20" s="92"/>
      <c r="G20" s="92"/>
      <c r="H20" s="93"/>
      <c r="I20" s="94"/>
      <c r="J20" s="47"/>
      <c r="K20" s="47"/>
      <c r="L20" s="47"/>
      <c r="M20" s="47"/>
      <c r="N20" s="47"/>
      <c r="O20" s="47"/>
      <c r="P20" s="47"/>
      <c r="Q20" s="47"/>
      <c r="R20" s="47"/>
      <c r="S20" s="55"/>
    </row>
    <row r="21" spans="1:19" s="42" customFormat="1" ht="22.5" customHeight="1">
      <c r="A21" s="46" t="s">
        <v>175</v>
      </c>
      <c r="B21" s="92"/>
      <c r="C21" s="92"/>
      <c r="D21" s="92"/>
      <c r="E21" s="92"/>
      <c r="F21" s="92"/>
      <c r="G21" s="92"/>
      <c r="H21" s="93"/>
      <c r="I21" s="94"/>
      <c r="J21" s="47"/>
      <c r="K21" s="47"/>
      <c r="L21" s="47"/>
      <c r="M21" s="47"/>
      <c r="N21" s="47"/>
      <c r="O21" s="47"/>
      <c r="P21" s="47"/>
      <c r="Q21" s="47"/>
      <c r="R21" s="47"/>
      <c r="S21" s="55"/>
    </row>
    <row r="22" spans="1:19" s="42" customFormat="1" ht="22.5" customHeight="1">
      <c r="A22" s="46" t="s">
        <v>176</v>
      </c>
      <c r="B22" s="92"/>
      <c r="C22" s="92"/>
      <c r="D22" s="92"/>
      <c r="E22" s="92"/>
      <c r="F22" s="92"/>
      <c r="G22" s="92"/>
      <c r="H22" s="93"/>
      <c r="I22" s="111"/>
      <c r="J22" s="47"/>
      <c r="K22" s="47"/>
      <c r="L22" s="47"/>
      <c r="M22" s="47"/>
      <c r="N22" s="47"/>
      <c r="O22" s="47"/>
      <c r="P22" s="47"/>
      <c r="Q22" s="47"/>
      <c r="R22" s="47"/>
      <c r="S22" s="55"/>
    </row>
    <row r="23" spans="1:19" s="42" customFormat="1" ht="22.5" customHeight="1">
      <c r="A23" s="46" t="s">
        <v>177</v>
      </c>
      <c r="B23" s="92"/>
      <c r="C23" s="92"/>
      <c r="D23" s="92"/>
      <c r="E23" s="92"/>
      <c r="F23" s="92"/>
      <c r="G23" s="92"/>
      <c r="H23" s="93"/>
      <c r="I23" s="111"/>
      <c r="J23" s="47"/>
      <c r="K23" s="47"/>
      <c r="L23" s="47"/>
      <c r="M23" s="47"/>
      <c r="N23" s="47"/>
      <c r="O23" s="47"/>
      <c r="P23" s="47"/>
      <c r="Q23" s="47"/>
      <c r="R23" s="47"/>
      <c r="S23" s="55"/>
    </row>
    <row r="24" spans="1:19" s="42" customFormat="1" ht="22.5" customHeight="1">
      <c r="A24" s="82" t="s">
        <v>178</v>
      </c>
      <c r="B24" s="92"/>
      <c r="C24" s="92"/>
      <c r="D24" s="92"/>
      <c r="E24" s="92"/>
      <c r="F24" s="92"/>
      <c r="G24" s="92"/>
      <c r="H24" s="93"/>
      <c r="I24" s="111"/>
      <c r="J24" s="47"/>
      <c r="K24" s="47"/>
      <c r="L24" s="47"/>
      <c r="M24" s="47"/>
      <c r="N24" s="47"/>
      <c r="O24" s="47"/>
      <c r="P24" s="47"/>
      <c r="Q24" s="47"/>
      <c r="R24" s="47"/>
      <c r="S24" s="55"/>
    </row>
    <row r="25" spans="1:19" s="42" customFormat="1" ht="22.5" customHeight="1">
      <c r="A25" s="46" t="s">
        <v>179</v>
      </c>
      <c r="B25" s="92"/>
      <c r="C25" s="92"/>
      <c r="D25" s="92"/>
      <c r="E25" s="92"/>
      <c r="F25" s="92"/>
      <c r="G25" s="92"/>
      <c r="H25" s="93"/>
      <c r="I25" s="94"/>
      <c r="J25" s="47"/>
      <c r="K25" s="47"/>
      <c r="L25" s="47"/>
      <c r="M25" s="47"/>
      <c r="N25" s="47"/>
      <c r="O25" s="47"/>
      <c r="P25" s="47"/>
      <c r="Q25" s="47"/>
      <c r="R25" s="47"/>
      <c r="S25" s="55"/>
    </row>
    <row r="26" spans="1:19" s="42" customFormat="1" ht="22.5" customHeight="1">
      <c r="A26" s="46" t="s">
        <v>180</v>
      </c>
      <c r="B26" s="92"/>
      <c r="C26" s="92"/>
      <c r="D26" s="92"/>
      <c r="E26" s="92"/>
      <c r="F26" s="92"/>
      <c r="G26" s="92"/>
      <c r="H26" s="93"/>
      <c r="I26" s="96"/>
      <c r="J26" s="47"/>
      <c r="K26" s="47"/>
      <c r="L26" s="47"/>
      <c r="M26" s="47"/>
      <c r="N26" s="47"/>
      <c r="O26" s="47"/>
      <c r="P26" s="47"/>
      <c r="Q26" s="47"/>
      <c r="R26" s="47"/>
      <c r="S26" s="55"/>
    </row>
    <row r="27" spans="1:19" s="42" customFormat="1" ht="22.5" customHeight="1">
      <c r="A27" s="49" t="s">
        <v>181</v>
      </c>
      <c r="B27" s="92"/>
      <c r="C27" s="92"/>
      <c r="D27" s="92"/>
      <c r="E27" s="92"/>
      <c r="F27" s="92"/>
      <c r="G27" s="92"/>
      <c r="H27" s="93"/>
      <c r="I27" s="110"/>
      <c r="J27" s="47"/>
      <c r="K27" s="47"/>
      <c r="L27" s="47"/>
      <c r="M27" s="47"/>
      <c r="N27" s="47"/>
      <c r="O27" s="47"/>
      <c r="P27" s="47"/>
      <c r="Q27" s="47"/>
      <c r="R27" s="47"/>
      <c r="S27" s="55"/>
    </row>
    <row r="28" spans="1:19" s="42" customFormat="1" ht="54.75" customHeight="1">
      <c r="A28" s="49" t="s">
        <v>182</v>
      </c>
      <c r="B28" s="92"/>
      <c r="C28" s="92"/>
      <c r="D28" s="92"/>
      <c r="E28" s="92"/>
      <c r="F28" s="92"/>
      <c r="G28" s="92"/>
      <c r="H28" s="93"/>
      <c r="I28" s="110"/>
      <c r="J28" s="47"/>
      <c r="K28" s="47"/>
      <c r="L28" s="47"/>
      <c r="M28" s="47"/>
      <c r="N28" s="47"/>
      <c r="O28" s="47"/>
      <c r="P28" s="47"/>
      <c r="Q28" s="47"/>
      <c r="R28" s="47"/>
      <c r="S28" s="55"/>
    </row>
    <row r="29" spans="1:19" s="42" customFormat="1" ht="31.5">
      <c r="A29" s="46" t="s">
        <v>183</v>
      </c>
      <c r="B29" s="92"/>
      <c r="C29" s="92"/>
      <c r="D29" s="92"/>
      <c r="E29" s="92"/>
      <c r="F29" s="92"/>
      <c r="G29" s="92"/>
      <c r="H29" s="92"/>
      <c r="I29" s="82" t="s">
        <v>184</v>
      </c>
      <c r="J29" s="47"/>
      <c r="K29" s="47"/>
      <c r="L29" s="40" t="s">
        <v>185</v>
      </c>
      <c r="M29" s="96"/>
      <c r="N29" s="47"/>
      <c r="O29" s="47"/>
      <c r="P29" s="47"/>
      <c r="Q29" s="47"/>
      <c r="R29" s="47"/>
      <c r="S29" s="55"/>
    </row>
    <row r="30" spans="1:19" s="42" customFormat="1" ht="20.25" customHeight="1">
      <c r="A30" s="68" t="s">
        <v>186</v>
      </c>
      <c r="B30" s="112"/>
      <c r="C30" s="112"/>
      <c r="D30" s="112"/>
      <c r="E30" s="112"/>
      <c r="F30" s="112"/>
      <c r="G30" s="112"/>
      <c r="H30" s="112"/>
      <c r="I30" s="46" t="str">
        <f ca="1">IFERROR(__xludf.DUMMYFUNCTION("IF($I$17=""Administrativo."",QUERY(caracterizacion!B2:B5),IF($I$17=""Operativo."",QUERY(caracterizacion!D2:D5),IF(I17=""Servicios."",QUERY(caracterizacion!F2:F5),"" "")))"),"Servicio al cliente.")</f>
        <v>Servicio al cliente.</v>
      </c>
      <c r="J30" s="47"/>
      <c r="K30" s="48"/>
      <c r="L30" s="94" t="str">
        <f ca="1">IFERROR(__xludf.DUMMYFUNCTION("IF($I$17=""Administrativo."",QUERY(caracterizacion!C2:C5),IF($I$17=""Operativo."",QUERY(caracterizacion!E2:E5),IF($I$17=""Servicios."",QUERY(caracterizacion!G2:G5),"" "")))"),"Paciencia.")</f>
        <v>Paciencia.</v>
      </c>
      <c r="M30" s="47"/>
      <c r="N30" s="47"/>
      <c r="O30" s="47"/>
      <c r="P30" s="47"/>
      <c r="Q30" s="47"/>
      <c r="R30" s="47"/>
      <c r="S30" s="55"/>
    </row>
    <row r="31" spans="1:19" s="42" customFormat="1" ht="20.25" customHeight="1">
      <c r="A31" s="113"/>
      <c r="B31" s="114"/>
      <c r="C31" s="114"/>
      <c r="D31" s="114"/>
      <c r="E31" s="114"/>
      <c r="F31" s="114"/>
      <c r="G31" s="114"/>
      <c r="H31" s="114"/>
      <c r="I31" s="49" t="str">
        <f ca="1">IFERROR(__xludf.DUMMYFUNCTION("""COMPUTED_VALUE"""),"Comunicación efectiva.")</f>
        <v>Comunicación efectiva.</v>
      </c>
      <c r="J31" s="47"/>
      <c r="K31" s="48"/>
      <c r="L31" s="49" t="str">
        <f ca="1">IFERROR(__xludf.DUMMYFUNCTION("""COMPUTED_VALUE"""),"Empatía.")</f>
        <v>Empatía.</v>
      </c>
      <c r="M31" s="47"/>
      <c r="N31" s="47"/>
      <c r="O31" s="47"/>
      <c r="P31" s="47"/>
      <c r="Q31" s="47"/>
      <c r="R31" s="47"/>
      <c r="S31" s="55"/>
    </row>
    <row r="32" spans="1:19" s="42" customFormat="1" ht="20.25" customHeight="1">
      <c r="A32" s="113"/>
      <c r="B32" s="114"/>
      <c r="C32" s="114"/>
      <c r="D32" s="114"/>
      <c r="E32" s="114"/>
      <c r="F32" s="114"/>
      <c r="G32" s="114"/>
      <c r="H32" s="114"/>
      <c r="I32" s="49" t="str">
        <f ca="1">IFERROR(__xludf.DUMMYFUNCTION("""COMPUTED_VALUE"""),"Resolución de problemas.")</f>
        <v>Resolución de problemas.</v>
      </c>
      <c r="J32" s="47"/>
      <c r="K32" s="48"/>
      <c r="L32" s="49" t="str">
        <f ca="1">IFERROR(__xludf.DUMMYFUNCTION("""COMPUTED_VALUE"""),"Responsabilidad.")</f>
        <v>Responsabilidad.</v>
      </c>
      <c r="M32" s="47"/>
      <c r="N32" s="47"/>
      <c r="O32" s="47"/>
      <c r="P32" s="47"/>
      <c r="Q32" s="47"/>
      <c r="R32" s="47"/>
      <c r="S32" s="55"/>
    </row>
    <row r="33" spans="1:19" s="42" customFormat="1" ht="20.25" customHeight="1">
      <c r="A33" s="115"/>
      <c r="B33" s="108"/>
      <c r="C33" s="108"/>
      <c r="D33" s="108"/>
      <c r="E33" s="108"/>
      <c r="F33" s="108"/>
      <c r="G33" s="108"/>
      <c r="H33" s="108"/>
      <c r="I33" s="49" t="str">
        <f ca="1">IFERROR(__xludf.DUMMYFUNCTION("""COMPUTED_VALUE"""),"Trabajo en equipo.")</f>
        <v>Trabajo en equipo.</v>
      </c>
      <c r="J33" s="47"/>
      <c r="K33" s="48"/>
      <c r="L33" s="49" t="str">
        <f ca="1">IFERROR(__xludf.DUMMYFUNCTION("""COMPUTED_VALUE"""),"Proactividad.")</f>
        <v>Proactividad.</v>
      </c>
      <c r="M33" s="47"/>
      <c r="N33" s="47"/>
      <c r="O33" s="47"/>
      <c r="P33" s="47"/>
      <c r="Q33" s="47"/>
      <c r="R33" s="47"/>
      <c r="S33" s="55"/>
    </row>
    <row r="34" spans="1:19" s="42" customFormat="1" ht="12.75" customHeight="1">
      <c r="A34" s="82"/>
      <c r="B34" s="47"/>
      <c r="C34" s="47"/>
      <c r="D34" s="47"/>
      <c r="E34" s="47"/>
      <c r="F34" s="47"/>
      <c r="G34" s="47"/>
      <c r="H34" s="47"/>
      <c r="I34" s="47"/>
      <c r="J34" s="47"/>
      <c r="K34" s="47"/>
      <c r="L34" s="47"/>
      <c r="M34" s="47"/>
      <c r="N34" s="47"/>
      <c r="O34" s="47"/>
      <c r="P34" s="47"/>
      <c r="Q34" s="47"/>
      <c r="R34" s="47"/>
      <c r="S34" s="55"/>
    </row>
    <row r="35" spans="1:19" s="42" customFormat="1" ht="19.5" customHeight="1">
      <c r="A35" s="76" t="s">
        <v>187</v>
      </c>
      <c r="B35" s="47"/>
      <c r="C35" s="47"/>
      <c r="D35" s="47"/>
      <c r="E35" s="47"/>
      <c r="F35" s="47"/>
      <c r="G35" s="47"/>
      <c r="H35" s="47"/>
      <c r="I35" s="47"/>
      <c r="J35" s="47"/>
      <c r="K35" s="47"/>
      <c r="L35" s="47"/>
      <c r="M35" s="47"/>
      <c r="N35" s="47"/>
      <c r="O35" s="47"/>
      <c r="P35" s="47"/>
      <c r="Q35" s="47"/>
      <c r="R35" s="47"/>
      <c r="S35" s="55"/>
    </row>
    <row r="36" spans="1:19" s="42" customFormat="1" ht="23.25" customHeight="1">
      <c r="A36" s="120" t="s">
        <v>188</v>
      </c>
      <c r="B36" s="47"/>
      <c r="C36" s="47"/>
      <c r="D36" s="47"/>
      <c r="E36" s="47"/>
      <c r="F36" s="48"/>
      <c r="G36" s="122" t="b">
        <v>0</v>
      </c>
      <c r="H36" s="117"/>
      <c r="I36" s="82" t="s">
        <v>189</v>
      </c>
      <c r="J36" s="47"/>
      <c r="K36" s="47"/>
      <c r="L36" s="119" t="b">
        <v>0</v>
      </c>
      <c r="M36" s="117"/>
      <c r="N36" s="120" t="s">
        <v>190</v>
      </c>
      <c r="O36" s="47"/>
      <c r="P36" s="47"/>
      <c r="Q36" s="48"/>
      <c r="R36" s="116" t="b">
        <v>0</v>
      </c>
      <c r="S36" s="121"/>
    </row>
    <row r="37" spans="1:19" s="42" customFormat="1" ht="23.25" customHeight="1">
      <c r="A37" s="82" t="s">
        <v>191</v>
      </c>
      <c r="B37" s="47"/>
      <c r="C37" s="47"/>
      <c r="D37" s="47"/>
      <c r="E37" s="47"/>
      <c r="F37" s="48"/>
      <c r="G37" s="116" t="b">
        <v>0</v>
      </c>
      <c r="H37" s="117"/>
      <c r="I37" s="118" t="s">
        <v>192</v>
      </c>
      <c r="J37" s="47"/>
      <c r="K37" s="47"/>
      <c r="L37" s="119" t="b">
        <v>0</v>
      </c>
      <c r="M37" s="117"/>
      <c r="N37" s="120" t="s">
        <v>193</v>
      </c>
      <c r="O37" s="47"/>
      <c r="P37" s="47"/>
      <c r="Q37" s="48"/>
      <c r="R37" s="116" t="b">
        <v>0</v>
      </c>
      <c r="S37" s="121"/>
    </row>
    <row r="38" spans="1:19" s="42" customFormat="1" ht="14.25" customHeight="1">
      <c r="A38" s="82"/>
      <c r="B38" s="47"/>
      <c r="C38" s="47"/>
      <c r="D38" s="47"/>
      <c r="E38" s="47"/>
      <c r="F38" s="47"/>
      <c r="G38" s="47"/>
      <c r="H38" s="47"/>
      <c r="I38" s="47"/>
      <c r="J38" s="47"/>
      <c r="K38" s="47"/>
      <c r="L38" s="47"/>
      <c r="M38" s="47"/>
      <c r="N38" s="47"/>
      <c r="O38" s="47"/>
      <c r="P38" s="47"/>
      <c r="Q38" s="47"/>
      <c r="R38" s="47"/>
      <c r="S38" s="55"/>
    </row>
    <row r="39" spans="1:19" s="42" customFormat="1" ht="25.5" customHeight="1">
      <c r="A39" s="120" t="s">
        <v>194</v>
      </c>
      <c r="B39" s="47"/>
      <c r="C39" s="47"/>
      <c r="D39" s="47"/>
      <c r="E39" s="47"/>
      <c r="F39" s="47"/>
      <c r="G39" s="47"/>
      <c r="H39" s="48"/>
      <c r="I39" s="96"/>
      <c r="J39" s="47"/>
      <c r="K39" s="47"/>
      <c r="L39" s="47"/>
      <c r="M39" s="47"/>
      <c r="N39" s="47"/>
      <c r="O39" s="47"/>
      <c r="P39" s="47"/>
      <c r="Q39" s="47"/>
      <c r="R39" s="47"/>
      <c r="S39" s="55"/>
    </row>
    <row r="40" spans="1:19" s="42" customFormat="1" ht="25.5" customHeight="1">
      <c r="A40" s="85" t="s">
        <v>195</v>
      </c>
      <c r="B40" s="47"/>
      <c r="C40" s="47"/>
      <c r="D40" s="47"/>
      <c r="E40" s="47"/>
      <c r="F40" s="47"/>
      <c r="G40" s="47"/>
      <c r="H40" s="48"/>
      <c r="I40" s="96"/>
      <c r="J40" s="47"/>
      <c r="K40" s="47"/>
      <c r="L40" s="47"/>
      <c r="M40" s="47"/>
      <c r="N40" s="47"/>
      <c r="O40" s="47"/>
      <c r="P40" s="47"/>
      <c r="Q40" s="47"/>
      <c r="R40" s="47"/>
      <c r="S40" s="55"/>
    </row>
    <row r="41" spans="1:19" s="42" customFormat="1" ht="15">
      <c r="A41" s="64"/>
      <c r="B41" s="47"/>
      <c r="C41" s="47"/>
      <c r="D41" s="47"/>
      <c r="E41" s="47"/>
      <c r="F41" s="47"/>
      <c r="G41" s="47"/>
      <c r="H41" s="47"/>
      <c r="I41" s="47"/>
      <c r="J41" s="47"/>
      <c r="K41" s="47"/>
      <c r="L41" s="47"/>
      <c r="M41" s="47"/>
      <c r="N41" s="47"/>
      <c r="O41" s="47"/>
      <c r="P41" s="47"/>
      <c r="Q41" s="47"/>
      <c r="R41" s="47"/>
      <c r="S41" s="55"/>
    </row>
    <row r="42" spans="1:19" s="42" customFormat="1" ht="15">
      <c r="A42" s="46" t="s">
        <v>196</v>
      </c>
      <c r="B42" s="47"/>
      <c r="C42" s="47"/>
      <c r="D42" s="47"/>
      <c r="E42" s="47"/>
      <c r="F42" s="47"/>
      <c r="G42" s="47"/>
      <c r="H42" s="48"/>
      <c r="I42" s="46"/>
      <c r="J42" s="47"/>
      <c r="K42" s="47"/>
      <c r="L42" s="47"/>
      <c r="M42" s="47"/>
      <c r="N42" s="47"/>
      <c r="O42" s="47"/>
      <c r="P42" s="47"/>
      <c r="Q42" s="47"/>
      <c r="R42" s="47"/>
      <c r="S42" s="55"/>
    </row>
    <row r="43" spans="1:19" s="42" customFormat="1" ht="15">
      <c r="A43" s="46" t="s">
        <v>197</v>
      </c>
      <c r="B43" s="47"/>
      <c r="C43" s="47"/>
      <c r="D43" s="47"/>
      <c r="E43" s="47"/>
      <c r="F43" s="47"/>
      <c r="G43" s="47"/>
      <c r="H43" s="48"/>
      <c r="I43" s="46"/>
      <c r="J43" s="47"/>
      <c r="K43" s="47"/>
      <c r="L43" s="47"/>
      <c r="M43" s="47"/>
      <c r="N43" s="47"/>
      <c r="O43" s="47"/>
      <c r="P43" s="47"/>
      <c r="Q43" s="47"/>
      <c r="R43" s="47"/>
      <c r="S43" s="55"/>
    </row>
    <row r="44" spans="1:19" s="42" customFormat="1" ht="15">
      <c r="A44" s="46" t="s">
        <v>198</v>
      </c>
      <c r="B44" s="47"/>
      <c r="C44" s="47"/>
      <c r="D44" s="47"/>
      <c r="E44" s="47"/>
      <c r="F44" s="47"/>
      <c r="G44" s="47"/>
      <c r="H44" s="48"/>
      <c r="I44" s="46"/>
      <c r="J44" s="47"/>
      <c r="K44" s="47"/>
      <c r="L44" s="47"/>
      <c r="M44" s="47"/>
      <c r="N44" s="47"/>
      <c r="O44" s="47"/>
      <c r="P44" s="47"/>
      <c r="Q44" s="47"/>
      <c r="R44" s="47"/>
      <c r="S44" s="55"/>
    </row>
    <row r="45" spans="1:19" s="42" customFormat="1" ht="15">
      <c r="A45" s="82" t="s">
        <v>199</v>
      </c>
      <c r="B45" s="47"/>
      <c r="C45" s="47"/>
      <c r="D45" s="47"/>
      <c r="E45" s="47"/>
      <c r="F45" s="47"/>
      <c r="G45" s="47"/>
      <c r="H45" s="47"/>
      <c r="I45" s="46"/>
      <c r="J45" s="47"/>
      <c r="K45" s="47"/>
      <c r="L45" s="47"/>
      <c r="M45" s="47"/>
      <c r="N45" s="47"/>
      <c r="O45" s="47"/>
      <c r="P45" s="47"/>
      <c r="Q45" s="47"/>
      <c r="R45" s="47"/>
      <c r="S45" s="55"/>
    </row>
    <row r="46" spans="1:19" s="42" customFormat="1" ht="15">
      <c r="A46" s="82" t="s">
        <v>200</v>
      </c>
      <c r="B46" s="47"/>
      <c r="C46" s="47"/>
      <c r="D46" s="47"/>
      <c r="E46" s="47"/>
      <c r="F46" s="47"/>
      <c r="G46" s="47"/>
      <c r="H46" s="47"/>
      <c r="I46" s="46"/>
      <c r="J46" s="47"/>
      <c r="K46" s="47"/>
      <c r="L46" s="47"/>
      <c r="M46" s="47"/>
      <c r="N46" s="47"/>
      <c r="O46" s="47"/>
      <c r="P46" s="47"/>
      <c r="Q46" s="47"/>
      <c r="R46" s="47"/>
      <c r="S46" s="55"/>
    </row>
    <row r="47" spans="1:19" s="42" customFormat="1" ht="15">
      <c r="A47" s="82" t="s">
        <v>201</v>
      </c>
      <c r="B47" s="47"/>
      <c r="C47" s="47"/>
      <c r="D47" s="47"/>
      <c r="E47" s="47"/>
      <c r="F47" s="47"/>
      <c r="G47" s="47"/>
      <c r="H47" s="47"/>
      <c r="I47" s="46"/>
      <c r="J47" s="47"/>
      <c r="K47" s="47"/>
      <c r="L47" s="47"/>
      <c r="M47" s="47"/>
      <c r="N47" s="47"/>
      <c r="O47" s="47"/>
      <c r="P47" s="47"/>
      <c r="Q47" s="47"/>
      <c r="R47" s="47"/>
      <c r="S47" s="55"/>
    </row>
    <row r="48" spans="1:19" s="42" customFormat="1" ht="15">
      <c r="A48" s="85" t="s">
        <v>202</v>
      </c>
      <c r="B48" s="47"/>
      <c r="C48" s="47"/>
      <c r="D48" s="47"/>
      <c r="E48" s="47"/>
      <c r="F48" s="47"/>
      <c r="G48" s="47"/>
      <c r="H48" s="47"/>
      <c r="I48" s="49"/>
      <c r="J48" s="47"/>
      <c r="K48" s="47"/>
      <c r="L48" s="47"/>
      <c r="M48" s="47"/>
      <c r="N48" s="47"/>
      <c r="O48" s="47"/>
      <c r="P48" s="47"/>
      <c r="Q48" s="47"/>
      <c r="R48" s="47"/>
      <c r="S48" s="55"/>
    </row>
    <row r="49" spans="1:19" s="42" customFormat="1" ht="15">
      <c r="A49" s="82" t="s">
        <v>203</v>
      </c>
      <c r="B49" s="47"/>
      <c r="C49" s="47"/>
      <c r="D49" s="47"/>
      <c r="E49" s="47"/>
      <c r="F49" s="47"/>
      <c r="G49" s="47"/>
      <c r="H49" s="47"/>
      <c r="I49" s="46"/>
      <c r="J49" s="47"/>
      <c r="K49" s="47"/>
      <c r="L49" s="47"/>
      <c r="M49" s="47"/>
      <c r="N49" s="47"/>
      <c r="O49" s="47"/>
      <c r="P49" s="47"/>
      <c r="Q49" s="47"/>
      <c r="R49" s="47"/>
      <c r="S49" s="55"/>
    </row>
    <row r="50" spans="1:19" s="42" customFormat="1" ht="15">
      <c r="A50" s="49" t="s">
        <v>204</v>
      </c>
      <c r="B50" s="47"/>
      <c r="C50" s="47"/>
      <c r="D50" s="47"/>
      <c r="E50" s="47"/>
      <c r="F50" s="47"/>
      <c r="G50" s="47"/>
      <c r="H50" s="47"/>
      <c r="I50" s="49"/>
      <c r="J50" s="47"/>
      <c r="K50" s="47"/>
      <c r="L50" s="47"/>
      <c r="M50" s="47"/>
      <c r="N50" s="47"/>
      <c r="O50" s="47"/>
      <c r="P50" s="47"/>
      <c r="Q50" s="47"/>
      <c r="R50" s="47"/>
      <c r="S50" s="55"/>
    </row>
    <row r="51" spans="1:19" s="42" customFormat="1" ht="20.25" customHeight="1">
      <c r="A51" s="82"/>
      <c r="B51" s="47"/>
      <c r="C51" s="47"/>
      <c r="D51" s="47"/>
      <c r="E51" s="47"/>
      <c r="F51" s="47"/>
      <c r="G51" s="47"/>
      <c r="H51" s="47"/>
      <c r="I51" s="47"/>
      <c r="J51" s="47"/>
      <c r="K51" s="47"/>
      <c r="L51" s="47"/>
      <c r="M51" s="47"/>
      <c r="N51" s="47"/>
      <c r="O51" s="47"/>
      <c r="P51" s="47"/>
      <c r="Q51" s="47"/>
      <c r="R51" s="47"/>
      <c r="S51" s="55"/>
    </row>
    <row r="52" spans="1:19" s="42" customFormat="1" ht="12.75">
      <c r="A52" s="49" t="s">
        <v>205</v>
      </c>
      <c r="B52" s="47"/>
      <c r="C52" s="47"/>
      <c r="D52" s="47"/>
      <c r="E52" s="47"/>
      <c r="F52" s="47"/>
      <c r="G52" s="47"/>
      <c r="H52" s="47"/>
      <c r="I52" s="47"/>
      <c r="J52" s="47"/>
      <c r="K52" s="47"/>
      <c r="L52" s="47"/>
      <c r="M52" s="47"/>
      <c r="N52" s="47"/>
      <c r="O52" s="47"/>
      <c r="P52" s="47"/>
      <c r="Q52" s="47"/>
      <c r="R52" s="47"/>
      <c r="S52" s="55"/>
    </row>
    <row r="53" spans="1:19" s="42" customFormat="1" ht="21" customHeight="1">
      <c r="A53" s="123"/>
      <c r="B53" s="57"/>
      <c r="C53" s="57"/>
      <c r="D53" s="57"/>
      <c r="E53" s="57"/>
      <c r="F53" s="57"/>
      <c r="G53" s="57"/>
      <c r="H53" s="57"/>
      <c r="I53" s="57"/>
      <c r="J53" s="57"/>
      <c r="K53" s="57"/>
      <c r="L53" s="57"/>
      <c r="M53" s="57"/>
      <c r="N53" s="57"/>
      <c r="O53" s="57"/>
      <c r="P53" s="57"/>
      <c r="Q53" s="57"/>
      <c r="R53" s="57"/>
      <c r="S53" s="62"/>
    </row>
    <row r="54" spans="1:19" s="42" customFormat="1" ht="21" customHeight="1">
      <c r="A54" s="98"/>
      <c r="B54" s="99"/>
      <c r="C54" s="99"/>
      <c r="D54" s="99"/>
      <c r="E54" s="99"/>
      <c r="F54" s="99"/>
      <c r="G54" s="99"/>
      <c r="H54" s="99"/>
      <c r="I54" s="99"/>
      <c r="J54" s="99"/>
      <c r="K54" s="99"/>
      <c r="L54" s="99"/>
      <c r="M54" s="99"/>
      <c r="N54" s="99"/>
      <c r="O54" s="99"/>
      <c r="P54" s="99"/>
      <c r="Q54" s="99"/>
      <c r="R54" s="99"/>
      <c r="S54" s="124"/>
    </row>
    <row r="55" spans="1:19" s="42" customFormat="1" ht="21" customHeight="1">
      <c r="A55" s="98"/>
      <c r="B55" s="99"/>
      <c r="C55" s="99"/>
      <c r="D55" s="99"/>
      <c r="E55" s="99"/>
      <c r="F55" s="99"/>
      <c r="G55" s="99"/>
      <c r="H55" s="99"/>
      <c r="I55" s="99"/>
      <c r="J55" s="99"/>
      <c r="K55" s="99"/>
      <c r="L55" s="99"/>
      <c r="M55" s="99"/>
      <c r="N55" s="99"/>
      <c r="O55" s="99"/>
      <c r="P55" s="99"/>
      <c r="Q55" s="99"/>
      <c r="R55" s="99"/>
      <c r="S55" s="124"/>
    </row>
    <row r="56" spans="1:19" s="42" customFormat="1" ht="21" customHeight="1">
      <c r="A56" s="59"/>
      <c r="B56" s="60"/>
      <c r="C56" s="60"/>
      <c r="D56" s="60"/>
      <c r="E56" s="60"/>
      <c r="F56" s="60"/>
      <c r="G56" s="60"/>
      <c r="H56" s="60"/>
      <c r="I56" s="60"/>
      <c r="J56" s="60"/>
      <c r="K56" s="60"/>
      <c r="L56" s="60"/>
      <c r="M56" s="60"/>
      <c r="N56" s="60"/>
      <c r="O56" s="60"/>
      <c r="P56" s="60"/>
      <c r="Q56" s="60"/>
      <c r="R56" s="60"/>
      <c r="S56" s="63"/>
    </row>
    <row r="57" spans="1:19" s="42" customFormat="1" ht="17.25" customHeight="1">
      <c r="A57" s="85"/>
      <c r="B57" s="47"/>
      <c r="C57" s="47"/>
      <c r="D57" s="47"/>
      <c r="E57" s="47"/>
      <c r="F57" s="47"/>
      <c r="G57" s="47"/>
      <c r="H57" s="47"/>
      <c r="I57" s="47"/>
      <c r="J57" s="47"/>
      <c r="K57" s="47"/>
      <c r="L57" s="47"/>
      <c r="M57" s="47"/>
      <c r="N57" s="47"/>
      <c r="O57" s="47"/>
      <c r="P57" s="47"/>
      <c r="Q57" s="47"/>
      <c r="R57" s="47"/>
      <c r="S57" s="55"/>
    </row>
    <row r="58" spans="1:19" s="42" customFormat="1" ht="12.75">
      <c r="A58" s="49" t="s">
        <v>206</v>
      </c>
      <c r="B58" s="47"/>
      <c r="C58" s="47"/>
      <c r="D58" s="47"/>
      <c r="E58" s="47"/>
      <c r="F58" s="47"/>
      <c r="G58" s="47"/>
      <c r="H58" s="47"/>
      <c r="I58" s="47"/>
      <c r="J58" s="47"/>
      <c r="K58" s="47"/>
      <c r="L58" s="47"/>
      <c r="M58" s="47"/>
      <c r="N58" s="47"/>
      <c r="O58" s="47"/>
      <c r="P58" s="47"/>
      <c r="Q58" s="47"/>
      <c r="R58" s="47"/>
      <c r="S58" s="55"/>
    </row>
    <row r="59" spans="1:19" s="42" customFormat="1" ht="46.5" customHeight="1">
      <c r="A59" s="82"/>
      <c r="B59" s="47"/>
      <c r="C59" s="47"/>
      <c r="D59" s="47"/>
      <c r="E59" s="47"/>
      <c r="F59" s="47"/>
      <c r="G59" s="47"/>
      <c r="H59" s="47"/>
      <c r="I59" s="47"/>
      <c r="J59" s="47"/>
      <c r="K59" s="47"/>
      <c r="L59" s="47"/>
      <c r="M59" s="47"/>
      <c r="N59" s="47"/>
      <c r="O59" s="47"/>
      <c r="P59" s="47"/>
      <c r="Q59" s="47"/>
      <c r="R59" s="47"/>
      <c r="S59" s="55"/>
    </row>
    <row r="60" spans="1:19" s="42" customFormat="1" ht="12.75">
      <c r="A60" s="125"/>
      <c r="B60" s="47"/>
      <c r="C60" s="47"/>
      <c r="D60" s="47"/>
      <c r="E60" s="47"/>
      <c r="F60" s="47"/>
      <c r="G60" s="47"/>
      <c r="H60" s="47"/>
      <c r="I60" s="47"/>
      <c r="J60" s="47"/>
      <c r="K60" s="47"/>
      <c r="L60" s="47"/>
      <c r="M60" s="47"/>
      <c r="N60" s="47"/>
      <c r="O60" s="47"/>
      <c r="P60" s="47"/>
      <c r="Q60" s="47"/>
      <c r="R60" s="47"/>
      <c r="S60" s="55"/>
    </row>
    <row r="61" spans="1:19" s="42" customFormat="1" ht="12.75">
      <c r="A61" s="76" t="s">
        <v>207</v>
      </c>
      <c r="B61" s="47"/>
      <c r="C61" s="47"/>
      <c r="D61" s="47"/>
      <c r="E61" s="47"/>
      <c r="F61" s="47"/>
      <c r="G61" s="47"/>
      <c r="H61" s="47"/>
      <c r="I61" s="47"/>
      <c r="J61" s="47"/>
      <c r="K61" s="47"/>
      <c r="L61" s="47"/>
      <c r="M61" s="47"/>
      <c r="N61" s="47"/>
      <c r="O61" s="47"/>
      <c r="P61" s="47"/>
      <c r="Q61" s="47"/>
      <c r="R61" s="47"/>
      <c r="S61" s="55"/>
    </row>
    <row r="62" spans="1:19" s="42" customFormat="1" ht="12.75">
      <c r="A62" s="56" t="s">
        <v>208</v>
      </c>
      <c r="B62" s="57"/>
      <c r="C62" s="57"/>
      <c r="D62" s="57"/>
      <c r="E62" s="57"/>
      <c r="F62" s="57"/>
      <c r="G62" s="57"/>
      <c r="H62" s="57"/>
      <c r="I62" s="57"/>
      <c r="J62" s="57"/>
      <c r="K62" s="58"/>
      <c r="L62" s="126" t="s">
        <v>209</v>
      </c>
      <c r="M62" s="57"/>
      <c r="N62" s="57"/>
      <c r="O62" s="57"/>
      <c r="P62" s="57"/>
      <c r="Q62" s="57"/>
      <c r="R62" s="57"/>
      <c r="S62" s="62"/>
    </row>
    <row r="63" spans="1:19" s="42" customFormat="1" ht="17.25" customHeight="1">
      <c r="A63" s="59"/>
      <c r="B63" s="60"/>
      <c r="C63" s="60"/>
      <c r="D63" s="60"/>
      <c r="E63" s="60"/>
      <c r="F63" s="60"/>
      <c r="G63" s="60"/>
      <c r="H63" s="60"/>
      <c r="I63" s="60"/>
      <c r="J63" s="60"/>
      <c r="K63" s="61"/>
      <c r="L63" s="60"/>
      <c r="M63" s="60"/>
      <c r="N63" s="60"/>
      <c r="O63" s="60"/>
      <c r="P63" s="60"/>
      <c r="Q63" s="60"/>
      <c r="R63" s="60"/>
      <c r="S63" s="63"/>
    </row>
    <row r="64" spans="1:19" s="42" customFormat="1" ht="17.25" customHeight="1">
      <c r="A64" s="46" t="s">
        <v>210</v>
      </c>
      <c r="B64" s="47"/>
      <c r="C64" s="47"/>
      <c r="D64" s="47"/>
      <c r="E64" s="47"/>
      <c r="F64" s="47"/>
      <c r="G64" s="47"/>
      <c r="H64" s="47"/>
      <c r="I64" s="47"/>
      <c r="J64" s="47"/>
      <c r="K64" s="48"/>
      <c r="L64" s="64"/>
      <c r="M64" s="65"/>
      <c r="N64" s="65"/>
      <c r="O64" s="65"/>
      <c r="P64" s="65"/>
      <c r="Q64" s="65"/>
      <c r="R64" s="65"/>
      <c r="S64" s="66"/>
    </row>
    <row r="65" spans="1:19" s="42" customFormat="1" ht="17.25" customHeight="1">
      <c r="A65" s="46" t="s">
        <v>211</v>
      </c>
      <c r="B65" s="47"/>
      <c r="C65" s="47"/>
      <c r="D65" s="47"/>
      <c r="E65" s="47"/>
      <c r="F65" s="47"/>
      <c r="G65" s="47"/>
      <c r="H65" s="47"/>
      <c r="I65" s="47"/>
      <c r="J65" s="47"/>
      <c r="K65" s="48"/>
      <c r="L65" s="64"/>
      <c r="M65" s="65"/>
      <c r="N65" s="65"/>
      <c r="O65" s="65"/>
      <c r="P65" s="65"/>
      <c r="Q65" s="65"/>
      <c r="R65" s="65"/>
      <c r="S65" s="66"/>
    </row>
    <row r="66" spans="1:19" s="42" customFormat="1" ht="17.25" customHeight="1">
      <c r="A66" s="46" t="s">
        <v>212</v>
      </c>
      <c r="B66" s="47"/>
      <c r="C66" s="47"/>
      <c r="D66" s="47"/>
      <c r="E66" s="47"/>
      <c r="F66" s="47"/>
      <c r="G66" s="47"/>
      <c r="H66" s="47"/>
      <c r="I66" s="47"/>
      <c r="J66" s="47"/>
      <c r="K66" s="48"/>
      <c r="L66" s="64"/>
      <c r="M66" s="65"/>
      <c r="N66" s="65"/>
      <c r="O66" s="65"/>
      <c r="P66" s="65"/>
      <c r="Q66" s="65"/>
      <c r="R66" s="65"/>
      <c r="S66" s="66"/>
    </row>
    <row r="67" spans="1:19" s="42" customFormat="1" ht="17.25" customHeight="1">
      <c r="A67" s="46" t="s">
        <v>213</v>
      </c>
      <c r="B67" s="47"/>
      <c r="C67" s="47"/>
      <c r="D67" s="47"/>
      <c r="E67" s="47"/>
      <c r="F67" s="47"/>
      <c r="G67" s="47"/>
      <c r="H67" s="47"/>
      <c r="I67" s="47"/>
      <c r="J67" s="47"/>
      <c r="K67" s="48"/>
      <c r="L67" s="64"/>
      <c r="M67" s="65"/>
      <c r="N67" s="65"/>
      <c r="O67" s="65"/>
      <c r="P67" s="65"/>
      <c r="Q67" s="65"/>
      <c r="R67" s="65"/>
      <c r="S67" s="66"/>
    </row>
    <row r="68" spans="1:19" s="42" customFormat="1" ht="17.25" customHeight="1">
      <c r="A68" s="46" t="s">
        <v>214</v>
      </c>
      <c r="B68" s="47"/>
      <c r="C68" s="47"/>
      <c r="D68" s="47"/>
      <c r="E68" s="47"/>
      <c r="F68" s="47"/>
      <c r="G68" s="47"/>
      <c r="H68" s="47"/>
      <c r="I68" s="47"/>
      <c r="J68" s="47"/>
      <c r="K68" s="48"/>
      <c r="L68" s="64"/>
      <c r="M68" s="65"/>
      <c r="N68" s="65"/>
      <c r="O68" s="65"/>
      <c r="P68" s="65"/>
      <c r="Q68" s="65"/>
      <c r="R68" s="65"/>
      <c r="S68" s="66"/>
    </row>
    <row r="69" spans="1:19" s="42" customFormat="1" ht="17.25" customHeight="1">
      <c r="A69" s="46" t="s">
        <v>215</v>
      </c>
      <c r="B69" s="47"/>
      <c r="C69" s="47"/>
      <c r="D69" s="47"/>
      <c r="E69" s="47"/>
      <c r="F69" s="47"/>
      <c r="G69" s="47"/>
      <c r="H69" s="47"/>
      <c r="I69" s="47"/>
      <c r="J69" s="47"/>
      <c r="K69" s="48"/>
      <c r="L69" s="64"/>
      <c r="M69" s="65"/>
      <c r="N69" s="65"/>
      <c r="O69" s="65"/>
      <c r="P69" s="65"/>
      <c r="Q69" s="65"/>
      <c r="R69" s="65"/>
      <c r="S69" s="66"/>
    </row>
    <row r="70" spans="1:19" s="42" customFormat="1" ht="17.25" customHeight="1">
      <c r="A70" s="46" t="s">
        <v>216</v>
      </c>
      <c r="B70" s="47"/>
      <c r="C70" s="47"/>
      <c r="D70" s="47"/>
      <c r="E70" s="47"/>
      <c r="F70" s="47"/>
      <c r="G70" s="47"/>
      <c r="H70" s="47"/>
      <c r="I70" s="47"/>
      <c r="J70" s="47"/>
      <c r="K70" s="48"/>
      <c r="L70" s="64"/>
      <c r="M70" s="65"/>
      <c r="N70" s="65"/>
      <c r="O70" s="65"/>
      <c r="P70" s="65"/>
      <c r="Q70" s="65"/>
      <c r="R70" s="65"/>
      <c r="S70" s="66"/>
    </row>
    <row r="71" spans="1:19" s="42" customFormat="1" ht="17.25" customHeight="1">
      <c r="A71" s="46" t="s">
        <v>217</v>
      </c>
      <c r="B71" s="47"/>
      <c r="C71" s="47"/>
      <c r="D71" s="47"/>
      <c r="E71" s="47"/>
      <c r="F71" s="47"/>
      <c r="G71" s="47"/>
      <c r="H71" s="47"/>
      <c r="I71" s="47"/>
      <c r="J71" s="47"/>
      <c r="K71" s="48"/>
      <c r="L71" s="64"/>
      <c r="M71" s="65"/>
      <c r="N71" s="65"/>
      <c r="O71" s="65"/>
      <c r="P71" s="65"/>
      <c r="Q71" s="65"/>
      <c r="R71" s="65"/>
      <c r="S71" s="66"/>
    </row>
    <row r="72" spans="1:19" s="42" customFormat="1" ht="17.25" customHeight="1">
      <c r="A72" s="46" t="s">
        <v>218</v>
      </c>
      <c r="B72" s="47"/>
      <c r="C72" s="47"/>
      <c r="D72" s="47"/>
      <c r="E72" s="47"/>
      <c r="F72" s="47"/>
      <c r="G72" s="47"/>
      <c r="H72" s="47"/>
      <c r="I72" s="47"/>
      <c r="J72" s="47"/>
      <c r="K72" s="48"/>
      <c r="L72" s="64"/>
      <c r="M72" s="65"/>
      <c r="N72" s="65"/>
      <c r="O72" s="65"/>
      <c r="P72" s="65"/>
      <c r="Q72" s="65"/>
      <c r="R72" s="65"/>
      <c r="S72" s="66"/>
    </row>
    <row r="73" spans="1:19" s="42" customFormat="1" ht="17.25" customHeight="1">
      <c r="A73" s="46" t="s">
        <v>219</v>
      </c>
      <c r="B73" s="47"/>
      <c r="C73" s="47"/>
      <c r="D73" s="47"/>
      <c r="E73" s="47"/>
      <c r="F73" s="47"/>
      <c r="G73" s="47"/>
      <c r="H73" s="47"/>
      <c r="I73" s="47"/>
      <c r="J73" s="47"/>
      <c r="K73" s="48"/>
      <c r="L73" s="64"/>
      <c r="M73" s="65"/>
      <c r="N73" s="65"/>
      <c r="O73" s="65"/>
      <c r="P73" s="65"/>
      <c r="Q73" s="65"/>
      <c r="R73" s="65"/>
      <c r="S73" s="66"/>
    </row>
    <row r="74" spans="1:19" s="42" customFormat="1" ht="17.25" customHeight="1">
      <c r="A74" s="46" t="s">
        <v>220</v>
      </c>
      <c r="B74" s="47"/>
      <c r="C74" s="47"/>
      <c r="D74" s="47"/>
      <c r="E74" s="47"/>
      <c r="F74" s="47"/>
      <c r="G74" s="47"/>
      <c r="H74" s="47"/>
      <c r="I74" s="47"/>
      <c r="J74" s="47"/>
      <c r="K74" s="48"/>
      <c r="L74" s="64"/>
      <c r="M74" s="65"/>
      <c r="N74" s="65"/>
      <c r="O74" s="65"/>
      <c r="P74" s="65"/>
      <c r="Q74" s="65"/>
      <c r="R74" s="65"/>
      <c r="S74" s="66"/>
    </row>
    <row r="75" spans="1:19" s="42" customFormat="1" ht="17.25" customHeight="1">
      <c r="A75" s="46" t="s">
        <v>221</v>
      </c>
      <c r="B75" s="47"/>
      <c r="C75" s="47"/>
      <c r="D75" s="47"/>
      <c r="E75" s="47"/>
      <c r="F75" s="47"/>
      <c r="G75" s="47"/>
      <c r="H75" s="47"/>
      <c r="I75" s="47"/>
      <c r="J75" s="47"/>
      <c r="K75" s="48"/>
      <c r="L75" s="64"/>
      <c r="M75" s="65"/>
      <c r="N75" s="65"/>
      <c r="O75" s="65"/>
      <c r="P75" s="65"/>
      <c r="Q75" s="65"/>
      <c r="R75" s="65"/>
      <c r="S75" s="66"/>
    </row>
    <row r="76" spans="1:19" s="42" customFormat="1" ht="50.25" customHeight="1">
      <c r="A76" s="50" t="s">
        <v>222</v>
      </c>
      <c r="B76" s="47"/>
      <c r="C76" s="47"/>
      <c r="D76" s="47"/>
      <c r="E76" s="51"/>
      <c r="F76" s="52"/>
      <c r="G76" s="52"/>
      <c r="H76" s="52"/>
      <c r="I76" s="52"/>
      <c r="J76" s="52"/>
      <c r="K76" s="52"/>
      <c r="L76" s="52"/>
      <c r="M76" s="52"/>
      <c r="N76" s="52"/>
      <c r="O76" s="52"/>
      <c r="P76" s="52"/>
      <c r="Q76" s="52"/>
      <c r="R76" s="52"/>
      <c r="S76" s="53"/>
    </row>
    <row r="77" spans="1:19" s="42" customFormat="1" ht="17.25" customHeight="1">
      <c r="A77" s="132"/>
      <c r="B77" s="133"/>
      <c r="C77" s="133"/>
      <c r="D77" s="133"/>
      <c r="E77" s="133"/>
      <c r="F77" s="133"/>
      <c r="G77" s="133"/>
      <c r="H77" s="133"/>
      <c r="I77" s="133"/>
      <c r="J77" s="133"/>
      <c r="K77" s="133"/>
      <c r="L77" s="133"/>
      <c r="M77" s="133"/>
      <c r="N77" s="133"/>
      <c r="O77" s="133"/>
      <c r="P77" s="133"/>
      <c r="Q77" s="133"/>
      <c r="R77" s="133"/>
      <c r="S77" s="134"/>
    </row>
    <row r="78" spans="1:19" s="42" customFormat="1" ht="12.75">
      <c r="A78" s="56" t="s">
        <v>223</v>
      </c>
      <c r="B78" s="57"/>
      <c r="C78" s="57"/>
      <c r="D78" s="57"/>
      <c r="E78" s="57"/>
      <c r="F78" s="57"/>
      <c r="G78" s="57"/>
      <c r="H78" s="57"/>
      <c r="I78" s="57"/>
      <c r="J78" s="57"/>
      <c r="K78" s="57"/>
      <c r="L78" s="56" t="s">
        <v>209</v>
      </c>
      <c r="M78" s="57"/>
      <c r="N78" s="57"/>
      <c r="O78" s="57"/>
      <c r="P78" s="57"/>
      <c r="Q78" s="57"/>
      <c r="R78" s="57"/>
      <c r="S78" s="62"/>
    </row>
    <row r="79" spans="1:19" s="42" customFormat="1" ht="12.75">
      <c r="A79" s="98"/>
      <c r="B79" s="99"/>
      <c r="C79" s="99"/>
      <c r="D79" s="99"/>
      <c r="E79" s="99"/>
      <c r="F79" s="99"/>
      <c r="G79" s="99"/>
      <c r="H79" s="99"/>
      <c r="I79" s="99"/>
      <c r="J79" s="99"/>
      <c r="K79" s="99"/>
      <c r="L79" s="59"/>
      <c r="M79" s="60"/>
      <c r="N79" s="60"/>
      <c r="O79" s="60"/>
      <c r="P79" s="60"/>
      <c r="Q79" s="60"/>
      <c r="R79" s="60"/>
      <c r="S79" s="63"/>
    </row>
    <row r="80" spans="1:19" s="42" customFormat="1" ht="15">
      <c r="A80" s="46" t="s">
        <v>224</v>
      </c>
      <c r="B80" s="47"/>
      <c r="C80" s="47"/>
      <c r="D80" s="47"/>
      <c r="E80" s="47"/>
      <c r="F80" s="47"/>
      <c r="G80" s="47"/>
      <c r="H80" s="47"/>
      <c r="I80" s="47"/>
      <c r="J80" s="47"/>
      <c r="K80" s="48"/>
      <c r="L80" s="129"/>
      <c r="M80" s="130"/>
      <c r="N80" s="130"/>
      <c r="O80" s="130"/>
      <c r="P80" s="130"/>
      <c r="Q80" s="130"/>
      <c r="R80" s="130"/>
      <c r="S80" s="131"/>
    </row>
    <row r="81" spans="1:19" s="42" customFormat="1" ht="15">
      <c r="A81" s="46" t="s">
        <v>225</v>
      </c>
      <c r="B81" s="47"/>
      <c r="C81" s="47"/>
      <c r="D81" s="47"/>
      <c r="E81" s="47"/>
      <c r="F81" s="47"/>
      <c r="G81" s="47"/>
      <c r="H81" s="47"/>
      <c r="I81" s="47"/>
      <c r="J81" s="47"/>
      <c r="K81" s="48"/>
      <c r="L81" s="129"/>
      <c r="M81" s="130"/>
      <c r="N81" s="130"/>
      <c r="O81" s="130"/>
      <c r="P81" s="130"/>
      <c r="Q81" s="130"/>
      <c r="R81" s="130"/>
      <c r="S81" s="131"/>
    </row>
    <row r="82" spans="1:19" s="42" customFormat="1" ht="15">
      <c r="A82" s="46" t="s">
        <v>226</v>
      </c>
      <c r="B82" s="47"/>
      <c r="C82" s="47"/>
      <c r="D82" s="47"/>
      <c r="E82" s="47"/>
      <c r="F82" s="47"/>
      <c r="G82" s="47"/>
      <c r="H82" s="47"/>
      <c r="I82" s="47"/>
      <c r="J82" s="47"/>
      <c r="K82" s="48"/>
      <c r="L82" s="129"/>
      <c r="M82" s="130"/>
      <c r="N82" s="130"/>
      <c r="O82" s="130"/>
      <c r="P82" s="130"/>
      <c r="Q82" s="130"/>
      <c r="R82" s="130"/>
      <c r="S82" s="131"/>
    </row>
    <row r="83" spans="1:19" s="42" customFormat="1" ht="15">
      <c r="A83" s="46" t="s">
        <v>227</v>
      </c>
      <c r="B83" s="47"/>
      <c r="C83" s="47"/>
      <c r="D83" s="47"/>
      <c r="E83" s="47"/>
      <c r="F83" s="47"/>
      <c r="G83" s="47"/>
      <c r="H83" s="47"/>
      <c r="I83" s="47"/>
      <c r="J83" s="47"/>
      <c r="K83" s="48"/>
      <c r="L83" s="129"/>
      <c r="M83" s="130"/>
      <c r="N83" s="130"/>
      <c r="O83" s="130"/>
      <c r="P83" s="130"/>
      <c r="Q83" s="130"/>
      <c r="R83" s="130"/>
      <c r="S83" s="131"/>
    </row>
    <row r="84" spans="1:19" s="42" customFormat="1" ht="15">
      <c r="A84" s="46" t="s">
        <v>228</v>
      </c>
      <c r="B84" s="47"/>
      <c r="C84" s="47"/>
      <c r="D84" s="47"/>
      <c r="E84" s="47"/>
      <c r="F84" s="47"/>
      <c r="G84" s="47"/>
      <c r="H84" s="47"/>
      <c r="I84" s="47"/>
      <c r="J84" s="47"/>
      <c r="K84" s="48"/>
      <c r="L84" s="129"/>
      <c r="M84" s="130"/>
      <c r="N84" s="130"/>
      <c r="O84" s="130"/>
      <c r="P84" s="130"/>
      <c r="Q84" s="130"/>
      <c r="R84" s="130"/>
      <c r="S84" s="131"/>
    </row>
    <row r="85" spans="1:19" s="42" customFormat="1" ht="38.25" customHeight="1">
      <c r="A85" s="50" t="s">
        <v>222</v>
      </c>
      <c r="B85" s="47"/>
      <c r="C85" s="47"/>
      <c r="D85" s="47"/>
      <c r="E85" s="51"/>
      <c r="F85" s="52"/>
      <c r="G85" s="52"/>
      <c r="H85" s="52"/>
      <c r="I85" s="52"/>
      <c r="J85" s="52"/>
      <c r="K85" s="52"/>
      <c r="L85" s="52"/>
      <c r="M85" s="52"/>
      <c r="N85" s="52"/>
      <c r="O85" s="52"/>
      <c r="P85" s="52"/>
      <c r="Q85" s="52"/>
      <c r="R85" s="52"/>
      <c r="S85" s="53"/>
    </row>
    <row r="86" spans="1:19" s="42" customFormat="1" ht="15">
      <c r="A86" s="64"/>
      <c r="B86" s="47"/>
      <c r="C86" s="47"/>
      <c r="D86" s="47"/>
      <c r="E86" s="47"/>
      <c r="F86" s="47"/>
      <c r="G86" s="47"/>
      <c r="H86" s="47"/>
      <c r="I86" s="47"/>
      <c r="J86" s="47"/>
      <c r="K86" s="47"/>
      <c r="L86" s="47"/>
      <c r="M86" s="47"/>
      <c r="N86" s="47"/>
      <c r="O86" s="47"/>
      <c r="P86" s="47"/>
      <c r="Q86" s="47"/>
      <c r="R86" s="47"/>
      <c r="S86" s="55"/>
    </row>
    <row r="87" spans="1:19" s="42" customFormat="1" ht="12.75">
      <c r="A87" s="56" t="s">
        <v>229</v>
      </c>
      <c r="B87" s="57"/>
      <c r="C87" s="57"/>
      <c r="D87" s="57"/>
      <c r="E87" s="57"/>
      <c r="F87" s="57"/>
      <c r="G87" s="57"/>
      <c r="H87" s="57"/>
      <c r="I87" s="57"/>
      <c r="J87" s="57"/>
      <c r="K87" s="58"/>
      <c r="L87" s="56" t="s">
        <v>209</v>
      </c>
      <c r="M87" s="57"/>
      <c r="N87" s="57"/>
      <c r="O87" s="57"/>
      <c r="P87" s="57"/>
      <c r="Q87" s="57"/>
      <c r="R87" s="57"/>
      <c r="S87" s="62"/>
    </row>
    <row r="88" spans="1:19" s="42" customFormat="1" ht="12.75">
      <c r="A88" s="59"/>
      <c r="B88" s="60"/>
      <c r="C88" s="60"/>
      <c r="D88" s="60"/>
      <c r="E88" s="60"/>
      <c r="F88" s="60"/>
      <c r="G88" s="60"/>
      <c r="H88" s="60"/>
      <c r="I88" s="60"/>
      <c r="J88" s="60"/>
      <c r="K88" s="61"/>
      <c r="L88" s="59"/>
      <c r="M88" s="60"/>
      <c r="N88" s="60"/>
      <c r="O88" s="60"/>
      <c r="P88" s="60"/>
      <c r="Q88" s="60"/>
      <c r="R88" s="60"/>
      <c r="S88" s="63"/>
    </row>
    <row r="89" spans="1:19" s="42" customFormat="1" ht="15">
      <c r="A89" s="46" t="s">
        <v>230</v>
      </c>
      <c r="B89" s="47"/>
      <c r="C89" s="47"/>
      <c r="D89" s="47"/>
      <c r="E89" s="47"/>
      <c r="F89" s="47"/>
      <c r="G89" s="47"/>
      <c r="H89" s="47"/>
      <c r="I89" s="47"/>
      <c r="J89" s="47"/>
      <c r="K89" s="48"/>
      <c r="L89" s="64"/>
      <c r="M89" s="65"/>
      <c r="N89" s="65"/>
      <c r="O89" s="65"/>
      <c r="P89" s="65"/>
      <c r="Q89" s="65"/>
      <c r="R89" s="65"/>
      <c r="S89" s="66"/>
    </row>
    <row r="90" spans="1:19" s="42" customFormat="1" ht="15">
      <c r="A90" s="46" t="s">
        <v>231</v>
      </c>
      <c r="B90" s="47"/>
      <c r="C90" s="47"/>
      <c r="D90" s="47"/>
      <c r="E90" s="47"/>
      <c r="F90" s="47"/>
      <c r="G90" s="47"/>
      <c r="H90" s="47"/>
      <c r="I90" s="47"/>
      <c r="J90" s="47"/>
      <c r="K90" s="48"/>
      <c r="L90" s="64"/>
      <c r="M90" s="65"/>
      <c r="N90" s="65"/>
      <c r="O90" s="65"/>
      <c r="P90" s="65"/>
      <c r="Q90" s="65"/>
      <c r="R90" s="65"/>
      <c r="S90" s="66"/>
    </row>
    <row r="91" spans="1:19" s="42" customFormat="1" ht="15">
      <c r="A91" s="49" t="s">
        <v>232</v>
      </c>
      <c r="B91" s="47"/>
      <c r="C91" s="47"/>
      <c r="D91" s="47"/>
      <c r="E91" s="47"/>
      <c r="F91" s="47"/>
      <c r="G91" s="47"/>
      <c r="H91" s="47"/>
      <c r="I91" s="47"/>
      <c r="J91" s="47"/>
      <c r="K91" s="48"/>
      <c r="L91" s="64"/>
      <c r="M91" s="65"/>
      <c r="N91" s="65"/>
      <c r="O91" s="65"/>
      <c r="P91" s="65"/>
      <c r="Q91" s="65"/>
      <c r="R91" s="65"/>
      <c r="S91" s="66"/>
    </row>
    <row r="92" spans="1:19" s="42" customFormat="1" ht="48" customHeight="1">
      <c r="A92" s="50" t="s">
        <v>222</v>
      </c>
      <c r="B92" s="47"/>
      <c r="C92" s="47"/>
      <c r="D92" s="47"/>
      <c r="E92" s="51"/>
      <c r="F92" s="52"/>
      <c r="G92" s="52"/>
      <c r="H92" s="52"/>
      <c r="I92" s="52"/>
      <c r="J92" s="52"/>
      <c r="K92" s="52"/>
      <c r="L92" s="52"/>
      <c r="M92" s="52"/>
      <c r="N92" s="52"/>
      <c r="O92" s="52"/>
      <c r="P92" s="52"/>
      <c r="Q92" s="52"/>
      <c r="R92" s="52"/>
      <c r="S92" s="53"/>
    </row>
    <row r="93" spans="1:19" s="42" customFormat="1">
      <c r="A93" s="54"/>
      <c r="B93" s="47"/>
      <c r="C93" s="47"/>
      <c r="D93" s="47"/>
      <c r="E93" s="47"/>
      <c r="F93" s="47"/>
      <c r="G93" s="47"/>
      <c r="H93" s="47"/>
      <c r="I93" s="47"/>
      <c r="J93" s="47"/>
      <c r="K93" s="47"/>
      <c r="L93" s="47"/>
      <c r="M93" s="47"/>
      <c r="N93" s="47"/>
      <c r="O93" s="47"/>
      <c r="P93" s="47"/>
      <c r="Q93" s="47"/>
      <c r="R93" s="47"/>
      <c r="S93" s="55"/>
    </row>
    <row r="94" spans="1:19" s="42" customFormat="1" ht="12.75">
      <c r="A94" s="56" t="s">
        <v>233</v>
      </c>
      <c r="B94" s="57"/>
      <c r="C94" s="57"/>
      <c r="D94" s="57"/>
      <c r="E94" s="57"/>
      <c r="F94" s="57"/>
      <c r="G94" s="57"/>
      <c r="H94" s="57"/>
      <c r="I94" s="57"/>
      <c r="J94" s="57"/>
      <c r="K94" s="58"/>
      <c r="L94" s="56" t="s">
        <v>209</v>
      </c>
      <c r="M94" s="57"/>
      <c r="N94" s="57"/>
      <c r="O94" s="57"/>
      <c r="P94" s="57"/>
      <c r="Q94" s="57"/>
      <c r="R94" s="57"/>
      <c r="S94" s="62"/>
    </row>
    <row r="95" spans="1:19" s="42" customFormat="1" ht="12.75">
      <c r="A95" s="59"/>
      <c r="B95" s="60"/>
      <c r="C95" s="60"/>
      <c r="D95" s="60"/>
      <c r="E95" s="60"/>
      <c r="F95" s="60"/>
      <c r="G95" s="60"/>
      <c r="H95" s="60"/>
      <c r="I95" s="60"/>
      <c r="J95" s="60"/>
      <c r="K95" s="61"/>
      <c r="L95" s="59"/>
      <c r="M95" s="60"/>
      <c r="N95" s="60"/>
      <c r="O95" s="60"/>
      <c r="P95" s="60"/>
      <c r="Q95" s="60"/>
      <c r="R95" s="60"/>
      <c r="S95" s="63"/>
    </row>
    <row r="96" spans="1:19" s="42" customFormat="1" ht="15">
      <c r="A96" s="46" t="s">
        <v>234</v>
      </c>
      <c r="B96" s="47"/>
      <c r="C96" s="47"/>
      <c r="D96" s="47"/>
      <c r="E96" s="47"/>
      <c r="F96" s="47"/>
      <c r="G96" s="47"/>
      <c r="H96" s="47"/>
      <c r="I96" s="47"/>
      <c r="J96" s="47"/>
      <c r="K96" s="48"/>
      <c r="L96" s="64"/>
      <c r="M96" s="65"/>
      <c r="N96" s="65"/>
      <c r="O96" s="65"/>
      <c r="P96" s="65"/>
      <c r="Q96" s="65"/>
      <c r="R96" s="65"/>
      <c r="S96" s="66"/>
    </row>
    <row r="97" spans="1:19" s="42" customFormat="1" ht="15">
      <c r="A97" s="46" t="s">
        <v>235</v>
      </c>
      <c r="B97" s="47"/>
      <c r="C97" s="47"/>
      <c r="D97" s="47"/>
      <c r="E97" s="47"/>
      <c r="F97" s="47"/>
      <c r="G97" s="47"/>
      <c r="H97" s="47"/>
      <c r="I97" s="47"/>
      <c r="J97" s="47"/>
      <c r="K97" s="48"/>
      <c r="L97" s="64"/>
      <c r="M97" s="65"/>
      <c r="N97" s="65"/>
      <c r="O97" s="65"/>
      <c r="P97" s="65"/>
      <c r="Q97" s="65"/>
      <c r="R97" s="65"/>
      <c r="S97" s="66"/>
    </row>
    <row r="98" spans="1:19" s="42" customFormat="1" ht="15">
      <c r="A98" s="46" t="s">
        <v>236</v>
      </c>
      <c r="B98" s="47"/>
      <c r="C98" s="47"/>
      <c r="D98" s="47"/>
      <c r="E98" s="47"/>
      <c r="F98" s="47"/>
      <c r="G98" s="47"/>
      <c r="H98" s="47"/>
      <c r="I98" s="47"/>
      <c r="J98" s="47"/>
      <c r="K98" s="48"/>
      <c r="L98" s="64"/>
      <c r="M98" s="65"/>
      <c r="N98" s="65"/>
      <c r="O98" s="65"/>
      <c r="P98" s="65"/>
      <c r="Q98" s="65"/>
      <c r="R98" s="65"/>
      <c r="S98" s="66"/>
    </row>
    <row r="99" spans="1:19" s="42" customFormat="1" ht="15">
      <c r="A99" s="46" t="s">
        <v>12</v>
      </c>
      <c r="B99" s="47"/>
      <c r="C99" s="47"/>
      <c r="D99" s="47"/>
      <c r="E99" s="47"/>
      <c r="F99" s="47"/>
      <c r="G99" s="47"/>
      <c r="H99" s="47"/>
      <c r="I99" s="47"/>
      <c r="J99" s="47"/>
      <c r="K99" s="48"/>
      <c r="L99" s="64"/>
      <c r="M99" s="65"/>
      <c r="N99" s="65"/>
      <c r="O99" s="65"/>
      <c r="P99" s="65"/>
      <c r="Q99" s="65"/>
      <c r="R99" s="65"/>
      <c r="S99" s="66"/>
    </row>
    <row r="100" spans="1:19" s="42" customFormat="1" ht="15">
      <c r="A100" s="46" t="s">
        <v>237</v>
      </c>
      <c r="B100" s="47"/>
      <c r="C100" s="47"/>
      <c r="D100" s="47"/>
      <c r="E100" s="47"/>
      <c r="F100" s="47"/>
      <c r="G100" s="47"/>
      <c r="H100" s="47"/>
      <c r="I100" s="47"/>
      <c r="J100" s="47"/>
      <c r="K100" s="48"/>
      <c r="L100" s="64"/>
      <c r="M100" s="65"/>
      <c r="N100" s="65"/>
      <c r="O100" s="65"/>
      <c r="P100" s="65"/>
      <c r="Q100" s="65"/>
      <c r="R100" s="65"/>
      <c r="S100" s="66"/>
    </row>
    <row r="101" spans="1:19" s="42" customFormat="1" ht="15">
      <c r="A101" s="46" t="s">
        <v>20</v>
      </c>
      <c r="B101" s="47"/>
      <c r="C101" s="47"/>
      <c r="D101" s="47"/>
      <c r="E101" s="47"/>
      <c r="F101" s="47"/>
      <c r="G101" s="47"/>
      <c r="H101" s="47"/>
      <c r="I101" s="47"/>
      <c r="J101" s="47"/>
      <c r="K101" s="48"/>
      <c r="L101" s="64"/>
      <c r="M101" s="65"/>
      <c r="N101" s="65"/>
      <c r="O101" s="65"/>
      <c r="P101" s="65"/>
      <c r="Q101" s="65"/>
      <c r="R101" s="65"/>
      <c r="S101" s="66"/>
    </row>
    <row r="102" spans="1:19" s="42" customFormat="1" ht="15">
      <c r="A102" s="46" t="s">
        <v>238</v>
      </c>
      <c r="B102" s="47"/>
      <c r="C102" s="47"/>
      <c r="D102" s="47"/>
      <c r="E102" s="47"/>
      <c r="F102" s="47"/>
      <c r="G102" s="47"/>
      <c r="H102" s="47"/>
      <c r="I102" s="47"/>
      <c r="J102" s="47"/>
      <c r="K102" s="48"/>
      <c r="L102" s="64"/>
      <c r="M102" s="65"/>
      <c r="N102" s="65"/>
      <c r="O102" s="65"/>
      <c r="P102" s="65"/>
      <c r="Q102" s="65"/>
      <c r="R102" s="65"/>
      <c r="S102" s="66"/>
    </row>
    <row r="103" spans="1:19" s="42" customFormat="1" ht="15">
      <c r="A103" s="46" t="s">
        <v>239</v>
      </c>
      <c r="B103" s="47"/>
      <c r="C103" s="47"/>
      <c r="D103" s="47"/>
      <c r="E103" s="47"/>
      <c r="F103" s="47"/>
      <c r="G103" s="47"/>
      <c r="H103" s="47"/>
      <c r="I103" s="47"/>
      <c r="J103" s="47"/>
      <c r="K103" s="48"/>
      <c r="L103" s="64"/>
      <c r="M103" s="65"/>
      <c r="N103" s="65"/>
      <c r="O103" s="65"/>
      <c r="P103" s="65"/>
      <c r="Q103" s="65"/>
      <c r="R103" s="65"/>
      <c r="S103" s="66"/>
    </row>
    <row r="104" spans="1:19" s="42" customFormat="1" ht="15">
      <c r="A104" s="46" t="s">
        <v>31</v>
      </c>
      <c r="B104" s="47"/>
      <c r="C104" s="47"/>
      <c r="D104" s="47"/>
      <c r="E104" s="47"/>
      <c r="F104" s="47"/>
      <c r="G104" s="47"/>
      <c r="H104" s="47"/>
      <c r="I104" s="47"/>
      <c r="J104" s="47"/>
      <c r="K104" s="48"/>
      <c r="L104" s="64"/>
      <c r="M104" s="65"/>
      <c r="N104" s="65"/>
      <c r="O104" s="65"/>
      <c r="P104" s="65"/>
      <c r="Q104" s="65"/>
      <c r="R104" s="65"/>
      <c r="S104" s="66"/>
    </row>
    <row r="105" spans="1:19" s="42" customFormat="1" ht="15">
      <c r="A105" s="46" t="s">
        <v>240</v>
      </c>
      <c r="B105" s="47"/>
      <c r="C105" s="47"/>
      <c r="D105" s="47"/>
      <c r="E105" s="47"/>
      <c r="F105" s="47"/>
      <c r="G105" s="47"/>
      <c r="H105" s="47"/>
      <c r="I105" s="47"/>
      <c r="J105" s="47"/>
      <c r="K105" s="48"/>
      <c r="L105" s="64"/>
      <c r="M105" s="65"/>
      <c r="N105" s="65"/>
      <c r="O105" s="65"/>
      <c r="P105" s="65"/>
      <c r="Q105" s="65"/>
      <c r="R105" s="65"/>
      <c r="S105" s="66"/>
    </row>
    <row r="106" spans="1:19" s="42" customFormat="1" ht="15">
      <c r="A106" s="46" t="s">
        <v>19</v>
      </c>
      <c r="B106" s="47"/>
      <c r="C106" s="47"/>
      <c r="D106" s="47"/>
      <c r="E106" s="47"/>
      <c r="F106" s="47"/>
      <c r="G106" s="47"/>
      <c r="H106" s="47"/>
      <c r="I106" s="47"/>
      <c r="J106" s="47"/>
      <c r="K106" s="48"/>
      <c r="L106" s="64"/>
      <c r="M106" s="65"/>
      <c r="N106" s="65"/>
      <c r="O106" s="65"/>
      <c r="P106" s="65"/>
      <c r="Q106" s="65"/>
      <c r="R106" s="65"/>
      <c r="S106" s="66"/>
    </row>
    <row r="107" spans="1:19" s="42" customFormat="1" ht="39.75" customHeight="1">
      <c r="A107" s="50" t="s">
        <v>222</v>
      </c>
      <c r="B107" s="47"/>
      <c r="C107" s="47"/>
      <c r="D107" s="47"/>
      <c r="E107" s="51"/>
      <c r="F107" s="52"/>
      <c r="G107" s="52"/>
      <c r="H107" s="52"/>
      <c r="I107" s="52"/>
      <c r="J107" s="52"/>
      <c r="K107" s="52"/>
      <c r="L107" s="52"/>
      <c r="M107" s="52"/>
      <c r="N107" s="52"/>
      <c r="O107" s="52"/>
      <c r="P107" s="52"/>
      <c r="Q107" s="52"/>
      <c r="R107" s="52"/>
      <c r="S107" s="53"/>
    </row>
    <row r="108" spans="1:19" s="42" customFormat="1" ht="15">
      <c r="A108" s="64"/>
      <c r="B108" s="65"/>
      <c r="C108" s="65"/>
      <c r="D108" s="65"/>
      <c r="E108" s="65"/>
      <c r="F108" s="65"/>
      <c r="G108" s="65"/>
      <c r="H108" s="65"/>
      <c r="I108" s="65"/>
      <c r="J108" s="65"/>
      <c r="K108" s="65"/>
      <c r="L108" s="65"/>
      <c r="M108" s="65"/>
      <c r="N108" s="65"/>
      <c r="O108" s="65"/>
      <c r="P108" s="65"/>
      <c r="Q108" s="65"/>
      <c r="R108" s="65"/>
      <c r="S108" s="66"/>
    </row>
    <row r="109" spans="1:19" s="42" customFormat="1" ht="12.75">
      <c r="A109" s="76" t="s">
        <v>241</v>
      </c>
      <c r="B109" s="47"/>
      <c r="C109" s="47"/>
      <c r="D109" s="47"/>
      <c r="E109" s="47"/>
      <c r="F109" s="47"/>
      <c r="G109" s="47"/>
      <c r="H109" s="47"/>
      <c r="I109" s="47"/>
      <c r="J109" s="47"/>
      <c r="K109" s="47"/>
      <c r="L109" s="47"/>
      <c r="M109" s="47"/>
      <c r="N109" s="47"/>
      <c r="O109" s="47"/>
      <c r="P109" s="47"/>
      <c r="Q109" s="47"/>
      <c r="R109" s="47"/>
      <c r="S109" s="55"/>
    </row>
    <row r="110" spans="1:19" s="42" customFormat="1" ht="12.75">
      <c r="A110" s="135" t="s">
        <v>242</v>
      </c>
      <c r="B110" s="47"/>
      <c r="C110" s="47"/>
      <c r="D110" s="47"/>
      <c r="E110" s="47"/>
      <c r="F110" s="47"/>
      <c r="G110" s="48"/>
      <c r="H110" s="135" t="s">
        <v>243</v>
      </c>
      <c r="I110" s="47"/>
      <c r="J110" s="47"/>
      <c r="K110" s="48"/>
      <c r="L110" s="135" t="s">
        <v>244</v>
      </c>
      <c r="M110" s="47"/>
      <c r="N110" s="47"/>
      <c r="O110" s="47"/>
      <c r="P110" s="47"/>
      <c r="Q110" s="47"/>
      <c r="R110" s="47"/>
      <c r="S110" s="55"/>
    </row>
    <row r="111" spans="1:19" s="42" customFormat="1" ht="15">
      <c r="A111" s="49" t="s">
        <v>245</v>
      </c>
      <c r="B111" s="47"/>
      <c r="C111" s="47"/>
      <c r="D111" s="47"/>
      <c r="E111" s="47"/>
      <c r="F111" s="47"/>
      <c r="G111" s="48"/>
      <c r="H111" s="49"/>
      <c r="I111" s="47"/>
      <c r="J111" s="47"/>
      <c r="K111" s="48"/>
      <c r="L111" s="67"/>
      <c r="M111" s="47"/>
      <c r="N111" s="47"/>
      <c r="O111" s="47"/>
      <c r="P111" s="47"/>
      <c r="Q111" s="47"/>
      <c r="R111" s="47"/>
      <c r="S111" s="55"/>
    </row>
    <row r="112" spans="1:19" s="42" customFormat="1" ht="15">
      <c r="A112" s="49" t="s">
        <v>246</v>
      </c>
      <c r="B112" s="47"/>
      <c r="C112" s="47"/>
      <c r="D112" s="47"/>
      <c r="E112" s="47"/>
      <c r="F112" s="47"/>
      <c r="G112" s="48"/>
      <c r="H112" s="49"/>
      <c r="I112" s="47"/>
      <c r="J112" s="47"/>
      <c r="K112" s="48"/>
      <c r="L112" s="67"/>
      <c r="M112" s="47"/>
      <c r="N112" s="47"/>
      <c r="O112" s="47"/>
      <c r="P112" s="47"/>
      <c r="Q112" s="47"/>
      <c r="R112" s="47"/>
      <c r="S112" s="55"/>
    </row>
    <row r="113" spans="1:19" s="42" customFormat="1" ht="15">
      <c r="A113" s="49" t="s">
        <v>247</v>
      </c>
      <c r="B113" s="47"/>
      <c r="C113" s="47"/>
      <c r="D113" s="47"/>
      <c r="E113" s="47"/>
      <c r="F113" s="47"/>
      <c r="G113" s="48"/>
      <c r="H113" s="49"/>
      <c r="I113" s="47"/>
      <c r="J113" s="47"/>
      <c r="K113" s="48"/>
      <c r="L113" s="67"/>
      <c r="M113" s="47"/>
      <c r="N113" s="47"/>
      <c r="O113" s="47"/>
      <c r="P113" s="47"/>
      <c r="Q113" s="47"/>
      <c r="R113" s="47"/>
      <c r="S113" s="55"/>
    </row>
    <row r="114" spans="1:19" s="42" customFormat="1" ht="15">
      <c r="A114" s="49" t="s">
        <v>248</v>
      </c>
      <c r="B114" s="47"/>
      <c r="C114" s="47"/>
      <c r="D114" s="47"/>
      <c r="E114" s="47"/>
      <c r="F114" s="47"/>
      <c r="G114" s="48"/>
      <c r="H114" s="49"/>
      <c r="I114" s="47"/>
      <c r="J114" s="47"/>
      <c r="K114" s="48"/>
      <c r="L114" s="67"/>
      <c r="M114" s="47"/>
      <c r="N114" s="47"/>
      <c r="O114" s="47"/>
      <c r="P114" s="47"/>
      <c r="Q114" s="47"/>
      <c r="R114" s="47"/>
      <c r="S114" s="55"/>
    </row>
    <row r="115" spans="1:19" s="42" customFormat="1" ht="17.25" customHeight="1">
      <c r="A115" s="49" t="s">
        <v>249</v>
      </c>
      <c r="B115" s="47"/>
      <c r="C115" s="47"/>
      <c r="D115" s="47"/>
      <c r="E115" s="47"/>
      <c r="F115" s="47"/>
      <c r="G115" s="48"/>
      <c r="H115" s="49"/>
      <c r="I115" s="47"/>
      <c r="J115" s="47"/>
      <c r="K115" s="48"/>
      <c r="L115" s="67"/>
      <c r="M115" s="47"/>
      <c r="N115" s="47"/>
      <c r="O115" s="47"/>
      <c r="P115" s="47"/>
      <c r="Q115" s="47"/>
      <c r="R115" s="47"/>
      <c r="S115" s="55"/>
    </row>
    <row r="116" spans="1:19" s="42" customFormat="1" ht="17.25" customHeight="1">
      <c r="A116" s="67"/>
      <c r="B116" s="127"/>
      <c r="C116" s="127"/>
      <c r="D116" s="127"/>
      <c r="E116" s="127"/>
      <c r="F116" s="127"/>
      <c r="G116" s="127"/>
      <c r="H116" s="127"/>
      <c r="I116" s="127"/>
      <c r="J116" s="127"/>
      <c r="K116" s="127"/>
      <c r="L116" s="127"/>
      <c r="M116" s="127"/>
      <c r="N116" s="127"/>
      <c r="O116" s="127"/>
      <c r="P116" s="127"/>
      <c r="Q116" s="127"/>
      <c r="R116" s="127"/>
      <c r="S116" s="128"/>
    </row>
    <row r="117" spans="1:19" s="42" customFormat="1" ht="12.75">
      <c r="A117" s="76" t="s">
        <v>250</v>
      </c>
      <c r="B117" s="47"/>
      <c r="C117" s="47"/>
      <c r="D117" s="47"/>
      <c r="E117" s="47"/>
      <c r="F117" s="47"/>
      <c r="G117" s="47"/>
      <c r="H117" s="47"/>
      <c r="I117" s="47"/>
      <c r="J117" s="47"/>
      <c r="K117" s="47"/>
      <c r="L117" s="47"/>
      <c r="M117" s="47"/>
      <c r="N117" s="47"/>
      <c r="O117" s="47"/>
      <c r="P117" s="47"/>
      <c r="Q117" s="47"/>
      <c r="R117" s="47"/>
      <c r="S117" s="55"/>
    </row>
    <row r="118" spans="1:19" s="42" customFormat="1" ht="12.75">
      <c r="A118" s="69" t="s">
        <v>251</v>
      </c>
      <c r="B118" s="57"/>
      <c r="C118" s="57"/>
      <c r="D118" s="57"/>
      <c r="E118" s="57"/>
      <c r="F118" s="57"/>
      <c r="G118" s="57"/>
      <c r="H118" s="58"/>
      <c r="I118" s="69" t="s">
        <v>252</v>
      </c>
      <c r="J118" s="57"/>
      <c r="K118" s="57"/>
      <c r="L118" s="58"/>
      <c r="M118" s="69" t="s">
        <v>253</v>
      </c>
      <c r="N118" s="57"/>
      <c r="O118" s="57"/>
      <c r="P118" s="57"/>
      <c r="Q118" s="57"/>
      <c r="R118" s="57"/>
      <c r="S118" s="62"/>
    </row>
    <row r="119" spans="1:19" s="42" customFormat="1" ht="12.75">
      <c r="A119" s="59"/>
      <c r="B119" s="60"/>
      <c r="C119" s="60"/>
      <c r="D119" s="60"/>
      <c r="E119" s="60"/>
      <c r="F119" s="60"/>
      <c r="G119" s="60"/>
      <c r="H119" s="61"/>
      <c r="I119" s="59"/>
      <c r="J119" s="60"/>
      <c r="K119" s="60"/>
      <c r="L119" s="61"/>
      <c r="M119" s="59"/>
      <c r="N119" s="60"/>
      <c r="O119" s="60"/>
      <c r="P119" s="60"/>
      <c r="Q119" s="60"/>
      <c r="R119" s="60"/>
      <c r="S119" s="63"/>
    </row>
    <row r="120" spans="1:19" s="42" customFormat="1" ht="18.75" customHeight="1">
      <c r="A120" s="70" t="s">
        <v>254</v>
      </c>
      <c r="B120" s="71"/>
      <c r="C120" s="71"/>
      <c r="D120" s="71"/>
      <c r="E120" s="71"/>
      <c r="F120" s="71"/>
      <c r="G120" s="71"/>
      <c r="H120" s="72"/>
      <c r="I120" s="68" t="s">
        <v>255</v>
      </c>
      <c r="J120" s="57"/>
      <c r="K120" s="57"/>
      <c r="L120" s="58"/>
      <c r="M120" s="67"/>
      <c r="N120" s="47"/>
      <c r="O120" s="47"/>
      <c r="P120" s="47"/>
      <c r="Q120" s="47"/>
      <c r="R120" s="47"/>
      <c r="S120" s="55"/>
    </row>
    <row r="121" spans="1:19" s="42" customFormat="1" ht="18.75" customHeight="1">
      <c r="A121" s="73"/>
      <c r="B121" s="74"/>
      <c r="C121" s="74"/>
      <c r="D121" s="74"/>
      <c r="E121" s="74"/>
      <c r="F121" s="74"/>
      <c r="G121" s="74"/>
      <c r="H121" s="75"/>
      <c r="I121" s="68" t="s">
        <v>256</v>
      </c>
      <c r="J121" s="57"/>
      <c r="K121" s="57"/>
      <c r="L121" s="58"/>
      <c r="M121" s="67"/>
      <c r="N121" s="47"/>
      <c r="O121" s="47"/>
      <c r="P121" s="47"/>
      <c r="Q121" s="47"/>
      <c r="R121" s="47"/>
      <c r="S121" s="55"/>
    </row>
    <row r="122" spans="1:19" s="42" customFormat="1" ht="18.75" customHeight="1">
      <c r="A122" s="73"/>
      <c r="B122" s="74"/>
      <c r="C122" s="74"/>
      <c r="D122" s="74"/>
      <c r="E122" s="74"/>
      <c r="F122" s="74"/>
      <c r="G122" s="74"/>
      <c r="H122" s="75"/>
      <c r="I122" s="68" t="s">
        <v>257</v>
      </c>
      <c r="J122" s="57"/>
      <c r="K122" s="57"/>
      <c r="L122" s="58"/>
      <c r="M122" s="67"/>
      <c r="N122" s="47"/>
      <c r="O122" s="47"/>
      <c r="P122" s="47"/>
      <c r="Q122" s="47"/>
      <c r="R122" s="47"/>
      <c r="S122" s="55"/>
    </row>
    <row r="123" spans="1:19" s="42" customFormat="1" ht="18.75" customHeight="1">
      <c r="A123" s="73"/>
      <c r="B123" s="74"/>
      <c r="C123" s="74"/>
      <c r="D123" s="74"/>
      <c r="E123" s="74"/>
      <c r="F123" s="74"/>
      <c r="G123" s="74"/>
      <c r="H123" s="75"/>
      <c r="I123" s="68" t="s">
        <v>258</v>
      </c>
      <c r="J123" s="57"/>
      <c r="K123" s="57"/>
      <c r="L123" s="58"/>
      <c r="M123" s="67"/>
      <c r="N123" s="47"/>
      <c r="O123" s="47"/>
      <c r="P123" s="47"/>
      <c r="Q123" s="47"/>
      <c r="R123" s="47"/>
      <c r="S123" s="55"/>
    </row>
    <row r="124" spans="1:19" s="42" customFormat="1" ht="18.75" customHeight="1">
      <c r="A124" s="73"/>
      <c r="B124" s="74"/>
      <c r="C124" s="74"/>
      <c r="D124" s="74"/>
      <c r="E124" s="74"/>
      <c r="F124" s="74"/>
      <c r="G124" s="74"/>
      <c r="H124" s="75"/>
      <c r="I124" s="68" t="s">
        <v>259</v>
      </c>
      <c r="J124" s="57"/>
      <c r="K124" s="57"/>
      <c r="L124" s="58"/>
      <c r="M124" s="67"/>
      <c r="N124" s="47"/>
      <c r="O124" s="47"/>
      <c r="P124" s="47"/>
      <c r="Q124" s="47"/>
      <c r="R124" s="47"/>
      <c r="S124" s="55"/>
    </row>
    <row r="125" spans="1:19" s="42" customFormat="1" ht="18.75" customHeight="1">
      <c r="A125" s="73"/>
      <c r="B125" s="74"/>
      <c r="C125" s="74"/>
      <c r="D125" s="74"/>
      <c r="E125" s="74"/>
      <c r="F125" s="74"/>
      <c r="G125" s="74"/>
      <c r="H125" s="75"/>
      <c r="I125" s="68" t="s">
        <v>260</v>
      </c>
      <c r="J125" s="57"/>
      <c r="K125" s="57"/>
      <c r="L125" s="58"/>
      <c r="M125" s="67"/>
      <c r="N125" s="47"/>
      <c r="O125" s="47"/>
      <c r="P125" s="47"/>
      <c r="Q125" s="47"/>
      <c r="R125" s="47"/>
      <c r="S125" s="55"/>
    </row>
    <row r="126" spans="1:19" s="42" customFormat="1" ht="18.75" customHeight="1">
      <c r="A126" s="70" t="s">
        <v>261</v>
      </c>
      <c r="B126" s="71"/>
      <c r="C126" s="71"/>
      <c r="D126" s="71"/>
      <c r="E126" s="71"/>
      <c r="F126" s="71"/>
      <c r="G126" s="71"/>
      <c r="H126" s="72"/>
      <c r="I126" s="49" t="s">
        <v>262</v>
      </c>
      <c r="J126" s="47"/>
      <c r="K126" s="47"/>
      <c r="L126" s="48"/>
      <c r="M126" s="67"/>
      <c r="N126" s="47"/>
      <c r="O126" s="47"/>
      <c r="P126" s="47"/>
      <c r="Q126" s="47"/>
      <c r="R126" s="47"/>
      <c r="S126" s="55"/>
    </row>
    <row r="127" spans="1:19" s="42" customFormat="1" ht="18.75" customHeight="1">
      <c r="A127" s="73"/>
      <c r="B127" s="74"/>
      <c r="C127" s="74"/>
      <c r="D127" s="74"/>
      <c r="E127" s="74"/>
      <c r="F127" s="74"/>
      <c r="G127" s="74"/>
      <c r="H127" s="75"/>
      <c r="I127" s="49" t="s">
        <v>263</v>
      </c>
      <c r="J127" s="47"/>
      <c r="K127" s="47"/>
      <c r="L127" s="48"/>
      <c r="M127" s="67"/>
      <c r="N127" s="47"/>
      <c r="O127" s="47"/>
      <c r="P127" s="47"/>
      <c r="Q127" s="47"/>
      <c r="R127" s="47"/>
      <c r="S127" s="55"/>
    </row>
    <row r="128" spans="1:19" s="42" customFormat="1" ht="18.75" customHeight="1">
      <c r="A128" s="73"/>
      <c r="B128" s="74"/>
      <c r="C128" s="74"/>
      <c r="D128" s="74"/>
      <c r="E128" s="74"/>
      <c r="F128" s="74"/>
      <c r="G128" s="74"/>
      <c r="H128" s="75"/>
      <c r="I128" s="49" t="s">
        <v>264</v>
      </c>
      <c r="J128" s="47"/>
      <c r="K128" s="47"/>
      <c r="L128" s="48"/>
      <c r="M128" s="67"/>
      <c r="N128" s="47"/>
      <c r="O128" s="47"/>
      <c r="P128" s="47"/>
      <c r="Q128" s="47"/>
      <c r="R128" s="47"/>
      <c r="S128" s="55"/>
    </row>
    <row r="129" spans="1:19" s="42" customFormat="1" ht="18.75" customHeight="1">
      <c r="A129" s="73"/>
      <c r="B129" s="74"/>
      <c r="C129" s="74"/>
      <c r="D129" s="74"/>
      <c r="E129" s="74"/>
      <c r="F129" s="74"/>
      <c r="G129" s="74"/>
      <c r="H129" s="75"/>
      <c r="I129" s="49" t="s">
        <v>265</v>
      </c>
      <c r="J129" s="47"/>
      <c r="K129" s="47"/>
      <c r="L129" s="48"/>
      <c r="M129" s="67"/>
      <c r="N129" s="47"/>
      <c r="O129" s="47"/>
      <c r="P129" s="47"/>
      <c r="Q129" s="47"/>
      <c r="R129" s="47"/>
      <c r="S129" s="55"/>
    </row>
    <row r="130" spans="1:19" s="42" customFormat="1" ht="18.75" customHeight="1">
      <c r="A130" s="73"/>
      <c r="B130" s="74"/>
      <c r="C130" s="74"/>
      <c r="D130" s="74"/>
      <c r="E130" s="74"/>
      <c r="F130" s="74"/>
      <c r="G130" s="74"/>
      <c r="H130" s="75"/>
      <c r="I130" s="49" t="s">
        <v>293</v>
      </c>
      <c r="J130" s="47"/>
      <c r="K130" s="47"/>
      <c r="L130" s="48"/>
      <c r="M130" s="67"/>
      <c r="N130" s="47"/>
      <c r="O130" s="47"/>
      <c r="P130" s="47"/>
      <c r="Q130" s="47"/>
      <c r="R130" s="47"/>
      <c r="S130" s="55"/>
    </row>
    <row r="131" spans="1:19" s="42" customFormat="1" ht="18.75" customHeight="1">
      <c r="A131" s="73"/>
      <c r="B131" s="74"/>
      <c r="C131" s="74"/>
      <c r="D131" s="74"/>
      <c r="E131" s="74"/>
      <c r="F131" s="74"/>
      <c r="G131" s="74"/>
      <c r="H131" s="75"/>
      <c r="I131" s="49" t="s">
        <v>266</v>
      </c>
      <c r="J131" s="47"/>
      <c r="K131" s="47"/>
      <c r="L131" s="48"/>
      <c r="M131" s="67"/>
      <c r="N131" s="47"/>
      <c r="O131" s="47"/>
      <c r="P131" s="47"/>
      <c r="Q131" s="47"/>
      <c r="R131" s="47"/>
      <c r="S131" s="55"/>
    </row>
    <row r="132" spans="1:19" s="42" customFormat="1" ht="18.75" customHeight="1">
      <c r="A132" s="77"/>
      <c r="B132" s="78"/>
      <c r="C132" s="78"/>
      <c r="D132" s="78"/>
      <c r="E132" s="78"/>
      <c r="F132" s="78"/>
      <c r="G132" s="78"/>
      <c r="H132" s="79"/>
      <c r="I132" s="49" t="s">
        <v>267</v>
      </c>
      <c r="J132" s="47"/>
      <c r="K132" s="47"/>
      <c r="L132" s="48"/>
      <c r="M132" s="67"/>
      <c r="N132" s="47"/>
      <c r="O132" s="47"/>
      <c r="P132" s="47"/>
      <c r="Q132" s="47"/>
      <c r="R132" s="47"/>
      <c r="S132" s="55"/>
    </row>
    <row r="133" spans="1:19" s="42" customFormat="1" ht="18.75" customHeight="1">
      <c r="A133" s="70" t="s">
        <v>268</v>
      </c>
      <c r="B133" s="71"/>
      <c r="C133" s="71"/>
      <c r="D133" s="71"/>
      <c r="E133" s="71"/>
      <c r="F133" s="71"/>
      <c r="G133" s="71"/>
      <c r="H133" s="72"/>
      <c r="I133" s="49" t="s">
        <v>269</v>
      </c>
      <c r="J133" s="47"/>
      <c r="K133" s="47"/>
      <c r="L133" s="48"/>
      <c r="M133" s="67"/>
      <c r="N133" s="47"/>
      <c r="O133" s="47"/>
      <c r="P133" s="47"/>
      <c r="Q133" s="47"/>
      <c r="R133" s="47"/>
      <c r="S133" s="55"/>
    </row>
    <row r="134" spans="1:19" s="42" customFormat="1" ht="18.75" customHeight="1">
      <c r="A134" s="73"/>
      <c r="B134" s="74"/>
      <c r="C134" s="74"/>
      <c r="D134" s="74"/>
      <c r="E134" s="74"/>
      <c r="F134" s="74"/>
      <c r="G134" s="74"/>
      <c r="H134" s="75"/>
      <c r="I134" s="49" t="s">
        <v>270</v>
      </c>
      <c r="J134" s="47"/>
      <c r="K134" s="47"/>
      <c r="L134" s="48"/>
      <c r="M134" s="67"/>
      <c r="N134" s="47"/>
      <c r="O134" s="47"/>
      <c r="P134" s="47"/>
      <c r="Q134" s="47"/>
      <c r="R134" s="47"/>
      <c r="S134" s="55"/>
    </row>
    <row r="135" spans="1:19" s="42" customFormat="1" ht="18.75" customHeight="1">
      <c r="A135" s="73"/>
      <c r="B135" s="74"/>
      <c r="C135" s="74"/>
      <c r="D135" s="74"/>
      <c r="E135" s="74"/>
      <c r="F135" s="74"/>
      <c r="G135" s="74"/>
      <c r="H135" s="75"/>
      <c r="I135" s="49" t="s">
        <v>271</v>
      </c>
      <c r="J135" s="47"/>
      <c r="K135" s="47"/>
      <c r="L135" s="48"/>
      <c r="M135" s="67"/>
      <c r="N135" s="47"/>
      <c r="O135" s="47"/>
      <c r="P135" s="47"/>
      <c r="Q135" s="47"/>
      <c r="R135" s="47"/>
      <c r="S135" s="55"/>
    </row>
    <row r="136" spans="1:19" s="42" customFormat="1" ht="18.75" customHeight="1">
      <c r="A136" s="73"/>
      <c r="B136" s="74"/>
      <c r="C136" s="74"/>
      <c r="D136" s="74"/>
      <c r="E136" s="74"/>
      <c r="F136" s="74"/>
      <c r="G136" s="74"/>
      <c r="H136" s="75"/>
      <c r="I136" s="49" t="s">
        <v>272</v>
      </c>
      <c r="J136" s="47"/>
      <c r="K136" s="47"/>
      <c r="L136" s="48"/>
      <c r="M136" s="67"/>
      <c r="N136" s="47"/>
      <c r="O136" s="47"/>
      <c r="P136" s="47"/>
      <c r="Q136" s="47"/>
      <c r="R136" s="47"/>
      <c r="S136" s="55"/>
    </row>
    <row r="137" spans="1:19" s="42" customFormat="1" ht="18.75" customHeight="1">
      <c r="A137" s="77"/>
      <c r="B137" s="78"/>
      <c r="C137" s="78"/>
      <c r="D137" s="78"/>
      <c r="E137" s="78"/>
      <c r="F137" s="78"/>
      <c r="G137" s="78"/>
      <c r="H137" s="79"/>
      <c r="I137" s="49" t="s">
        <v>273</v>
      </c>
      <c r="J137" s="47"/>
      <c r="K137" s="47"/>
      <c r="L137" s="48"/>
      <c r="M137" s="67"/>
      <c r="N137" s="47"/>
      <c r="O137" s="47"/>
      <c r="P137" s="47"/>
      <c r="Q137" s="47"/>
      <c r="R137" s="47"/>
      <c r="S137" s="55"/>
    </row>
    <row r="138" spans="1:19" s="42" customFormat="1" ht="56.25" customHeight="1">
      <c r="A138" s="70" t="s">
        <v>274</v>
      </c>
      <c r="B138" s="71"/>
      <c r="C138" s="71"/>
      <c r="D138" s="71"/>
      <c r="E138" s="71"/>
      <c r="F138" s="71"/>
      <c r="G138" s="71"/>
      <c r="H138" s="72"/>
      <c r="I138" s="49" t="s">
        <v>275</v>
      </c>
      <c r="J138" s="47"/>
      <c r="K138" s="47"/>
      <c r="L138" s="48"/>
      <c r="M138" s="67"/>
      <c r="N138" s="47"/>
      <c r="O138" s="47"/>
      <c r="P138" s="47"/>
      <c r="Q138" s="47"/>
      <c r="R138" s="47"/>
      <c r="S138" s="55"/>
    </row>
    <row r="139" spans="1:19" s="42" customFormat="1" ht="56.25" customHeight="1">
      <c r="A139" s="73"/>
      <c r="B139" s="74"/>
      <c r="C139" s="74"/>
      <c r="D139" s="74"/>
      <c r="E139" s="74"/>
      <c r="F139" s="74"/>
      <c r="G139" s="74"/>
      <c r="H139" s="75"/>
      <c r="I139" s="49" t="s">
        <v>276</v>
      </c>
      <c r="J139" s="47"/>
      <c r="K139" s="47"/>
      <c r="L139" s="48"/>
      <c r="M139" s="67"/>
      <c r="N139" s="47"/>
      <c r="O139" s="47"/>
      <c r="P139" s="47"/>
      <c r="Q139" s="47"/>
      <c r="R139" s="47"/>
      <c r="S139" s="55"/>
    </row>
    <row r="140" spans="1:19" s="42" customFormat="1" ht="56.25" customHeight="1">
      <c r="A140" s="73"/>
      <c r="B140" s="74"/>
      <c r="C140" s="74"/>
      <c r="D140" s="74"/>
      <c r="E140" s="74"/>
      <c r="F140" s="74"/>
      <c r="G140" s="74"/>
      <c r="H140" s="75"/>
      <c r="I140" s="49" t="s">
        <v>277</v>
      </c>
      <c r="J140" s="47"/>
      <c r="K140" s="47"/>
      <c r="L140" s="48"/>
      <c r="M140" s="67"/>
      <c r="N140" s="47"/>
      <c r="O140" s="47"/>
      <c r="P140" s="47"/>
      <c r="Q140" s="47"/>
      <c r="R140" s="47"/>
      <c r="S140" s="55"/>
    </row>
    <row r="141" spans="1:19" s="42" customFormat="1" ht="56.25" customHeight="1">
      <c r="A141" s="73"/>
      <c r="B141" s="74"/>
      <c r="C141" s="74"/>
      <c r="D141" s="74"/>
      <c r="E141" s="74"/>
      <c r="F141" s="74"/>
      <c r="G141" s="74"/>
      <c r="H141" s="75"/>
      <c r="I141" s="49" t="s">
        <v>278</v>
      </c>
      <c r="J141" s="47"/>
      <c r="K141" s="47"/>
      <c r="L141" s="48"/>
      <c r="M141" s="67"/>
      <c r="N141" s="47"/>
      <c r="O141" s="47"/>
      <c r="P141" s="47"/>
      <c r="Q141" s="47"/>
      <c r="R141" s="47"/>
      <c r="S141" s="55"/>
    </row>
    <row r="142" spans="1:19" s="42" customFormat="1" ht="56.25" customHeight="1">
      <c r="A142" s="73"/>
      <c r="B142" s="74"/>
      <c r="C142" s="74"/>
      <c r="D142" s="74"/>
      <c r="E142" s="74"/>
      <c r="F142" s="74"/>
      <c r="G142" s="74"/>
      <c r="H142" s="75"/>
      <c r="I142" s="49" t="s">
        <v>279</v>
      </c>
      <c r="J142" s="47"/>
      <c r="K142" s="47"/>
      <c r="L142" s="48"/>
      <c r="M142" s="67"/>
      <c r="N142" s="47"/>
      <c r="O142" s="47"/>
      <c r="P142" s="47"/>
      <c r="Q142" s="47"/>
      <c r="R142" s="47"/>
      <c r="S142" s="55"/>
    </row>
    <row r="143" spans="1:19" s="42" customFormat="1" ht="56.25" customHeight="1">
      <c r="A143" s="73"/>
      <c r="B143" s="74"/>
      <c r="C143" s="74"/>
      <c r="D143" s="74"/>
      <c r="E143" s="74"/>
      <c r="F143" s="74"/>
      <c r="G143" s="74"/>
      <c r="H143" s="75"/>
      <c r="I143" s="68" t="s">
        <v>280</v>
      </c>
      <c r="J143" s="57"/>
      <c r="K143" s="57"/>
      <c r="L143" s="58"/>
      <c r="M143" s="67"/>
      <c r="N143" s="47"/>
      <c r="O143" s="47"/>
      <c r="P143" s="47"/>
      <c r="Q143" s="47"/>
      <c r="R143" s="47"/>
      <c r="S143" s="55"/>
    </row>
    <row r="144" spans="1:19" s="42" customFormat="1" ht="56.25" customHeight="1">
      <c r="A144" s="70" t="s">
        <v>281</v>
      </c>
      <c r="B144" s="71"/>
      <c r="C144" s="71"/>
      <c r="D144" s="71"/>
      <c r="E144" s="71"/>
      <c r="F144" s="71"/>
      <c r="G144" s="71"/>
      <c r="H144" s="72"/>
      <c r="I144" s="49" t="s">
        <v>282</v>
      </c>
      <c r="J144" s="47"/>
      <c r="K144" s="47"/>
      <c r="L144" s="48"/>
      <c r="M144" s="67"/>
      <c r="N144" s="47"/>
      <c r="O144" s="47"/>
      <c r="P144" s="47"/>
      <c r="Q144" s="47"/>
      <c r="R144" s="47"/>
      <c r="S144" s="55"/>
    </row>
    <row r="145" spans="1:19" s="42" customFormat="1" ht="56.25" customHeight="1">
      <c r="A145" s="73"/>
      <c r="B145" s="74"/>
      <c r="C145" s="74"/>
      <c r="D145" s="74"/>
      <c r="E145" s="74"/>
      <c r="F145" s="74"/>
      <c r="G145" s="74"/>
      <c r="H145" s="75"/>
      <c r="I145" s="49" t="s">
        <v>283</v>
      </c>
      <c r="J145" s="47"/>
      <c r="K145" s="47"/>
      <c r="L145" s="48"/>
      <c r="M145" s="67"/>
      <c r="N145" s="47"/>
      <c r="O145" s="47"/>
      <c r="P145" s="47"/>
      <c r="Q145" s="47"/>
      <c r="R145" s="47"/>
      <c r="S145" s="55"/>
    </row>
    <row r="146" spans="1:19" s="42" customFormat="1" ht="56.25" customHeight="1">
      <c r="A146" s="73"/>
      <c r="B146" s="74"/>
      <c r="C146" s="74"/>
      <c r="D146" s="74"/>
      <c r="E146" s="74"/>
      <c r="F146" s="74"/>
      <c r="G146" s="74"/>
      <c r="H146" s="75"/>
      <c r="I146" s="49" t="s">
        <v>284</v>
      </c>
      <c r="J146" s="47"/>
      <c r="K146" s="47"/>
      <c r="L146" s="48"/>
      <c r="M146" s="67"/>
      <c r="N146" s="47"/>
      <c r="O146" s="47"/>
      <c r="P146" s="47"/>
      <c r="Q146" s="47"/>
      <c r="R146" s="47"/>
      <c r="S146" s="55"/>
    </row>
    <row r="147" spans="1:19" s="42" customFormat="1" ht="56.25" customHeight="1">
      <c r="A147" s="73"/>
      <c r="B147" s="74"/>
      <c r="C147" s="74"/>
      <c r="D147" s="74"/>
      <c r="E147" s="74"/>
      <c r="F147" s="74"/>
      <c r="G147" s="74"/>
      <c r="H147" s="75"/>
      <c r="I147" s="49" t="s">
        <v>285</v>
      </c>
      <c r="J147" s="47"/>
      <c r="K147" s="47"/>
      <c r="L147" s="48"/>
      <c r="M147" s="67"/>
      <c r="N147" s="47"/>
      <c r="O147" s="47"/>
      <c r="P147" s="47"/>
      <c r="Q147" s="47"/>
      <c r="R147" s="47"/>
      <c r="S147" s="55"/>
    </row>
    <row r="148" spans="1:19" s="42" customFormat="1" ht="56.25" customHeight="1">
      <c r="A148" s="73"/>
      <c r="B148" s="74"/>
      <c r="C148" s="74"/>
      <c r="D148" s="74"/>
      <c r="E148" s="74"/>
      <c r="F148" s="74"/>
      <c r="G148" s="74"/>
      <c r="H148" s="75"/>
      <c r="I148" s="49" t="s">
        <v>286</v>
      </c>
      <c r="J148" s="47"/>
      <c r="K148" s="47"/>
      <c r="L148" s="48"/>
      <c r="M148" s="67"/>
      <c r="N148" s="47"/>
      <c r="O148" s="47"/>
      <c r="P148" s="47"/>
      <c r="Q148" s="47"/>
      <c r="R148" s="47"/>
      <c r="S148" s="55"/>
    </row>
    <row r="149" spans="1:19" s="42" customFormat="1" ht="56.25" customHeight="1">
      <c r="A149" s="73"/>
      <c r="B149" s="74"/>
      <c r="C149" s="74"/>
      <c r="D149" s="74"/>
      <c r="E149" s="74"/>
      <c r="F149" s="74"/>
      <c r="G149" s="74"/>
      <c r="H149" s="75"/>
      <c r="I149" s="49" t="s">
        <v>287</v>
      </c>
      <c r="J149" s="47"/>
      <c r="K149" s="47"/>
      <c r="L149" s="48"/>
      <c r="M149" s="67"/>
      <c r="N149" s="47"/>
      <c r="O149" s="47"/>
      <c r="P149" s="47"/>
      <c r="Q149" s="47"/>
      <c r="R149" s="47"/>
      <c r="S149" s="55"/>
    </row>
    <row r="150" spans="1:19" s="42" customFormat="1" ht="120" customHeight="1">
      <c r="A150" s="50" t="s">
        <v>222</v>
      </c>
      <c r="B150" s="47"/>
      <c r="C150" s="47"/>
      <c r="D150" s="47"/>
      <c r="E150" s="51"/>
      <c r="F150" s="52"/>
      <c r="G150" s="52"/>
      <c r="H150" s="52"/>
      <c r="I150" s="52"/>
      <c r="J150" s="52"/>
      <c r="K150" s="52"/>
      <c r="L150" s="52"/>
      <c r="M150" s="52"/>
      <c r="N150" s="52"/>
      <c r="O150" s="52"/>
      <c r="P150" s="52"/>
      <c r="Q150" s="52"/>
      <c r="R150" s="52"/>
      <c r="S150" s="53"/>
    </row>
    <row r="151" spans="1:19" s="42" customFormat="1" ht="12.75">
      <c r="A151" s="76" t="s">
        <v>288</v>
      </c>
      <c r="B151" s="47"/>
      <c r="C151" s="47"/>
      <c r="D151" s="47"/>
      <c r="E151" s="47"/>
      <c r="F151" s="47"/>
      <c r="G151" s="47"/>
      <c r="H151" s="47"/>
      <c r="I151" s="47"/>
      <c r="J151" s="47"/>
      <c r="K151" s="47"/>
      <c r="L151" s="47"/>
      <c r="M151" s="47"/>
      <c r="N151" s="47"/>
      <c r="O151" s="47"/>
      <c r="P151" s="47"/>
      <c r="Q151" s="47"/>
      <c r="R151" s="47"/>
      <c r="S151" s="55"/>
    </row>
    <row r="152" spans="1:19" s="42" customFormat="1" ht="12.75" customHeight="1">
      <c r="A152" s="80" t="s">
        <v>289</v>
      </c>
      <c r="B152" s="81"/>
      <c r="C152" s="81"/>
      <c r="D152" s="81"/>
      <c r="E152" s="81"/>
      <c r="F152" s="81"/>
      <c r="G152" s="81"/>
      <c r="H152" s="81"/>
      <c r="I152" s="81"/>
      <c r="J152" s="81"/>
      <c r="K152" s="81"/>
      <c r="L152" s="81" t="s">
        <v>290</v>
      </c>
      <c r="M152" s="47"/>
      <c r="N152" s="47"/>
      <c r="O152" s="47"/>
      <c r="P152" s="47"/>
      <c r="Q152" s="47"/>
      <c r="R152" s="47"/>
      <c r="S152" s="55"/>
    </row>
    <row r="153" spans="1:19" s="42" customFormat="1" ht="300" customHeight="1">
      <c r="A153" s="135" t="s">
        <v>90</v>
      </c>
      <c r="B153" s="141"/>
      <c r="C153" s="141"/>
      <c r="D153" s="141"/>
      <c r="E153" s="141"/>
      <c r="F153" s="141"/>
      <c r="G153" s="141"/>
      <c r="H153" s="141"/>
      <c r="I153" s="141"/>
      <c r="J153" s="141"/>
      <c r="K153" s="142"/>
      <c r="L153" s="143" t="str">
        <f>IF($A153="DISCAPACIDAD VISUAL BAJA VISIÓN",caracterizacion!$B$52,IF($A153="DISCAPACIDAD VISUAL PÉRDIDA TOTAL DE LA VISIÓN",caracterizacion!$B$53,IF($A153="DISCAPACIDAD AUDITIVA",caracterizacion!$B$54,IF($A153="DISCAPACIDAD AUDITIVA HIPOACUSIA",caracterizacion!$B$55,IF($A153="DISCAPACIDAD INTELECTUAL",caracterizacion!$B$56,IF($A153="TEA / AUTISMO",caracterizacion!$B$57,IF($A153="DISCAPACIDAD FÍSICA USR",caracterizacion!$B$58,IF($A153="DISCAPACIDAD FÍSICA",caracterizacion!$B$59,IF($A153="DISCAPACIDAD PSICOSOCIAL",caracterizacion!$B$60,IF($A153="DISCAPACIDAD MÚLTIPLE FÍSICA - VISUAL",caracterizacion!$B$61,IF($A153="DISCAPACIDAD MÚLTIPLE FÍSICA - AUDITIVA",caracterizacion!$B$62,IF($A153="DISCAPACIDAD MÚLTIPLE FÍSICA - PSICOSOCIAL",caracterizacion!$B$63,IF($A153="DISCAPACIDAD MÚLTIPLE FÍSICA - INTELECTUAL",caracterizacion!$B$64,IF($A153="DISCAPACIDAD MÚLTIPLE FÍSICA - BAJA VISIÓN",caracterizacion!$B$65,IF($A153="DISCAPACIDAD MÚLTIPLE FÍSICA - HIPOACUSIA",caracterizacion!$B$66,IF($A153="DISCAPACIDAD MÚLTIPLE PSICOSOCIAL - HIPOACUSIA",caracterizacion!$B$67,IF($A153="DISCAPACIDAD MÚLTIPLE PSICOSOCIAL - AUDITIVA",caracterizacion!$B$68,IF($A153="DISCAPACIDAD MÚLTIPLE PSICOSOCIAL - BAJA VISIÓN",caracterizacion!$B$69,IF($A153="DISCAPACIDAD MÚLTIPLE PSICOSOCIAL - VISUAL",caracterizacion!$B$70,IF($A153="DISCAPACIDAD MÚLTIPLE PSICOSOCIAL– INTELECTUAL",caracterizacion!$B$71,IF($A153="DISCAPACIDAD MÚLTIPLE AUDITIVA - INTELECTUAL",caracterizacion!$B$72,IF($A153="DISCAPACIDAD MÚLTIPLE VISUAL- INTELECTUAL",caracterizacion!$B$73," "))))))))))))))))))))))</f>
        <v>1. Uso de magnificador de pantalla / Lupa
2. Asegurar un nivel de iluminación adecuado para la escritura de documentos. Incrementar la iluminación con lámparas de apoyo puntual si fuera necesario
3. Adaptar el teclado convencional (teclas grandes, caracteres grandes y contrastados, marcas táctiles de referencia, etc.)
4. Evitar cambiar los implementos de trabajo de lugar, en caso de hacerlo indicar a la persona y mostrar en donde quedaron ubicados.
5. Tener el área de trabajo organizada, con el fin de evitar accidentes y/o incidentes, no obstaculizar el paso en el área de trabajo ni en áreas comunes. 
6. Permitir que la persona pueda grabar información en caso de capacitaciones, esto como una alternativa a escribir en braille, ya que tiende a ser mucho más extensa.
7. En caso de ser necesario contar con un monitor amplio. 
8. Acceso a la información mediante ampliación, contrastes y síntesis de voz.
9. Asegúrese de asignar un par de apoyo.</v>
      </c>
      <c r="M153" s="144"/>
      <c r="N153" s="144"/>
      <c r="O153" s="144"/>
      <c r="P153" s="144"/>
      <c r="Q153" s="144"/>
      <c r="R153" s="144"/>
      <c r="S153" s="145"/>
    </row>
    <row r="154" spans="1:19" s="42" customFormat="1" ht="300" customHeight="1">
      <c r="A154" s="135" t="s">
        <v>92</v>
      </c>
      <c r="B154" s="141"/>
      <c r="C154" s="141"/>
      <c r="D154" s="141"/>
      <c r="E154" s="141"/>
      <c r="F154" s="141"/>
      <c r="G154" s="141"/>
      <c r="H154" s="141"/>
      <c r="I154" s="141"/>
      <c r="J154" s="141"/>
      <c r="K154" s="142"/>
      <c r="L154" s="143" t="str">
        <f>IF($A154="DISCAPACIDAD VISUAL BAJA VISIÓN",caracterizacion!$B$52,IF($A154="DISCAPACIDAD VISUAL PÉRDIDA TOTAL DE LA VISIÓN",caracterizacion!$B$53,IF($A154="DISCAPACIDAD AUDITIVA",caracterizacion!$B$54,IF($A154="DISCAPACIDAD AUDITIVA HIPOACUSIA",caracterizacion!$B$55,IF($A154="DISCAPACIDAD INTELECTUAL",caracterizacion!$B$56,IF($A154="TEA / AUTISMO",caracterizacion!$B$57,IF($A154="DISCAPACIDAD FÍSICA USR",caracterizacion!$B$58,IF($A154="DISCAPACIDAD FÍSICA",caracterizacion!$B$59,IF($A154="DISCAPACIDAD PSICOSOCIAL",caracterizacion!$B$60,IF($A154="DISCAPACIDAD MÚLTIPLE FÍSICA - VISUAL",caracterizacion!$B$61,IF($A154="DISCAPACIDAD MÚLTIPLE FÍSICA - AUDITIVA",caracterizacion!$B$62,IF($A154="DISCAPACIDAD MÚLTIPLE FÍSICA - PSICOSOCIAL",caracterizacion!$B$63,IF($A154="DISCAPACIDAD MÚLTIPLE FÍSICA - INTELECTUAL",caracterizacion!$B$64,IF($A154="DISCAPACIDAD MÚLTIPLE FÍSICA - BAJA VISIÓN",caracterizacion!$B$65,IF($A154="DISCAPACIDAD MÚLTIPLE FÍSICA - HIPOACUSIA",caracterizacion!$B$66,IF($A154="DISCAPACIDAD MÚLTIPLE PSICOSOCIAL - HIPOACUSIA",caracterizacion!$B$67,IF($A154="DISCAPACIDAD MÚLTIPLE PSICOSOCIAL - AUDITIVA",caracterizacion!$B$68,IF($A154="DISCAPACIDAD MÚLTIPLE PSICOSOCIAL - BAJA VISIÓN",caracterizacion!$B$69,IF($A154="DISCAPACIDAD MÚLTIPLE PSICOSOCIAL - VISUAL",caracterizacion!$B$70,IF($A154="DISCAPACIDAD MÚLTIPLE PSICOSOCIAL– INTELECTUAL",caracterizacion!$B$71,IF($A154="DISCAPACIDAD MÚLTIPLE AUDITIVA - INTELECTUAL",caracterizacion!$B$72,IF($A154="DISCAPACIDAD MÚLTIPLE VISUAL- INTELECTUAL",caracterizacion!$B$73," "))))))))))))))))))))))</f>
        <v xml:space="preserve">1. Uso de Jaws, Magic, el lector de pantalla de Windows/IOS para personas ciegas.
2. Contar con herramientas para escribir en braille.
3. Uso de Relieve 
4. Contar con señales auditivas
5. Adaptar el teclado convencional (teclas grandes, caracteres grandes y contrastados, marcas táctiles de referencia, etc.)
6. Evitar cambiar los implementos de trabajo de lugar, en caso de hacerlo indicar a la persona y mostrar en donde quedaron ubicados.
7. Permitir que la persona pueda grabar información en caso de capacitaciones, esto como una alternativa a escribir en braille, ya que tiende a ser mucho más extensa.
8. Conversores de texto a audio
9. Acceso a la información mediante ampliación, contrastes y síntesis de voz.
10. Asegúrese de asignar un par de apoyo </v>
      </c>
      <c r="M154" s="144"/>
      <c r="N154" s="144"/>
      <c r="O154" s="144"/>
      <c r="P154" s="144"/>
      <c r="Q154" s="144"/>
      <c r="R154" s="144"/>
      <c r="S154" s="145"/>
    </row>
    <row r="155" spans="1:19" s="42" customFormat="1" ht="273" customHeight="1">
      <c r="A155" s="135" t="s">
        <v>98</v>
      </c>
      <c r="B155" s="141"/>
      <c r="C155" s="141"/>
      <c r="D155" s="141"/>
      <c r="E155" s="141"/>
      <c r="F155" s="141"/>
      <c r="G155" s="141"/>
      <c r="H155" s="141"/>
      <c r="I155" s="141"/>
      <c r="J155" s="141"/>
      <c r="K155" s="142"/>
      <c r="L155" s="143" t="str">
        <f>IF($A155="DISCAPACIDAD VISUAL BAJA VISIÓN",caracterizacion!$B$52,IF($A155="DISCAPACIDAD VISUAL PÉRDIDA TOTAL DE LA VISIÓN",caracterizacion!$B$53,IF($A155="DISCAPACIDAD AUDITIVA",caracterizacion!$B$54,IF($A155="DISCAPACIDAD AUDITIVA HIPOACUSIA",caracterizacion!$B$55,IF($A155="DISCAPACIDAD INTELECTUAL",caracterizacion!$B$56,IF($A155="TEA / AUTISMO",caracterizacion!$B$57,IF($A155="DISCAPACIDAD FÍSICA USR",caracterizacion!$B$58,IF($A155="DISCAPACIDAD FÍSICA",caracterizacion!$B$59,IF($A155="DISCAPACIDAD PSICOSOCIAL",caracterizacion!$B$60,IF($A155="DISCAPACIDAD MÚLTIPLE FÍSICA - VISUAL",caracterizacion!$B$61,IF($A155="DISCAPACIDAD MÚLTIPLE FÍSICA - AUDITIVA",caracterizacion!$B$62,IF($A155="DISCAPACIDAD MÚLTIPLE FÍSICA - PSICOSOCIAL",caracterizacion!$B$63,IF($A155="DISCAPACIDAD MÚLTIPLE FÍSICA - INTELECTUAL",caracterizacion!$B$64,IF($A155="DISCAPACIDAD MÚLTIPLE FÍSICA - BAJA VISIÓN",caracterizacion!$B$65,IF($A155="DISCAPACIDAD MÚLTIPLE FÍSICA - HIPOACUSIA",caracterizacion!$B$66,IF($A155="DISCAPACIDAD MÚLTIPLE PSICOSOCIAL - HIPOACUSIA",caracterizacion!$B$67,IF($A155="DISCAPACIDAD MÚLTIPLE PSICOSOCIAL - AUDITIVA",caracterizacion!$B$68,IF($A155="DISCAPACIDAD MÚLTIPLE PSICOSOCIAL - BAJA VISIÓN",caracterizacion!$B$69,IF($A155="DISCAPACIDAD MÚLTIPLE PSICOSOCIAL - VISUAL",caracterizacion!$B$70,IF($A155="DISCAPACIDAD MÚLTIPLE PSICOSOCIAL– INTELECTUAL",caracterizacion!$B$71,IF($A155="DISCAPACIDAD MÚLTIPLE AUDITIVA - INTELECTUAL",caracterizacion!$B$72,IF($A155="DISCAPACIDAD MÚLTIPLE VISUAL- INTELECTUAL",caracterizacion!$B$73," "))))))))))))))))))))))</f>
        <v xml:space="preserve">1. Asegúrese antes de dar la instrucción tener la atención de la persona.
2. Al dar la instrucción a la persona, pídale que repita lo que comprendió
3. Procure dar una instrucción a la vez, paso a paso y verificar su finalización antes de asignar una nueva actividad.
4. Si la tarea demanda tiempos puntuales de entrega, asegúrese que la persona comprenda y tome nota de la fecha y hora estipulada.
5. Planifique las actividades diarias, especificando las tareas que se deben realizar en la mañana, al mediodía y en la tarde; Ejemplo: check list - cronograma
6. Haga uso de agendas, post it (papeles de colores), alarmas en su celular para recordar sus funciones. 
7. Es importante que la persona tenga a la mano siempre una agenda para tomar nota de las instrucciones o tareas asignadas dentro de la jornada laboral
8. Si las tareas de la persona demandan hacer conteo o manipulación de dinero, verifique que lo sepa hacer, de no poder, capacite a la persona para manipular de manera correcta la calculadora, esto facilitará hacer sus actividades. 
9. Recuerde a la persona mantener una buena presentación personal (dotación limpia), dependiendo el cargo (uñas cortas, sin barba, cabello corto o recogido, entre otros). 
10. Retroalimentar de manera oportuna e inmediata a la persona al cometer errores. 
11. Dentro de las pausas activas incluir actividades de gimnasia cerebral que le permita a la persona reactivar los dispositivos básicos de aprendizaje (atención, concentración, memoria, percepción)
12. Si la persona convulsiona valide los medicamentos que utiliza, que tome sus pastas en las horas indicadas, aparte de esto, evite consumir bebidas energizantes o negras, que contengan cafeína, de la misma forma trasnochar.  
13. Presentar las instrucciones en un vocabulario o nivel de lectura que se aproxime al nivel de comprensión del vinculado
14. Es importante dar mayor tiempo para que la persona pueda procesar y responder a lo que se está preguntando
15. Explicar con modelamiento (acción - repetición) las tareas asignadas.
16. Ser flexible pero no condescendiente con la curva de aprendizaje del vinculado en caso que no tenga experiencia laboral previa. 
17. Asegúrese de asignar un par de apoyo 
</v>
      </c>
      <c r="M155" s="144"/>
      <c r="N155" s="144"/>
      <c r="O155" s="144"/>
      <c r="P155" s="144"/>
      <c r="Q155" s="144"/>
      <c r="R155" s="144"/>
      <c r="S155" s="145"/>
    </row>
    <row r="156" spans="1:19" s="42" customFormat="1" ht="300" customHeight="1">
      <c r="A156" s="135" t="s">
        <v>122</v>
      </c>
      <c r="B156" s="141"/>
      <c r="C156" s="141"/>
      <c r="D156" s="141"/>
      <c r="E156" s="141"/>
      <c r="F156" s="141"/>
      <c r="G156" s="141"/>
      <c r="H156" s="141"/>
      <c r="I156" s="141"/>
      <c r="J156" s="141"/>
      <c r="K156" s="142"/>
      <c r="L156" s="143" t="str">
        <f>IF($A156="DISCAPACIDAD VISUAL BAJA VISIÓN",caracterizacion!$B$52,IF($A156="DISCAPACIDAD VISUAL PÉRDIDA TOTAL DE LA VISIÓN",caracterizacion!$B$53,IF($A156="DISCAPACIDAD AUDITIVA",caracterizacion!$B$54,IF($A156="DISCAPACIDAD AUDITIVA HIPOACUSIA",caracterizacion!$B$55,IF($A156="DISCAPACIDAD INTELECTUAL",caracterizacion!$B$56,IF($A156="TEA / AUTISMO",caracterizacion!$B$57,IF($A156="DISCAPACIDAD FÍSICA USR",caracterizacion!$B$58,IF($A156="DISCAPACIDAD FÍSICA",caracterizacion!$B$59,IF($A156="DISCAPACIDAD PSICOSOCIAL",caracterizacion!$B$60,IF($A156="DISCAPACIDAD MÚLTIPLE FÍSICA - VISUAL",caracterizacion!$B$61,IF($A156="DISCAPACIDAD MÚLTIPLE FÍSICA - AUDITIVA",caracterizacion!$B$62,IF($A156="DISCAPACIDAD MÚLTIPLE FÍSICA - PSICOSOCIAL",caracterizacion!$B$63,IF($A156="DISCAPACIDAD MÚLTIPLE FÍSICA - INTELECTUAL",caracterizacion!$B$64,IF($A156="DISCAPACIDAD MÚLTIPLE FÍSICA - BAJA VISIÓN",caracterizacion!$B$65,IF($A156="DISCAPACIDAD MÚLTIPLE FÍSICA - HIPOACUSIA",caracterizacion!$B$66,IF($A156="DISCAPACIDAD MÚLTIPLE PSICOSOCIAL - HIPOACUSIA",caracterizacion!$B$67,IF($A156="DISCAPACIDAD MÚLTIPLE PSICOSOCIAL - AUDITIVA",caracterizacion!$B$68,IF($A156="DISCAPACIDAD MÚLTIPLE PSICOSOCIAL - BAJA VISIÓN",caracterizacion!$B$69,IF($A156="DISCAPACIDAD MÚLTIPLE PSICOSOCIAL - VISUAL",caracterizacion!$B$70,IF($A156="DISCAPACIDAD MÚLTIPLE PSICOSOCIAL– INTELECTUAL",caracterizacion!$B$71,IF($A156="DISCAPACIDAD MÚLTIPLE AUDITIVA - INTELECTUAL",caracterizacion!$B$72,IF($A156="DISCAPACIDAD MÚLTIPLE VISUAL- INTELECTUAL",caracterizacion!$B$73," "))))))))))))))))))))))</f>
        <v>1. Planificación de tareas (Riesgos: Carga laboral, estrés, cultura organizacional).
2. Anticipar las labores que debe realizar dentro de su puesto de trabajo.
3. Anticipar los cambios dentro del contexto laboral (actividades laborales cotidianas, personal nuevo, horarios, lugares de trabajo, entre otros). 
4. Reduzca los comentarios, chistes, bromas de doble sentido o hacer sarcasmos, sin el consentimiento de la persona.
5. Al dar la instrucción a la persona, pídale que repita lo que comprendió, para garantizar la información.
6. Si la persona debe hacer uso de objetos cortopunzantes asegúrese que lo haga bajo supervisión
7. Asegúrese antes de dar la instrucción tener la atención de la persona.
8. Procure dar una instrucción a la vez, paso a paso y verificar su finalización antes de asignar una nueva actividad.
9. Supervise a la persona sin invadir su espacio personal.
10. Promover actividades de bienestar en las que pueda participar la persona vinculada.
11. Asegurar que el lugar elegido sea adecuado para que la persona pueda participar con claridad y tranquilidad.
12. Considerar que la discapacidad psicosocial es una afectación que en la mayoría de los casos se puede generar en los mismos contextos laborales y es ahí donde la pregunta por la salud mental cobra gran relevancia.
13. Reducir, controlar o aislar los ruidos para facilitar la comunicación.
14. Asegúrese de asignar un par de apoyo.
15. Contar con el apoyo de un mediador comunicativo (intérprete)
16. Usar las diferentes ayudas que ofrece el centro de relevo: Relevo de llamadas y Servicio de interpretación en línea SIEL.
17. Contar con una señal visual que permita orientar a la persona cuando suena el teléfono, suena el timbre o suena una alarma.
18. Adaptación de material audiovisual (subtítulos en vídeos)
19. Utilizar un lenguaje sencillo y concreto
20. Formar al trabajador y a los compañeros en técnicas de comunicación alternativa.
21. Hacer uso de pictogramas si la persona no cuenta con lenguaje escrito.
22. Cuando se hacen reuniones, es importante que la ubicación de las personas sea en mesa redonda, para facilitar la comunicación cara a cara.
23. Hacer contacto visual cuando se de una instrucción o tenga comunicación con las personas sordas
26. Se recomienda minimizar el uso de pruebas psicotécnicas y reemplazarlas por otras estrategias de selección que permitan alcanzar los mismos objetivos. Solo en caso de que lo anterior no sea posible, se sugiere priorizar la aplicación de pruebas gráficas-proyectivas que buscan identificar rasgos de personalidad.</v>
      </c>
      <c r="M156" s="144"/>
      <c r="N156" s="144"/>
      <c r="O156" s="144"/>
      <c r="P156" s="144"/>
      <c r="Q156" s="144"/>
      <c r="R156" s="144"/>
      <c r="S156" s="145"/>
    </row>
    <row r="157" spans="1:19" s="42" customFormat="1" ht="15">
      <c r="A157" s="82"/>
      <c r="B157" s="47"/>
      <c r="C157" s="47"/>
      <c r="D157" s="47"/>
      <c r="E157" s="47"/>
      <c r="F157" s="47"/>
      <c r="G157" s="47"/>
      <c r="H157" s="47"/>
      <c r="I157" s="47"/>
      <c r="J157" s="47"/>
      <c r="K157" s="47"/>
      <c r="L157" s="47"/>
      <c r="M157" s="47"/>
      <c r="N157" s="47"/>
      <c r="O157" s="47"/>
      <c r="P157" s="47"/>
      <c r="Q157" s="47"/>
      <c r="R157" s="47"/>
      <c r="S157" s="55"/>
    </row>
    <row r="158" spans="1:19" s="42" customFormat="1" ht="12.75">
      <c r="A158" s="76" t="s">
        <v>291</v>
      </c>
      <c r="B158" s="47"/>
      <c r="C158" s="47"/>
      <c r="D158" s="47"/>
      <c r="E158" s="47"/>
      <c r="F158" s="47"/>
      <c r="G158" s="47"/>
      <c r="H158" s="47"/>
      <c r="I158" s="47"/>
      <c r="J158" s="47"/>
      <c r="K158" s="47"/>
      <c r="L158" s="47"/>
      <c r="M158" s="47"/>
      <c r="N158" s="47"/>
      <c r="O158" s="47"/>
      <c r="P158" s="47"/>
      <c r="Q158" s="47"/>
      <c r="R158" s="47"/>
      <c r="S158" s="55"/>
    </row>
    <row r="159" spans="1:19" s="42" customFormat="1" ht="107.25" customHeight="1">
      <c r="A159" s="82"/>
      <c r="B159" s="47"/>
      <c r="C159" s="47"/>
      <c r="D159" s="47"/>
      <c r="E159" s="47"/>
      <c r="F159" s="47"/>
      <c r="G159" s="47"/>
      <c r="H159" s="47"/>
      <c r="I159" s="47"/>
      <c r="J159" s="47"/>
      <c r="K159" s="47"/>
      <c r="L159" s="47"/>
      <c r="M159" s="47"/>
      <c r="N159" s="47"/>
      <c r="O159" s="47"/>
      <c r="P159" s="47"/>
      <c r="Q159" s="47"/>
      <c r="R159" s="47"/>
      <c r="S159" s="55"/>
    </row>
    <row r="160" spans="1:19" s="42" customFormat="1" ht="12.75">
      <c r="A160" s="76" t="s">
        <v>292</v>
      </c>
      <c r="B160" s="47"/>
      <c r="C160" s="47"/>
      <c r="D160" s="47"/>
      <c r="E160" s="47"/>
      <c r="F160" s="47"/>
      <c r="G160" s="47"/>
      <c r="H160" s="47"/>
      <c r="I160" s="47"/>
      <c r="J160" s="47"/>
      <c r="K160" s="47"/>
      <c r="L160" s="47"/>
      <c r="M160" s="47"/>
      <c r="N160" s="47"/>
      <c r="O160" s="47"/>
      <c r="P160" s="47"/>
      <c r="Q160" s="47"/>
      <c r="R160" s="47"/>
      <c r="S160" s="55"/>
    </row>
    <row r="161" spans="1:19" s="42" customFormat="1" ht="30">
      <c r="A161" s="82" t="s">
        <v>155</v>
      </c>
      <c r="B161" s="47"/>
      <c r="C161" s="47"/>
      <c r="D161" s="48"/>
      <c r="E161" s="82" t="s">
        <v>159</v>
      </c>
      <c r="F161" s="47"/>
      <c r="G161" s="47"/>
      <c r="H161" s="47"/>
      <c r="I161" s="47"/>
      <c r="J161" s="48"/>
      <c r="K161" s="45" t="s">
        <v>151</v>
      </c>
      <c r="L161" s="82" t="s">
        <v>160</v>
      </c>
      <c r="M161" s="47"/>
      <c r="N161" s="47"/>
      <c r="O161" s="47"/>
      <c r="P161" s="47"/>
      <c r="Q161" s="47"/>
      <c r="R161" s="47"/>
      <c r="S161" s="55"/>
    </row>
    <row r="162" spans="1:19" s="42" customFormat="1" ht="30">
      <c r="A162" s="82" t="s">
        <v>155</v>
      </c>
      <c r="B162" s="47"/>
      <c r="C162" s="47"/>
      <c r="D162" s="48"/>
      <c r="E162" s="82"/>
      <c r="F162" s="47"/>
      <c r="G162" s="47"/>
      <c r="H162" s="47"/>
      <c r="I162" s="47"/>
      <c r="J162" s="48"/>
      <c r="K162" s="45" t="s">
        <v>151</v>
      </c>
      <c r="L162" s="83"/>
      <c r="M162" s="47"/>
      <c r="N162" s="47"/>
      <c r="O162" s="47"/>
      <c r="P162" s="47"/>
      <c r="Q162" s="47"/>
      <c r="R162" s="47"/>
      <c r="S162" s="55"/>
    </row>
    <row r="163" spans="1:19" s="42" customFormat="1" ht="30">
      <c r="A163" s="82" t="s">
        <v>155</v>
      </c>
      <c r="B163" s="47"/>
      <c r="C163" s="47"/>
      <c r="D163" s="48"/>
      <c r="E163" s="82"/>
      <c r="F163" s="47"/>
      <c r="G163" s="47"/>
      <c r="H163" s="47"/>
      <c r="I163" s="47"/>
      <c r="J163" s="48"/>
      <c r="K163" s="45" t="s">
        <v>151</v>
      </c>
      <c r="L163" s="83"/>
      <c r="M163" s="47"/>
      <c r="N163" s="47"/>
      <c r="O163" s="47"/>
      <c r="P163" s="47"/>
      <c r="Q163" s="47"/>
      <c r="R163" s="47"/>
      <c r="S163" s="55"/>
    </row>
    <row r="164" spans="1:19" s="42" customFormat="1" ht="12.75">
      <c r="A164" s="84" t="s">
        <v>156</v>
      </c>
      <c r="B164" s="60"/>
      <c r="C164" s="60"/>
      <c r="D164" s="60"/>
      <c r="E164" s="60"/>
      <c r="F164" s="60"/>
      <c r="G164" s="60"/>
      <c r="H164" s="60"/>
      <c r="I164" s="60"/>
      <c r="J164" s="60"/>
      <c r="K164" s="60"/>
      <c r="L164" s="60"/>
      <c r="M164" s="60"/>
      <c r="N164" s="60"/>
      <c r="O164" s="60"/>
      <c r="P164" s="60"/>
      <c r="Q164" s="60"/>
      <c r="R164" s="60"/>
      <c r="S164" s="63"/>
    </row>
  </sheetData>
  <mergeCells count="318">
    <mergeCell ref="A152:K152"/>
    <mergeCell ref="A153:K153"/>
    <mergeCell ref="A154:K154"/>
    <mergeCell ref="A155:K155"/>
    <mergeCell ref="A156:K156"/>
    <mergeCell ref="A116:S116"/>
    <mergeCell ref="L80:S80"/>
    <mergeCell ref="L81:S81"/>
    <mergeCell ref="L82:S82"/>
    <mergeCell ref="L83:S83"/>
    <mergeCell ref="L84:S84"/>
    <mergeCell ref="A77:S77"/>
    <mergeCell ref="L89:S89"/>
    <mergeCell ref="L90:S90"/>
    <mergeCell ref="L91:S91"/>
    <mergeCell ref="A109:S109"/>
    <mergeCell ref="A110:G110"/>
    <mergeCell ref="H110:K110"/>
    <mergeCell ref="L110:S110"/>
    <mergeCell ref="H111:K111"/>
    <mergeCell ref="L111:S111"/>
    <mergeCell ref="A111:G111"/>
    <mergeCell ref="A112:G112"/>
    <mergeCell ref="H112:K112"/>
    <mergeCell ref="L112:S112"/>
    <mergeCell ref="A113:G113"/>
    <mergeCell ref="H113:K113"/>
    <mergeCell ref="L113:S113"/>
    <mergeCell ref="A101:K101"/>
    <mergeCell ref="A133:H137"/>
    <mergeCell ref="I133:L133"/>
    <mergeCell ref="I134:L134"/>
    <mergeCell ref="I135:L135"/>
    <mergeCell ref="I136:L136"/>
    <mergeCell ref="I137:L137"/>
    <mergeCell ref="M126:S126"/>
    <mergeCell ref="A80:K80"/>
    <mergeCell ref="A81:K81"/>
    <mergeCell ref="A82:K82"/>
    <mergeCell ref="A83:K83"/>
    <mergeCell ref="I131:L131"/>
    <mergeCell ref="M131:S131"/>
    <mergeCell ref="I127:L127"/>
    <mergeCell ref="M127:S127"/>
    <mergeCell ref="A106:K106"/>
    <mergeCell ref="A107:D107"/>
    <mergeCell ref="E107:S107"/>
    <mergeCell ref="A114:G114"/>
    <mergeCell ref="H114:K114"/>
    <mergeCell ref="L114:S114"/>
    <mergeCell ref="A115:G115"/>
    <mergeCell ref="H115:K115"/>
    <mergeCell ref="L115:S115"/>
    <mergeCell ref="A74:K74"/>
    <mergeCell ref="A75:K75"/>
    <mergeCell ref="A76:D76"/>
    <mergeCell ref="E76:S76"/>
    <mergeCell ref="A78:K79"/>
    <mergeCell ref="L78:S79"/>
    <mergeCell ref="L74:S74"/>
    <mergeCell ref="L75:S75"/>
    <mergeCell ref="A69:K69"/>
    <mergeCell ref="A70:K70"/>
    <mergeCell ref="A71:K71"/>
    <mergeCell ref="A72:K72"/>
    <mergeCell ref="A73:K73"/>
    <mergeCell ref="L69:S69"/>
    <mergeCell ref="L70:S70"/>
    <mergeCell ref="L71:S71"/>
    <mergeCell ref="L72:S72"/>
    <mergeCell ref="L73:S73"/>
    <mergeCell ref="A64:K64"/>
    <mergeCell ref="A65:K65"/>
    <mergeCell ref="A66:K66"/>
    <mergeCell ref="A67:K67"/>
    <mergeCell ref="A68:K68"/>
    <mergeCell ref="L64:S64"/>
    <mergeCell ref="L65:S65"/>
    <mergeCell ref="L66:S66"/>
    <mergeCell ref="L67:S67"/>
    <mergeCell ref="L68:S68"/>
    <mergeCell ref="A52:S52"/>
    <mergeCell ref="A53:S56"/>
    <mergeCell ref="A57:S57"/>
    <mergeCell ref="A58:S58"/>
    <mergeCell ref="A59:S59"/>
    <mergeCell ref="A60:S60"/>
    <mergeCell ref="A61:S61"/>
    <mergeCell ref="A62:K63"/>
    <mergeCell ref="L62:S63"/>
    <mergeCell ref="A47:H47"/>
    <mergeCell ref="I47:S47"/>
    <mergeCell ref="A48:H48"/>
    <mergeCell ref="I48:S48"/>
    <mergeCell ref="A49:H49"/>
    <mergeCell ref="I49:S49"/>
    <mergeCell ref="A50:H50"/>
    <mergeCell ref="I50:S50"/>
    <mergeCell ref="A51:S51"/>
    <mergeCell ref="L30:S30"/>
    <mergeCell ref="L31:S31"/>
    <mergeCell ref="L32:S32"/>
    <mergeCell ref="N36:Q36"/>
    <mergeCell ref="R36:S36"/>
    <mergeCell ref="L33:S33"/>
    <mergeCell ref="A34:S34"/>
    <mergeCell ref="A35:S35"/>
    <mergeCell ref="A36:F36"/>
    <mergeCell ref="G36:H36"/>
    <mergeCell ref="I36:K36"/>
    <mergeCell ref="L36:M36"/>
    <mergeCell ref="A44:H44"/>
    <mergeCell ref="I44:S44"/>
    <mergeCell ref="A45:H45"/>
    <mergeCell ref="I45:S45"/>
    <mergeCell ref="I46:S46"/>
    <mergeCell ref="I31:K31"/>
    <mergeCell ref="I32:K32"/>
    <mergeCell ref="I30:K30"/>
    <mergeCell ref="I33:K33"/>
    <mergeCell ref="A37:F37"/>
    <mergeCell ref="G37:H37"/>
    <mergeCell ref="I37:K37"/>
    <mergeCell ref="L37:M37"/>
    <mergeCell ref="N37:Q37"/>
    <mergeCell ref="R37:S37"/>
    <mergeCell ref="A38:S38"/>
    <mergeCell ref="A46:H46"/>
    <mergeCell ref="A39:H39"/>
    <mergeCell ref="I39:S39"/>
    <mergeCell ref="A40:H40"/>
    <mergeCell ref="I40:S40"/>
    <mergeCell ref="A41:S41"/>
    <mergeCell ref="A42:H42"/>
    <mergeCell ref="I42:S42"/>
    <mergeCell ref="A17:H17"/>
    <mergeCell ref="A18:H18"/>
    <mergeCell ref="A19:H19"/>
    <mergeCell ref="A20:H20"/>
    <mergeCell ref="A43:H43"/>
    <mergeCell ref="I43:S43"/>
    <mergeCell ref="A21:H21"/>
    <mergeCell ref="A22:H22"/>
    <mergeCell ref="A23:H23"/>
    <mergeCell ref="A24:H24"/>
    <mergeCell ref="A25:H25"/>
    <mergeCell ref="A26:H26"/>
    <mergeCell ref="A27:H27"/>
    <mergeCell ref="I27:S27"/>
    <mergeCell ref="A28:H28"/>
    <mergeCell ref="I28:S28"/>
    <mergeCell ref="I21:S21"/>
    <mergeCell ref="I22:S22"/>
    <mergeCell ref="I23:S23"/>
    <mergeCell ref="I24:S24"/>
    <mergeCell ref="A29:H29"/>
    <mergeCell ref="I29:K29"/>
    <mergeCell ref="M29:S29"/>
    <mergeCell ref="A30:H33"/>
    <mergeCell ref="L7:M7"/>
    <mergeCell ref="N7:S7"/>
    <mergeCell ref="A1:G4"/>
    <mergeCell ref="H1:Q4"/>
    <mergeCell ref="R4:S4"/>
    <mergeCell ref="A6:S6"/>
    <mergeCell ref="A7:E7"/>
    <mergeCell ref="F7:K7"/>
    <mergeCell ref="A5:S5"/>
    <mergeCell ref="A8:E8"/>
    <mergeCell ref="F8:K8"/>
    <mergeCell ref="L8:M8"/>
    <mergeCell ref="N8:S8"/>
    <mergeCell ref="F9:K9"/>
    <mergeCell ref="L9:M9"/>
    <mergeCell ref="N9:S9"/>
    <mergeCell ref="L11:M11"/>
    <mergeCell ref="N11:S11"/>
    <mergeCell ref="A9:E9"/>
    <mergeCell ref="A10:E10"/>
    <mergeCell ref="F10:K10"/>
    <mergeCell ref="L10:M10"/>
    <mergeCell ref="N10:S10"/>
    <mergeCell ref="A11:E11"/>
    <mergeCell ref="F11:K11"/>
    <mergeCell ref="M140:S140"/>
    <mergeCell ref="M141:S141"/>
    <mergeCell ref="M142:S142"/>
    <mergeCell ref="M143:S143"/>
    <mergeCell ref="M144:S144"/>
    <mergeCell ref="A12:E12"/>
    <mergeCell ref="F12:K12"/>
    <mergeCell ref="L12:M12"/>
    <mergeCell ref="N12:S12"/>
    <mergeCell ref="A13:E13"/>
    <mergeCell ref="F13:K13"/>
    <mergeCell ref="L13:M13"/>
    <mergeCell ref="N13:S13"/>
    <mergeCell ref="A14:S14"/>
    <mergeCell ref="A15:H15"/>
    <mergeCell ref="I15:S15"/>
    <mergeCell ref="A16:H16"/>
    <mergeCell ref="I16:S16"/>
    <mergeCell ref="I17:S17"/>
    <mergeCell ref="I25:S25"/>
    <mergeCell ref="I26:S26"/>
    <mergeCell ref="I18:S18"/>
    <mergeCell ref="I19:S19"/>
    <mergeCell ref="I20:S20"/>
    <mergeCell ref="L163:S163"/>
    <mergeCell ref="A163:D163"/>
    <mergeCell ref="E163:J163"/>
    <mergeCell ref="A164:S164"/>
    <mergeCell ref="A158:S158"/>
    <mergeCell ref="A159:S159"/>
    <mergeCell ref="A160:S160"/>
    <mergeCell ref="A161:D161"/>
    <mergeCell ref="E161:J161"/>
    <mergeCell ref="A162:D162"/>
    <mergeCell ref="E162:J162"/>
    <mergeCell ref="L155:S155"/>
    <mergeCell ref="L156:S156"/>
    <mergeCell ref="A157:S157"/>
    <mergeCell ref="L161:S161"/>
    <mergeCell ref="L162:S162"/>
    <mergeCell ref="M145:S145"/>
    <mergeCell ref="M146:S146"/>
    <mergeCell ref="M147:S147"/>
    <mergeCell ref="M148:S148"/>
    <mergeCell ref="M149:S149"/>
    <mergeCell ref="E150:S150"/>
    <mergeCell ref="A151:S151"/>
    <mergeCell ref="L154:S154"/>
    <mergeCell ref="L152:S152"/>
    <mergeCell ref="L153:S153"/>
    <mergeCell ref="A144:H149"/>
    <mergeCell ref="I144:L144"/>
    <mergeCell ref="I145:L145"/>
    <mergeCell ref="I146:L146"/>
    <mergeCell ref="I147:L147"/>
    <mergeCell ref="I148:L148"/>
    <mergeCell ref="I149:L149"/>
    <mergeCell ref="A150:D150"/>
    <mergeCell ref="A138:H143"/>
    <mergeCell ref="I138:L138"/>
    <mergeCell ref="I139:L139"/>
    <mergeCell ref="I140:L140"/>
    <mergeCell ref="I141:L141"/>
    <mergeCell ref="A117:S117"/>
    <mergeCell ref="A118:H119"/>
    <mergeCell ref="M118:S119"/>
    <mergeCell ref="A120:H125"/>
    <mergeCell ref="M120:S120"/>
    <mergeCell ref="M121:S121"/>
    <mergeCell ref="I142:L142"/>
    <mergeCell ref="I143:L143"/>
    <mergeCell ref="I128:L128"/>
    <mergeCell ref="M128:S128"/>
    <mergeCell ref="I129:L129"/>
    <mergeCell ref="M129:S129"/>
    <mergeCell ref="I130:L130"/>
    <mergeCell ref="M130:S130"/>
    <mergeCell ref="I125:L125"/>
    <mergeCell ref="M125:S125"/>
    <mergeCell ref="A126:H132"/>
    <mergeCell ref="I126:L126"/>
    <mergeCell ref="M138:S138"/>
    <mergeCell ref="M139:S139"/>
    <mergeCell ref="I120:L120"/>
    <mergeCell ref="I121:L121"/>
    <mergeCell ref="I118:L119"/>
    <mergeCell ref="I122:L122"/>
    <mergeCell ref="M122:S122"/>
    <mergeCell ref="I123:L123"/>
    <mergeCell ref="M123:S123"/>
    <mergeCell ref="I124:L124"/>
    <mergeCell ref="M124:S124"/>
    <mergeCell ref="I132:L132"/>
    <mergeCell ref="M132:S132"/>
    <mergeCell ref="M133:S133"/>
    <mergeCell ref="M134:S134"/>
    <mergeCell ref="M135:S135"/>
    <mergeCell ref="M136:S136"/>
    <mergeCell ref="M137:S137"/>
    <mergeCell ref="L106:S106"/>
    <mergeCell ref="A108:S108"/>
    <mergeCell ref="A96:K96"/>
    <mergeCell ref="A97:K97"/>
    <mergeCell ref="A98:K98"/>
    <mergeCell ref="A99:K99"/>
    <mergeCell ref="A100:K100"/>
    <mergeCell ref="L96:S96"/>
    <mergeCell ref="L97:S97"/>
    <mergeCell ref="L98:S98"/>
    <mergeCell ref="L99:S99"/>
    <mergeCell ref="L100:S100"/>
    <mergeCell ref="A102:K102"/>
    <mergeCell ref="A103:K103"/>
    <mergeCell ref="A104:K104"/>
    <mergeCell ref="A105:K105"/>
    <mergeCell ref="L101:S101"/>
    <mergeCell ref="L102:S102"/>
    <mergeCell ref="L103:S103"/>
    <mergeCell ref="L104:S104"/>
    <mergeCell ref="L105:S105"/>
    <mergeCell ref="A90:K90"/>
    <mergeCell ref="A91:K91"/>
    <mergeCell ref="A92:D92"/>
    <mergeCell ref="E92:S92"/>
    <mergeCell ref="A93:S93"/>
    <mergeCell ref="A94:K95"/>
    <mergeCell ref="L94:S95"/>
    <mergeCell ref="A84:K84"/>
    <mergeCell ref="A85:D85"/>
    <mergeCell ref="E85:S85"/>
    <mergeCell ref="A86:S86"/>
    <mergeCell ref="A87:K88"/>
    <mergeCell ref="L87:S88"/>
    <mergeCell ref="A89:K89"/>
  </mergeCells>
  <conditionalFormatting sqref="G36:G37 R36:R37">
    <cfRule type="notContainsBlanks" dxfId="1" priority="2">
      <formula>LEN(TRIM(G36))&gt;0</formula>
    </cfRule>
  </conditionalFormatting>
  <conditionalFormatting sqref="O12:S12">
    <cfRule type="notContainsBlanks" dxfId="0" priority="1">
      <formula>LEN(TRIM(O12))&gt;0</formula>
    </cfRule>
  </conditionalFormatting>
  <dataValidations count="17">
    <dataValidation type="list" allowBlank="1" showErrorMessage="1" sqref="I46" xr:uid="{00000000-0002-0000-0500-000000000000}">
      <formula1>"15 minutos,30 minutos,45 minutos,1 hora,No aplica"</formula1>
    </dataValidation>
    <dataValidation type="list" allowBlank="1" showErrorMessage="1" sqref="L64:L75 L80:L84 L89:L91 L96:L106" xr:uid="{00000000-0002-0000-0500-000001000000}">
      <formula1>"Alto.,Medio. ,Bajo.,No aplica."</formula1>
    </dataValidation>
    <dataValidation type="list" allowBlank="1" showErrorMessage="1" sqref="L161" xr:uid="{00000000-0002-0000-0500-000002000000}">
      <formula1>"Coordinadora de inclusión laboral,Coordinación de inclusión laboral,Gestora de inclusión laboral,Gestor de inclusión laboral,Profesional de apoyo de inclusión laboral,Lider empleo inclusivo,Gestora de proyectos y desarrollo,Profesional de inclusión labora"&amp;"l,Directora Fundación Reca"</formula1>
    </dataValidation>
    <dataValidation type="list" allowBlank="1" showErrorMessage="1" sqref="I50" xr:uid="{00000000-0002-0000-0500-000003000000}">
      <formula1>"Seis meses.,Un año.,Año y medio.,Dos años y medio ,Las prácticas son válidas como experiencia laboral.,Sin experiencia laboral.,Tres Meses ,Con o Sin Experiencia ,Dos Años ,Tres Años ,Cuatro Años ,Cinco Años "</formula1>
    </dataValidation>
    <dataValidation type="list" allowBlank="1" showErrorMessage="1" sqref="M120:M149" xr:uid="{00000000-0002-0000-0500-000004000000}">
      <formula1>"Alto.,Medio.,Bajo.,No aplica."</formula1>
    </dataValidation>
    <dataValidation type="custom" allowBlank="1" showDropDown="1" sqref="F7" xr:uid="{00000000-0002-0000-0500-000005000000}">
      <formula1>OR(NOT(ISERROR(DATEVALUE(F7))), AND(ISNUMBER(F7), LEFT(CELL("format", F7))="D"))</formula1>
    </dataValidation>
    <dataValidation type="list" allowBlank="1" showErrorMessage="1" sqref="E161" xr:uid="{00000000-0002-0000-0500-000006000000}">
      <formula1>"Sandra Milena Pachón Rojas,Sara Zambrano,Alejandra Pérez,Lenny Lugo,Angie Díaz,Adriana Viveros,Janeth Camargo,Gabriela Rubiano Isaza,Andrés Montes,Sara Sánchez,Catalina Salazar"</formula1>
    </dataValidation>
    <dataValidation type="list" allowBlank="1" showErrorMessage="1" sqref="I29" xr:uid="{00000000-0002-0000-0500-000007000000}">
      <formula1>"Sí,No,En Trámite"</formula1>
    </dataValidation>
    <dataValidation type="list" allowBlank="1" showErrorMessage="1" sqref="N7" xr:uid="{00000000-0002-0000-0500-000008000000}">
      <formula1>"Presencial,Virtual,Mixta,No aplica"</formula1>
    </dataValidation>
    <dataValidation type="list" allowBlank="1" showErrorMessage="1" sqref="I25" xr:uid="{00000000-0002-0000-0500-000009000000}">
      <formula1>"Término Fijo.,Término Indefinido.,Obra o Labor.,Prestación de Servicios.,Término Indefinido con Cláusula presuntiva.,Nombramiento.,Contrato de Aprendizaje.,Nombramiento provisional."</formula1>
    </dataValidation>
    <dataValidation type="list" allowBlank="1" showErrorMessage="1" sqref="L111:L115" xr:uid="{00000000-0002-0000-0500-00000A000000}">
      <formula1>"Diario.,Semanal.,Quincenal.,Mensual.,No aplica."</formula1>
    </dataValidation>
    <dataValidation type="list" allowBlank="1" showErrorMessage="1" sqref="I18" xr:uid="{00000000-0002-0000-0500-00000B000000}">
      <formula1>"Hombre,Mujer,Hombre - Mujer,Otro,Indiferente"</formula1>
    </dataValidation>
    <dataValidation type="list" allowBlank="1" showErrorMessage="1" sqref="I17" xr:uid="{00000000-0002-0000-0500-00000C000000}">
      <formula1>"Administrativo.,Operativo.,Servicios."</formula1>
    </dataValidation>
    <dataValidation type="list" allowBlank="1" showErrorMessage="1" sqref="I42" xr:uid="{00000000-0002-0000-0500-00000D000000}">
      <formula1>"Horarios Fijos.,Horarios Rotativos.,Flexibilización de horarios"</formula1>
    </dataValidation>
    <dataValidation type="list" allowBlank="1" showErrorMessage="1" sqref="I43:I44" xr:uid="{00000000-0002-0000-0500-00000F000000}">
      <formula1>"1:00 am,2:00 am,3:00 am,4:00 am,5:00 am,6:00 am,7:00 am,8:00 am,9:00 am,10:00 am,11:00 am,12:00 am,12:00 pm,1:00 pm,2:00 pm,3:00 pm,4:00 pm,5:00 pm,6:00 pm,7:00 pm,8:00 pm,9:00 pm,10:00 pm,11:00 pm"</formula1>
    </dataValidation>
    <dataValidation type="list" allowBlank="1" showErrorMessage="1" sqref="I45" xr:uid="{00000000-0002-0000-0500-000010000000}">
      <formula1>"15 minutos.,30 minutos.,45 minutos.,1 hora.,No aplica.,2 horas. "</formula1>
    </dataValidation>
    <dataValidation type="list" allowBlank="1" showInputMessage="1" showErrorMessage="1" prompt="Haz clic e introduce un valor de la lista de elementos" sqref="H111:H115" xr:uid="{00000000-0002-0000-0500-000011000000}">
      <formula1>"                      De 1 a 2 horas.,                      De 2 a 4 horas.,                      De 4 a 6 horas.,                      De 6 a 8 horas.,No aplica"</formula1>
    </dataValidation>
  </dataValidations>
  <hyperlinks>
    <hyperlink ref="A164" r:id="rId1" xr:uid="{00000000-0004-0000-0500-000000000000}"/>
  </hyperlinks>
  <printOptions horizontalCentered="1" gridLines="1"/>
  <pageMargins left="0.7" right="0.7" top="0.75" bottom="0.75" header="0" footer="0"/>
  <pageSetup fitToHeight="0" pageOrder="overThenDown" orientation="portrait" cellComments="atEnd"/>
  <drawing r:id="rId2"/>
  <extLst>
    <ext xmlns:x14="http://schemas.microsoft.com/office/spreadsheetml/2009/9/main" uri="{CCE6A557-97BC-4b89-ADB6-D9C93CAAB3DF}">
      <x14:dataValidations xmlns:xm="http://schemas.microsoft.com/office/excel/2006/main" count="1">
        <x14:dataValidation type="list" allowBlank="1" showErrorMessage="1" xr:uid="{00000000-0002-0000-0500-00000E000000}">
          <x14:formula1>
            <xm:f>caracterizacion!$A$52:$A$73</xm:f>
          </x14:formula1>
          <xm:sqref>A153:A156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caracterizacion</vt:lpstr>
      <vt:lpstr>3. REVISIÓN DE LAS CONDICIONES </vt:lpstr>
      <vt:lpstr>Vinculados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Uyaban</cp:lastModifiedBy>
  <cp:lastPrinted>2025-12-29T23:50:37Z</cp:lastPrinted>
  <dcterms:modified xsi:type="dcterms:W3CDTF">2026-03-05T21:06:51Z</dcterms:modified>
</cp:coreProperties>
</file>