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e4981800d23179/바탕 화면/이정아/온실가스/"/>
    </mc:Choice>
  </mc:AlternateContent>
  <xr:revisionPtr revIDLastSave="65" documentId="8_{C3F0F66B-A2C0-4A35-A8B3-45656146FAB9}" xr6:coauthVersionLast="47" xr6:coauthVersionMax="47" xr10:uidLastSave="{843930D2-1FE9-493D-BF63-5AC9E20B244A}"/>
  <bookViews>
    <workbookView xWindow="-98" yWindow="-98" windowWidth="21795" windowHeight="12975" activeTab="2" xr2:uid="{5ECC7747-B069-4372-8BB8-340BF23FDDAC}"/>
  </bookViews>
  <sheets>
    <sheet name="분류" sheetId="1" r:id="rId1"/>
    <sheet name="관리기준" sheetId="3" r:id="rId2"/>
    <sheet name="매개변수기준" sheetId="4" r:id="rId3"/>
    <sheet name="연료별 매개변수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71" i="2"/>
  <c r="K71" i="2"/>
  <c r="J71" i="2"/>
  <c r="L70" i="2"/>
  <c r="K70" i="2"/>
  <c r="J70" i="2"/>
  <c r="L69" i="2"/>
  <c r="K69" i="2"/>
  <c r="J69" i="2"/>
  <c r="Q68" i="2"/>
  <c r="P68" i="2"/>
  <c r="L68" i="2"/>
  <c r="K68" i="2"/>
  <c r="J68" i="2"/>
  <c r="Q67" i="2"/>
  <c r="P67" i="2"/>
  <c r="L67" i="2"/>
  <c r="K67" i="2"/>
  <c r="J67" i="2"/>
  <c r="D66" i="2"/>
  <c r="D65" i="2"/>
  <c r="D64" i="2"/>
  <c r="D63" i="2"/>
  <c r="U62" i="2"/>
  <c r="D62" i="2"/>
  <c r="U61" i="2"/>
  <c r="Q61" i="2"/>
  <c r="P61" i="2"/>
  <c r="D61" i="2"/>
  <c r="U60" i="2"/>
  <c r="D60" i="2"/>
  <c r="D59" i="2"/>
  <c r="D58" i="2"/>
  <c r="U57" i="2"/>
  <c r="D57" i="2"/>
  <c r="D56" i="2"/>
  <c r="K55" i="2"/>
  <c r="D55" i="2"/>
  <c r="U54" i="2"/>
  <c r="D54" i="2"/>
  <c r="D53" i="2"/>
  <c r="D52" i="2"/>
  <c r="Q51" i="2"/>
  <c r="P51" i="2"/>
  <c r="I51" i="2"/>
  <c r="J51" i="2" s="1"/>
  <c r="Q50" i="2"/>
  <c r="P50" i="2"/>
  <c r="I50" i="2"/>
  <c r="J50" i="2" s="1"/>
  <c r="Q49" i="2"/>
  <c r="P49" i="2"/>
  <c r="I49" i="2"/>
  <c r="J49" i="2" s="1"/>
  <c r="D49" i="2"/>
  <c r="D48" i="2"/>
  <c r="D47" i="2"/>
  <c r="K46" i="2"/>
  <c r="D46" i="2"/>
  <c r="K45" i="2"/>
  <c r="D45" i="2"/>
  <c r="U44" i="2"/>
  <c r="K44" i="2"/>
  <c r="D44" i="2"/>
  <c r="K43" i="2"/>
  <c r="D43" i="2"/>
  <c r="Q42" i="2"/>
  <c r="P42" i="2"/>
  <c r="K42" i="2"/>
  <c r="D42" i="2"/>
  <c r="K41" i="2"/>
  <c r="D41" i="2"/>
  <c r="K40" i="2"/>
  <c r="D40" i="2"/>
  <c r="K39" i="2"/>
  <c r="D39" i="2"/>
  <c r="K38" i="2"/>
  <c r="D38" i="2"/>
  <c r="Q37" i="2"/>
  <c r="P37" i="2"/>
  <c r="K37" i="2"/>
  <c r="I37" i="2"/>
  <c r="J37" i="2" s="1"/>
  <c r="D37" i="2"/>
  <c r="Q36" i="2"/>
  <c r="P36" i="2"/>
  <c r="K36" i="2"/>
  <c r="I36" i="2"/>
  <c r="J36" i="2" s="1"/>
  <c r="D36" i="2"/>
  <c r="Q35" i="2"/>
  <c r="P35" i="2"/>
  <c r="K35" i="2"/>
  <c r="I35" i="2"/>
  <c r="J35" i="2" s="1"/>
  <c r="D35" i="2"/>
  <c r="Q34" i="2"/>
  <c r="P34" i="2"/>
  <c r="K34" i="2"/>
  <c r="I34" i="2"/>
  <c r="J34" i="2" s="1"/>
  <c r="D34" i="2"/>
  <c r="Q33" i="2"/>
  <c r="P33" i="2"/>
  <c r="K33" i="2"/>
  <c r="I33" i="2"/>
  <c r="J33" i="2" s="1"/>
  <c r="D33" i="2"/>
  <c r="Q32" i="2"/>
  <c r="P32" i="2"/>
  <c r="K32" i="2"/>
  <c r="I32" i="2"/>
  <c r="J32" i="2" s="1"/>
  <c r="D32" i="2"/>
  <c r="U31" i="2"/>
  <c r="J31" i="2"/>
  <c r="D31" i="2"/>
  <c r="U30" i="2"/>
  <c r="Q30" i="2"/>
  <c r="P30" i="2"/>
  <c r="J30" i="2"/>
  <c r="D30" i="2"/>
  <c r="D29" i="2"/>
  <c r="D28" i="2"/>
  <c r="U27" i="2"/>
  <c r="D27" i="2"/>
  <c r="Q26" i="2"/>
  <c r="P26" i="2"/>
  <c r="J26" i="2"/>
  <c r="I26" i="2"/>
  <c r="D26" i="2"/>
  <c r="U25" i="2"/>
  <c r="Q25" i="2"/>
  <c r="P25" i="2"/>
  <c r="I25" i="2"/>
  <c r="J25" i="2" s="1"/>
  <c r="D25" i="2"/>
  <c r="Q24" i="2"/>
  <c r="P24" i="2"/>
  <c r="I24" i="2"/>
  <c r="J24" i="2" s="1"/>
  <c r="D24" i="2"/>
  <c r="U23" i="2"/>
  <c r="Q23" i="2"/>
  <c r="P23" i="2"/>
  <c r="I23" i="2"/>
  <c r="J23" i="2" s="1"/>
  <c r="D23" i="2"/>
  <c r="D22" i="2"/>
  <c r="Q21" i="2"/>
  <c r="P21" i="2"/>
  <c r="I21" i="2"/>
  <c r="J21" i="2" s="1"/>
  <c r="Q20" i="2"/>
  <c r="P20" i="2"/>
  <c r="J20" i="2"/>
  <c r="I20" i="2"/>
  <c r="D19" i="2"/>
  <c r="U18" i="2"/>
  <c r="Q18" i="2"/>
  <c r="P18" i="2"/>
  <c r="I18" i="2"/>
  <c r="J18" i="2" s="1"/>
  <c r="U17" i="2"/>
  <c r="Q17" i="2"/>
  <c r="P17" i="2"/>
  <c r="I17" i="2"/>
  <c r="J17" i="2" s="1"/>
  <c r="U16" i="2"/>
  <c r="Q16" i="2"/>
  <c r="P16" i="2"/>
  <c r="I16" i="2"/>
  <c r="J16" i="2" s="1"/>
  <c r="D16" i="2"/>
  <c r="U15" i="2"/>
  <c r="Q15" i="2"/>
  <c r="P15" i="2"/>
  <c r="I15" i="2"/>
  <c r="J15" i="2" s="1"/>
  <c r="U14" i="2"/>
  <c r="Q14" i="2"/>
  <c r="P14" i="2"/>
  <c r="I14" i="2"/>
  <c r="J14" i="2" s="1"/>
  <c r="U13" i="2"/>
  <c r="Q13" i="2"/>
  <c r="P13" i="2"/>
  <c r="I13" i="2"/>
  <c r="J13" i="2" s="1"/>
  <c r="D13" i="2"/>
  <c r="U12" i="2"/>
  <c r="D12" i="2"/>
  <c r="U11" i="2"/>
  <c r="Q11" i="2"/>
  <c r="P11" i="2"/>
  <c r="I11" i="2"/>
  <c r="J11" i="2" s="1"/>
  <c r="D11" i="2"/>
  <c r="U10" i="2"/>
  <c r="Q10" i="2"/>
  <c r="P10" i="2"/>
  <c r="I10" i="2"/>
  <c r="J10" i="2" s="1"/>
  <c r="D10" i="2"/>
  <c r="U9" i="2"/>
  <c r="D9" i="2"/>
  <c r="U8" i="2"/>
  <c r="D8" i="2"/>
  <c r="U7" i="2"/>
  <c r="Q7" i="2"/>
  <c r="P7" i="2"/>
  <c r="I7" i="2"/>
  <c r="J7" i="2" s="1"/>
  <c r="D7" i="2"/>
  <c r="U6" i="2"/>
  <c r="D6" i="2"/>
  <c r="U5" i="2"/>
  <c r="D5" i="2"/>
  <c r="U4" i="2"/>
  <c r="Q4" i="2"/>
  <c r="P4" i="2"/>
  <c r="D4" i="2"/>
  <c r="U53" i="2"/>
  <c r="U28" i="2" l="1"/>
  <c r="U39" i="2"/>
  <c r="U32" i="2"/>
  <c r="U29" i="2"/>
  <c r="U24" i="2"/>
  <c r="U20" i="2"/>
  <c r="U47" i="2"/>
  <c r="U48" i="2"/>
  <c r="U63" i="2"/>
  <c r="U37" i="2"/>
  <c r="U55" i="2"/>
  <c r="U42" i="2"/>
  <c r="U56" i="2"/>
  <c r="U64" i="2"/>
  <c r="U34" i="2"/>
  <c r="U49" i="2"/>
  <c r="U26" i="2"/>
  <c r="U40" i="2"/>
  <c r="U45" i="2"/>
  <c r="U50" i="2"/>
  <c r="U65" i="2"/>
  <c r="U21" i="2"/>
  <c r="U58" i="2"/>
  <c r="U36" i="2"/>
  <c r="U22" i="2"/>
  <c r="U41" i="2"/>
  <c r="U46" i="2"/>
  <c r="U51" i="2"/>
  <c r="U35" i="2"/>
  <c r="U59" i="2"/>
  <c r="U19" i="2"/>
  <c r="U33" i="2"/>
  <c r="U43" i="2"/>
  <c r="U66" i="2"/>
  <c r="U38" i="2"/>
  <c r="U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tc={E4C7A1AE-F281-41FE-A51F-79A9BDD4C5D4}</author>
    <author>tc={9CB737D1-911F-4E46-8722-C4D96C3E90D6}</author>
    <author>tc={29EE11EE-EA8C-48CB-AADD-60484F6BFB00}</author>
    <author>tc={FF41DCD6-186F-4C08-9D17-FB858D6A8D79}</author>
    <author>tc={C85AF803-0792-4160-A4CE-88E08EE45748}</author>
    <author>tc={D5EE1C76-6956-438E-9035-29684BDBB2EB}</author>
    <author>tc={FD75C04C-B105-4540-9868-B899D48BE820}</author>
    <author>tc={470A049A-8053-4C2B-AAF5-817C88AC630B}</author>
    <author>tc={6C09277D-9A44-4162-B883-8D871CF5E13A}</author>
    <author>tc={7BB44E84-FAAC-4194-BE98-709C501A944E}</author>
    <author>tc={E86CAEAC-427E-459D-9D9D-ACA5DF71C5BD}</author>
    <author>tc={0DAAAAD4-1E6F-4FD1-83D4-7F1715EC4194}</author>
    <author>tc={360731E7-B77E-4B1D-9B9A-4275192B65FB}</author>
    <author>tc={3B3194BF-3118-475A-80B3-92F0BEF0A713}</author>
    <author>tc={30152397-14CD-4A57-AD85-D625D47C5ED8}</author>
    <author>tc={3AEA1093-F6ED-4AF6-8635-D8934EEF016C}</author>
    <author>tc={48B1ECEA-4932-48F8-BD92-774B3590C959}</author>
    <author>tc={F43845E1-6C18-4918-A188-1A9753F984F9}</author>
    <author>tc={BB6FBEB0-4FED-4AD8-BC1F-1751C46BB0C8}</author>
    <author>tc={5C0456C3-B94B-4060-A0F3-A22EDA6D2E46}</author>
    <author>tc={760E4720-BD21-4883-892D-8FC2E3112211}</author>
    <author>tc={417CB5E2-E0C3-4CFE-B014-A5AFBCF6567A}</author>
    <author>tc={135B7EE8-B9F0-457E-A1B8-2370ED849E87}</author>
  </authors>
  <commentList>
    <comment ref="A4" authorId="0" shapeId="0" xr:uid="{E4C7A1AE-F281-41FE-A51F-79A9BDD4C5D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(IPCC 2006) 산업에 의한 수송을 위해 이용된 에너지는 여기서가 아니고 수송 (1A3)에서 보고되어야 한다.</t>
      </text>
    </comment>
    <comment ref="A6" authorId="1" shapeId="0" xr:uid="{9CB737D1-911F-4E46-8722-C4D96C3E90D6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이러한 부문에서 자신이 이용하기 위한 전력 및 열 생산을 위한 연소를 포함하여, 아래에 기술된 것과 같은 연소 활동으로부터 발생하는 배출. </t>
      </text>
    </comment>
    <comment ref="E7" authorId="2" shapeId="0" xr:uid="{29EE11EE-EA8C-48CB-AADD-60484F6BFB00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ISIC Group 271 및 Class 2731. </t>
      </text>
    </comment>
    <comment ref="E8" authorId="3" shapeId="0" xr:uid="{FF41DCD6-186F-4C08-9D17-FB858D6A8D79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ISIC Group 272 및 Class 2732. </t>
      </text>
    </comment>
    <comment ref="E9" authorId="4" shapeId="0" xr:uid="{C85AF803-0792-4160-A4CE-88E08EE45748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ISIC Division 24. </t>
      </text>
    </comment>
    <comment ref="E10" authorId="5" shapeId="0" xr:uid="{D5EE1C76-6956-438E-9035-29684BDBB2E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ISIC Divisions 21 및 22. </t>
      </text>
    </comment>
    <comment ref="E11" authorId="6" shapeId="0" xr:uid="{FD75C04C-B105-4540-9868-B899D48BE820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ISIC Divisions 15 및 16. </t>
      </text>
    </comment>
    <comment ref="E12" authorId="7" shapeId="0" xr:uid="{470A049A-8053-4C2B-AAF5-817C88AC630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유리, 도자기(ceramic), 시멘트 등과 같은 제품을 포함한다; ISIC Division 26. </t>
      </text>
    </comment>
    <comment ref="E13" authorId="8" shapeId="0" xr:uid="{6C09277D-9A44-4162-B883-8D871CF5E13A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ISIC Divisions 34 및 35. </t>
      </text>
    </comment>
    <comment ref="E14" authorId="9" shapeId="0" xr:uid="{7BB44E84-FAAC-4194-BE98-709C501A944E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수송 장비가 아닌 조립금속제품, 기계류, 장비를 포함한다.; ISIC Divisions 28, 29, 30, 31, 32. </t>
      </text>
    </comment>
    <comment ref="E15" authorId="10" shapeId="0" xr:uid="{E86CAEAC-427E-459D-9D9D-ACA5DF71C5BD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ISIC Divisions 13 및 14. </t>
      </text>
    </comment>
    <comment ref="E16" authorId="11" shapeId="0" xr:uid="{0DAAAAD4-1E6F-4FD1-83D4-7F1715EC419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ISIC Division 20. </t>
      </text>
    </comment>
    <comment ref="E17" authorId="12" shapeId="0" xr:uid="{360731E7-B77E-4B1D-9B9A-4275192B65F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ISIC Division 45. </t>
      </text>
    </comment>
    <comment ref="E18" authorId="13" shapeId="0" xr:uid="{3B3194BF-3118-475A-80B3-92F0BEF0A713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ISIC Divisions 17, 18, 19. </t>
      </text>
    </comment>
    <comment ref="E19" authorId="14" shapeId="0" xr:uid="{30152397-14CD-4A57-AD85-D625D47C5ED8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위에 포함되지 않거나 별도의 자료가 이용가능하지 않은 제조업 /건설. ISIC Divisions 25, 33, 36, 37을 포함한다. </t>
      </text>
    </comment>
    <comment ref="E21" authorId="15" shapeId="0" xr:uid="{3AEA1093-F6ED-4AF6-8635-D8934EEF016C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(IPCC 2006) 상업용 및 공공 건물에서의 연료 연소로부터 발생하는 배출; ISIC Divisions 41,50, 51, 52, 55, 63-67, 70-75, 80, 85, 90-93, 99 에 포함되는 모든 활동. </t>
      </text>
    </comment>
    <comment ref="E22" authorId="16" shapeId="0" xr:uid="{48B1ECEA-4932-48F8-BD92-774B3590C959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가정에서의 연료 연소로부터 발생하는 모든 배출. </t>
      </text>
    </comment>
    <comment ref="E23" authorId="17" shapeId="0" xr:uid="{F43845E1-6C18-4918-A188-1A9753F984F9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농업, 임업, 어업, 양어장과 같은 수산업에서 연료 연소로부터 발생하는 배출. ISIC Divisions 01, 02, 05에 포함되는 활동들. 간선도로 농업용 수송(Highway agricultural transportation)은 제외된다. </t>
      </text>
    </comment>
    <comment ref="H23" authorId="18" shapeId="0" xr:uid="{BB6FBEB0-4FED-4AD8-BC1F-1751C46BB0C8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고정형 (Stationary) : 펌프, 곡물 건조, 원예용 온실 및 기타 농업, 임업 혹은 수산업 에서의 고정 연소에서 연소된 연료로부터 발생하는 배출. </t>
      </text>
    </comment>
    <comment ref="I23" authorId="19" shapeId="0" xr:uid="{5C0456C3-B94B-4060-A0F3-A22EDA6D2E46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- 비포장 도로용 차량 및 기타 기계류 (Off-road Vehicles and Other Machinery) : 농토 및 산림에서 견인차량(traction vehicles)에 의해 연소된 연 료로부터 발생하는 배출. 
- 어업 (이동 연소) (Fishing (mobile combustion)) : 내륙, 연안, 원양 어업을 위해 연소된 연료로부터 발생하는 배출. 어업은 해당 국가에서 연료를 보급받은 모든 국적(flags)의 선박 을 포함해야 한다 (국제적 어업(international fishing)을 포함). </t>
      </text>
    </comment>
    <comment ref="E24" authorId="20" shapeId="0" xr:uid="{760E4720-BD21-4883-892D-8FC2E3112211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다른 곳에서 지정되지 않은 고정 배출원에서 연료 연소로부터 발생하는 배출. </t>
      </text>
    </comment>
    <comment ref="E25" authorId="21" shapeId="0" xr:uid="{417CB5E2-E0C3-4CFE-B014-A5AFBCF6567A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(1 A 4 c ii 혹은 다른 곳에서 포함되지 않은) 차량 및 기타 기 계류, 선박, 항공기로부터 발생하는 배출. </t>
      </text>
    </comment>
    <comment ref="I25" authorId="22" shapeId="0" xr:uid="{135B7EE8-B9F0-457E-A1B8-2370ED849E8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i. 이동형 (항공 요소) : 다른 곳에서 지정되지 않은 연료 연소로부터 발생하는 나머지 모든 항공 배출. 특정 국가내에서 이송되지만 다자간 작전에 종 사하지 않는 다른 국가의 군대에 의해 이용된 연료뿐만 아니라 특정 국가의 군대에 이송된 연료로부터 발생하는 배출을 포함한 다.
Ii. 이동형 (수상요소) : 다른 곳에서 지정되지 않은 연료 연소로부터 발생하는 나머지 모든 해상 배출. 특정 국가내에서 이송되지만 다자간 작전에 종 사하지 않는 다른 국가의 군대에 의해 이용된 연료뿐만 아니라 특정 국가의 군대에 이송된 연료로부터 발생하는 배출을 포함한 다. 
iii. 이동형 (기타) : 다른 곳에서 포함되지 않은 이동 배출원으로부터 발생하는 나머지 모든 배출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tc={78DA5694-A606-4656-9D11-702B9F62A4D9}</author>
    <author>tc={F0C260C7-5EC5-445C-B24F-BC02054205AC}</author>
    <author>tc={59C0C470-5583-4DE3-ABA1-454C69ACFBAF}</author>
    <author>tc={88A1C685-90CA-46D4-A3BD-1664AE511FDA}</author>
    <author>tc={24B39753-9892-44D6-9969-24E6850AB9DF}</author>
    <author>tc={715ADB36-DEAD-4F2E-8E0F-9F0CF765511C}</author>
    <author>tc={86B16A1B-4DA5-4D8C-BACE-A10F26BE7F0F}</author>
    <author>tc={B8E9AA11-9263-497C-ADC4-A3FE122FC5F5}</author>
    <author>tc={11D00741-BE36-4E66-9D14-09C381CAEC98}</author>
    <author>tc={BE33BCCE-4491-4FCF-A5A6-0F88A765BDA0}</author>
    <author>tc={D8926BF0-85A5-4521-9573-3D311AE03777}</author>
    <author>tc={4B0913DE-E2EF-4D1E-A22E-0FA76FBC87D9}</author>
    <author>tc={58A8808C-4F3D-42E1-B182-BBB694265A83}</author>
    <author>tc={C63B610B-5150-4C32-8D8F-4359F512116A}</author>
  </authors>
  <commentList>
    <comment ref="G2" authorId="0" shapeId="0" xr:uid="{78DA5694-A606-4656-9D11-702B9F62A4D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IPCC 2006 GL + 제15조 2항
답글:
     상업/공공부문 및 가정과 농립어업 부문에서의 고정 연소에 대한 기본 배출계수</t>
      </text>
    </comment>
    <comment ref="T3" authorId="1" shapeId="0" xr:uid="{F0C260C7-5EC5-445C-B24F-BC02054205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* 하단의 표의 연료 상태는 상온을 기준으로 작성</t>
      </text>
    </comment>
    <comment ref="B10" authorId="2" shapeId="0" xr:uid="{59C0C470-5583-4DE3-ABA1-454C69ACFBA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Jet A-1
JP-4
JP-8
답글:
    항공용 휘발유(AVI-G)는 휘발유의 값 준용</t>
      </text>
    </comment>
    <comment ref="B11" authorId="3" shapeId="0" xr:uid="{88A1C685-90CA-46D4-A3BD-1664AE511FD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보일러 등유는 실내 등유의 국가 고유 배출계수 준용</t>
      </text>
    </comment>
    <comment ref="B14" authorId="4" shapeId="0" xr:uid="{24B39753-9892-44D6-9969-24E6850AB9D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경질중유(B-A유)
경유유분70% + B-C유분30% 혼합유</t>
      </text>
    </comment>
    <comment ref="B15" authorId="5" shapeId="0" xr:uid="{715ADB36-DEAD-4F2E-8E0F-9F0CF765511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중유(B-B)
경유유분30%+B-C유분7-% 혼합유</t>
      </text>
    </comment>
    <comment ref="B17" authorId="6" shapeId="0" xr:uid="{86B16A1B-4DA5-4D8C-BACE-A10F26BE7F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CO2 배출계수는 기타등유의 IPCC 기본 배출계수를 적용하여 활용한다.
답글:
    고정연소 배출활동의 경우, T1 CO2 배출계수는 등유 계수를 활용하여 산정한다.</t>
      </text>
    </comment>
    <comment ref="B18" authorId="7" shapeId="0" xr:uid="{B8E9AA11-9263-497C-ADC4-A3FE122FC5F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CO2 배출계수는 B-C유의 IPCC 기본 배출계수를 적용하여 활용한다.
답글:
    고정연소 배출활동의 경우, T1 CO2 배출계수는 B-C유 계수를 활용하여 온실가스 배출량을 산정한다.</t>
      </text>
    </comment>
    <comment ref="B20" authorId="8" shapeId="0" xr:uid="{11D00741-BE36-4E66-9D14-09C381CAEC98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LPG 사용에 따른 고정연소 배출활동
</t>
      </text>
    </comment>
    <comment ref="B21" authorId="9" shapeId="0" xr:uid="{BE33BCCE-4491-4FCF-A5A6-0F88A765BD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LPG 사용에 따른 이동연소(도로) 배출활동</t>
      </text>
    </comment>
    <comment ref="B23" authorId="10" shapeId="0" xr:uid="{D8926BF0-85A5-4521-9573-3D311AE0377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컨덴세이트는 납사 값을 준용</t>
      </text>
    </comment>
    <comment ref="P67" authorId="11" shapeId="0" xr:uid="{4B0913DE-E2EF-4D1E-A22E-0FA76FBC87D9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한국 전력망에서 사용되는 모든 발전원을 종합하여 평균화한 값 
답글:
    국가 전력망에서 배출량을 계산할 때, 이미 연소 과정에서의 산화율을 반영한 배출계수를 사용하므로 별도의 산화계수를 곱할 필요가 없음 </t>
      </text>
    </comment>
    <comment ref="H69" authorId="12" shapeId="0" xr:uid="{58A8808C-4F3D-42E1-B182-BBB694265A8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열(스팀)을 생산하여 외부로 공급하는 업체가 자체적으로 열(스팀) 배 출계수를 제공할 수 없는 경우에 한하여 온실가스종합정보센터가확인하여 지침에 수록된 열(스팀)배출계수를 사용할 수 있다 
답글:
    온실가스종합정보센터(2013)</t>
      </text>
    </comment>
    <comment ref="B71" authorId="13" shapeId="0" xr:uid="{C63B610B-5150-4C32-8D8F-4359F512116A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열(스팀) 사용량을 열전용, 열병합으로 구분할 수 없는 경우 열(스팀) 평균배출계수 사용 </t>
      </text>
    </comment>
  </commentList>
</comments>
</file>

<file path=xl/sharedStrings.xml><?xml version="1.0" encoding="utf-8"?>
<sst xmlns="http://schemas.openxmlformats.org/spreadsheetml/2006/main" count="908" uniqueCount="232">
  <si>
    <t>CRF 코드</t>
    <phoneticPr fontId="1" type="noConversion"/>
  </si>
  <si>
    <t>배출원</t>
    <phoneticPr fontId="1" type="noConversion"/>
  </si>
  <si>
    <t>부문</t>
    <phoneticPr fontId="1" type="noConversion"/>
  </si>
  <si>
    <t>온실가스</t>
    <phoneticPr fontId="1" type="noConversion"/>
  </si>
  <si>
    <t>고정연소</t>
    <phoneticPr fontId="1" type="noConversion"/>
  </si>
  <si>
    <t>이동연소</t>
    <phoneticPr fontId="1" type="noConversion"/>
  </si>
  <si>
    <t>매개변수 적용 기준</t>
    <phoneticPr fontId="1" type="noConversion"/>
  </si>
  <si>
    <t xml:space="preserve"> * 비고</t>
    <phoneticPr fontId="1" type="noConversion"/>
  </si>
  <si>
    <t>1A1</t>
    <phoneticPr fontId="1" type="noConversion"/>
  </si>
  <si>
    <t>에너지 산업</t>
    <phoneticPr fontId="1" type="noConversion"/>
  </si>
  <si>
    <t>연료연소</t>
    <phoneticPr fontId="1" type="noConversion"/>
  </si>
  <si>
    <t>배출계수</t>
    <phoneticPr fontId="1" type="noConversion"/>
  </si>
  <si>
    <t>국가고유(17년)</t>
    <phoneticPr fontId="1" type="noConversion"/>
  </si>
  <si>
    <t>제 7차 개정('11년~'15년 유통 시료)</t>
    <phoneticPr fontId="1" type="noConversion"/>
  </si>
  <si>
    <t>1A2</t>
    <phoneticPr fontId="1" type="noConversion"/>
  </si>
  <si>
    <t>제조업 및 건설업</t>
    <phoneticPr fontId="1" type="noConversion"/>
  </si>
  <si>
    <t>1A1a</t>
    <phoneticPr fontId="1" type="noConversion"/>
  </si>
  <si>
    <t>주요 활동 전력 및 열생산</t>
    <phoneticPr fontId="1" type="noConversion"/>
  </si>
  <si>
    <r>
      <t>CO</t>
    </r>
    <r>
      <rPr>
        <vertAlign val="subscript"/>
        <sz val="8"/>
        <color theme="1"/>
        <rFont val="KoPub돋움체 Medium"/>
        <family val="3"/>
        <charset val="129"/>
      </rPr>
      <t>2</t>
    </r>
    <r>
      <rPr>
        <sz val="8"/>
        <color theme="1"/>
        <rFont val="KoPub돋움체 Medium"/>
        <family val="3"/>
        <charset val="129"/>
      </rPr>
      <t>/CH</t>
    </r>
    <r>
      <rPr>
        <vertAlign val="subscript"/>
        <sz val="8"/>
        <color theme="1"/>
        <rFont val="KoPub돋움체 Medium"/>
        <family val="3"/>
        <charset val="129"/>
      </rPr>
      <t>4</t>
    </r>
    <r>
      <rPr>
        <sz val="8"/>
        <color theme="1"/>
        <rFont val="KoPub돋움체 Medium"/>
        <family val="3"/>
        <charset val="129"/>
      </rPr>
      <t>/N</t>
    </r>
    <r>
      <rPr>
        <vertAlign val="subscript"/>
        <sz val="8"/>
        <color theme="1"/>
        <rFont val="KoPub돋움체 Medium"/>
        <family val="3"/>
        <charset val="129"/>
      </rPr>
      <t>2</t>
    </r>
    <r>
      <rPr>
        <sz val="8"/>
        <color theme="1"/>
        <rFont val="KoPub돋움체 Medium"/>
        <family val="3"/>
        <charset val="129"/>
      </rPr>
      <t>O</t>
    </r>
    <phoneticPr fontId="1" type="noConversion"/>
  </si>
  <si>
    <t>O</t>
    <phoneticPr fontId="1" type="noConversion"/>
  </si>
  <si>
    <t>국가고유(22년)</t>
    <phoneticPr fontId="1" type="noConversion"/>
  </si>
  <si>
    <t>제 8차 개정('16년~'20년 유통 시료)</t>
    <phoneticPr fontId="1" type="noConversion"/>
  </si>
  <si>
    <t>1A3</t>
  </si>
  <si>
    <t>수송</t>
    <phoneticPr fontId="1" type="noConversion"/>
  </si>
  <si>
    <t>1A1b</t>
    <phoneticPr fontId="1" type="noConversion"/>
  </si>
  <si>
    <t>석유 정제</t>
    <phoneticPr fontId="1" type="noConversion"/>
  </si>
  <si>
    <t>1A4</t>
  </si>
  <si>
    <t>기타</t>
    <phoneticPr fontId="1" type="noConversion"/>
  </si>
  <si>
    <t>1A1c</t>
    <phoneticPr fontId="1" type="noConversion"/>
  </si>
  <si>
    <t>고체연료의 제조 및 기타 에너지 산업</t>
    <phoneticPr fontId="1" type="noConversion"/>
  </si>
  <si>
    <t>1A5</t>
  </si>
  <si>
    <t>미분류</t>
    <phoneticPr fontId="1" type="noConversion"/>
  </si>
  <si>
    <t>1A2a</t>
    <phoneticPr fontId="1" type="noConversion"/>
  </si>
  <si>
    <t>철강</t>
    <phoneticPr fontId="1" type="noConversion"/>
  </si>
  <si>
    <t>열량계수</t>
    <phoneticPr fontId="1" type="noConversion"/>
  </si>
  <si>
    <t>1A2b</t>
    <phoneticPr fontId="1" type="noConversion"/>
  </si>
  <si>
    <t>비철금속</t>
    <phoneticPr fontId="1" type="noConversion"/>
  </si>
  <si>
    <t>1A2c</t>
    <phoneticPr fontId="1" type="noConversion"/>
  </si>
  <si>
    <t>화학</t>
    <phoneticPr fontId="1" type="noConversion"/>
  </si>
  <si>
    <t>1A2d</t>
    <phoneticPr fontId="1" type="noConversion"/>
  </si>
  <si>
    <t>펄프, 종이, 인쇄</t>
    <phoneticPr fontId="1" type="noConversion"/>
  </si>
  <si>
    <t>연료 상태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</si>
  <si>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</si>
  <si>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</si>
  <si>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</si>
  <si>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1A2e</t>
    <phoneticPr fontId="1" type="noConversion"/>
  </si>
  <si>
    <t>식품 가공, 음료, 담배</t>
    <phoneticPr fontId="1" type="noConversion"/>
  </si>
  <si>
    <t>산화계수</t>
    <phoneticPr fontId="1" type="noConversion"/>
  </si>
  <si>
    <t>Default</t>
    <phoneticPr fontId="1" type="noConversion"/>
  </si>
  <si>
    <t>1A2f</t>
    <phoneticPr fontId="1" type="noConversion"/>
  </si>
  <si>
    <t>비금속 광물</t>
    <phoneticPr fontId="1" type="noConversion"/>
  </si>
  <si>
    <t>고체</t>
    <phoneticPr fontId="1" type="noConversion"/>
  </si>
  <si>
    <t>1A2g</t>
    <phoneticPr fontId="1" type="noConversion"/>
  </si>
  <si>
    <t>수송 장비</t>
    <phoneticPr fontId="1" type="noConversion"/>
  </si>
  <si>
    <t>액체</t>
    <phoneticPr fontId="1" type="noConversion"/>
  </si>
  <si>
    <t>1A2h</t>
    <phoneticPr fontId="1" type="noConversion"/>
  </si>
  <si>
    <t>기계류</t>
    <phoneticPr fontId="1" type="noConversion"/>
  </si>
  <si>
    <t>기체</t>
    <phoneticPr fontId="1" type="noConversion"/>
  </si>
  <si>
    <t>1A2i</t>
    <phoneticPr fontId="1" type="noConversion"/>
  </si>
  <si>
    <t>채굴 및 채석</t>
    <phoneticPr fontId="1" type="noConversion"/>
  </si>
  <si>
    <t>1A2j</t>
    <phoneticPr fontId="1" type="noConversion"/>
  </si>
  <si>
    <t>목재 및 목제품</t>
    <phoneticPr fontId="1" type="noConversion"/>
  </si>
  <si>
    <t>기준값 종류</t>
    <phoneticPr fontId="1" type="noConversion"/>
  </si>
  <si>
    <t>열(스팀) 배출계수</t>
    <phoneticPr fontId="1" type="noConversion"/>
  </si>
  <si>
    <t>1A2k</t>
    <phoneticPr fontId="1" type="noConversion"/>
  </si>
  <si>
    <t>건설</t>
    <phoneticPr fontId="1" type="noConversion"/>
  </si>
  <si>
    <t>값 사용</t>
    <phoneticPr fontId="1" type="noConversion"/>
  </si>
  <si>
    <t xml:space="preserve"> T1 등급에 해당하는 값 사용</t>
    <phoneticPr fontId="1" type="noConversion"/>
  </si>
  <si>
    <t xml:space="preserve"> GIR 제공 배출계수</t>
    <phoneticPr fontId="1" type="noConversion"/>
  </si>
  <si>
    <t>1A2l</t>
    <phoneticPr fontId="1" type="noConversion"/>
  </si>
  <si>
    <t>섬유 및 가죽</t>
    <phoneticPr fontId="1" type="noConversion"/>
  </si>
  <si>
    <t xml:space="preserve"> T2 등급에 해당하는 값 사용</t>
    <phoneticPr fontId="1" type="noConversion"/>
  </si>
  <si>
    <t xml:space="preserve"> 외부 공급자 제공 배출계수</t>
    <phoneticPr fontId="1" type="noConversion"/>
  </si>
  <si>
    <t>1A2m</t>
    <phoneticPr fontId="1" type="noConversion"/>
  </si>
  <si>
    <t>미분류 산업</t>
    <phoneticPr fontId="1" type="noConversion"/>
  </si>
  <si>
    <t xml:space="preserve"> 대체로 직접 입력</t>
    <phoneticPr fontId="1" type="noConversion"/>
  </si>
  <si>
    <t>T3 (한국지역난방공사)</t>
    <phoneticPr fontId="1" type="noConversion"/>
  </si>
  <si>
    <t xml:space="preserve"> 한국지역난방공사 제공 배출계수</t>
    <phoneticPr fontId="1" type="noConversion"/>
  </si>
  <si>
    <t>1A4a</t>
    <phoneticPr fontId="1" type="noConversion"/>
  </si>
  <si>
    <t>상업용/공공</t>
    <phoneticPr fontId="1" type="noConversion"/>
  </si>
  <si>
    <t>지구온난화지수(GWP)</t>
    <phoneticPr fontId="1" type="noConversion"/>
  </si>
  <si>
    <t>1A4c</t>
    <phoneticPr fontId="1" type="noConversion"/>
  </si>
  <si>
    <t>주거용</t>
    <phoneticPr fontId="1" type="noConversion"/>
  </si>
  <si>
    <r>
      <t>CO</t>
    </r>
    <r>
      <rPr>
        <vertAlign val="subscript"/>
        <sz val="8"/>
        <color theme="1"/>
        <rFont val="KoPub돋움체 Bold"/>
        <family val="3"/>
        <charset val="129"/>
      </rPr>
      <t>2</t>
    </r>
    <phoneticPr fontId="1" type="noConversion"/>
  </si>
  <si>
    <t>1A4c</t>
  </si>
  <si>
    <t>농업/임업/어업/양어장</t>
    <phoneticPr fontId="1" type="noConversion"/>
  </si>
  <si>
    <r>
      <t>CH</t>
    </r>
    <r>
      <rPr>
        <vertAlign val="subscript"/>
        <sz val="8"/>
        <color theme="1"/>
        <rFont val="KoPub돋움체 Bold"/>
        <family val="3"/>
        <charset val="129"/>
      </rPr>
      <t>4</t>
    </r>
    <phoneticPr fontId="1" type="noConversion"/>
  </si>
  <si>
    <t>1A5a</t>
    <phoneticPr fontId="1" type="noConversion"/>
  </si>
  <si>
    <t>고정형</t>
    <phoneticPr fontId="1" type="noConversion"/>
  </si>
  <si>
    <r>
      <t>N</t>
    </r>
    <r>
      <rPr>
        <vertAlign val="subscript"/>
        <sz val="8"/>
        <color theme="1"/>
        <rFont val="KoPub돋움체 Bold"/>
        <family val="3"/>
        <charset val="129"/>
      </rPr>
      <t>2</t>
    </r>
    <r>
      <rPr>
        <sz val="8"/>
        <color theme="1"/>
        <rFont val="KoPub돋움체 Bold"/>
        <family val="3"/>
        <charset val="129"/>
      </rPr>
      <t>O</t>
    </r>
    <phoneticPr fontId="1" type="noConversion"/>
  </si>
  <si>
    <t>1A5b</t>
    <phoneticPr fontId="1" type="noConversion"/>
  </si>
  <si>
    <t>이동형</t>
    <phoneticPr fontId="1" type="noConversion"/>
  </si>
  <si>
    <t>탈루</t>
    <phoneticPr fontId="1" type="noConversion"/>
  </si>
  <si>
    <t>1B1</t>
    <phoneticPr fontId="1" type="noConversion"/>
  </si>
  <si>
    <t>고체연료</t>
    <phoneticPr fontId="1" type="noConversion"/>
  </si>
  <si>
    <r>
      <t>CH</t>
    </r>
    <r>
      <rPr>
        <vertAlign val="subscript"/>
        <sz val="8"/>
        <color theme="1"/>
        <rFont val="KoPub돋움체 Medium"/>
        <family val="3"/>
        <charset val="129"/>
      </rPr>
      <t>4</t>
    </r>
    <phoneticPr fontId="1" type="noConversion"/>
  </si>
  <si>
    <t>1B2</t>
    <phoneticPr fontId="1" type="noConversion"/>
  </si>
  <si>
    <t>석유 및 천연가스</t>
    <phoneticPr fontId="1" type="noConversion"/>
  </si>
  <si>
    <t>배출계수 T1</t>
    <phoneticPr fontId="1" type="noConversion"/>
  </si>
  <si>
    <t>IPCC 06</t>
    <phoneticPr fontId="1" type="noConversion"/>
  </si>
  <si>
    <t>배출계수 T2</t>
    <phoneticPr fontId="1" type="noConversion"/>
  </si>
  <si>
    <t>온실가스종합정보센터(GIR) 국가 온실가스 배출계수</t>
    <phoneticPr fontId="1" type="noConversion"/>
  </si>
  <si>
    <t>열량계수 T1</t>
    <phoneticPr fontId="1" type="noConversion"/>
  </si>
  <si>
    <t>열량계수 T2</t>
    <phoneticPr fontId="1" type="noConversion"/>
  </si>
  <si>
    <t xml:space="preserve">연료별 국가고유 발열량[별첨12] </t>
    <phoneticPr fontId="1" type="noConversion"/>
  </si>
  <si>
    <t>산화계수 T1</t>
    <phoneticPr fontId="1" type="noConversion"/>
  </si>
  <si>
    <t>산화계수 T2</t>
    <phoneticPr fontId="1" type="noConversion"/>
  </si>
  <si>
    <t>[별첨6]</t>
    <phoneticPr fontId="1" type="noConversion"/>
  </si>
  <si>
    <t>분류</t>
    <phoneticPr fontId="1" type="noConversion"/>
  </si>
  <si>
    <t>연료</t>
    <phoneticPr fontId="1" type="noConversion"/>
  </si>
  <si>
    <t>tC/TJ</t>
    <phoneticPr fontId="1" type="noConversion"/>
  </si>
  <si>
    <t>단위</t>
    <phoneticPr fontId="1" type="noConversion"/>
  </si>
  <si>
    <t>구분</t>
    <phoneticPr fontId="1" type="noConversion"/>
  </si>
  <si>
    <t>-</t>
    <phoneticPr fontId="1" type="noConversion"/>
  </si>
  <si>
    <t>순발열량</t>
    <phoneticPr fontId="1" type="noConversion"/>
  </si>
  <si>
    <t>총발열량</t>
    <phoneticPr fontId="1" type="noConversion"/>
  </si>
  <si>
    <t>값</t>
    <phoneticPr fontId="1" type="noConversion"/>
  </si>
  <si>
    <t>상온</t>
    <phoneticPr fontId="1" type="noConversion"/>
  </si>
  <si>
    <t>석유류</t>
    <phoneticPr fontId="1" type="noConversion"/>
  </si>
  <si>
    <t>원유</t>
    <phoneticPr fontId="1" type="noConversion"/>
  </si>
  <si>
    <t>kgGHG/TJ</t>
    <phoneticPr fontId="1" type="noConversion"/>
  </si>
  <si>
    <t>석유</t>
    <phoneticPr fontId="1" type="noConversion"/>
  </si>
  <si>
    <t>MJ/kg</t>
    <phoneticPr fontId="1" type="noConversion"/>
  </si>
  <si>
    <t>오리멀젼</t>
    <phoneticPr fontId="1" type="noConversion"/>
  </si>
  <si>
    <t>액성천연가스</t>
    <phoneticPr fontId="1" type="noConversion"/>
  </si>
  <si>
    <t>천연가스</t>
    <phoneticPr fontId="1" type="noConversion"/>
  </si>
  <si>
    <t>휘발유 (자동차용 가솔린)</t>
    <phoneticPr fontId="1" type="noConversion"/>
  </si>
  <si>
    <t>MJ/L</t>
    <phoneticPr fontId="1" type="noConversion"/>
  </si>
  <si>
    <t>항공용 가솔린</t>
    <phoneticPr fontId="1" type="noConversion"/>
  </si>
  <si>
    <t>제트용 가솔린</t>
    <phoneticPr fontId="1" type="noConversion"/>
  </si>
  <si>
    <t>제트용 등유 (항공유)</t>
    <phoneticPr fontId="1" type="noConversion"/>
  </si>
  <si>
    <t>등유 (기타 등유)</t>
    <phoneticPr fontId="1" type="noConversion"/>
  </si>
  <si>
    <t>혈암유</t>
    <phoneticPr fontId="1" type="noConversion"/>
  </si>
  <si>
    <t>경유 (가스/디젤 오일)</t>
    <phoneticPr fontId="1" type="noConversion"/>
  </si>
  <si>
    <t>B-A유</t>
    <phoneticPr fontId="1" type="noConversion"/>
  </si>
  <si>
    <t>B-B유</t>
    <phoneticPr fontId="1" type="noConversion"/>
  </si>
  <si>
    <t>B-C유 (잔여 석유연료)</t>
    <phoneticPr fontId="1" type="noConversion"/>
  </si>
  <si>
    <t>부생연료 1호</t>
    <phoneticPr fontId="1" type="noConversion"/>
  </si>
  <si>
    <t>부생연료 2호</t>
    <phoneticPr fontId="1" type="noConversion"/>
  </si>
  <si>
    <t>LPG (액화석유가스)</t>
    <phoneticPr fontId="1" type="noConversion"/>
  </si>
  <si>
    <t>LPG</t>
    <phoneticPr fontId="1" type="noConversion"/>
  </si>
  <si>
    <t>프로판(LPG1호)</t>
    <phoneticPr fontId="1" type="noConversion"/>
  </si>
  <si>
    <t>부탄(LPG3호)</t>
    <phoneticPr fontId="1" type="noConversion"/>
  </si>
  <si>
    <t>에탄</t>
    <phoneticPr fontId="1" type="noConversion"/>
  </si>
  <si>
    <t>납사 (나프타)</t>
    <phoneticPr fontId="1" type="noConversion"/>
  </si>
  <si>
    <t>아스팔트 (역청)</t>
    <phoneticPr fontId="1" type="noConversion"/>
  </si>
  <si>
    <t>윤활유</t>
    <phoneticPr fontId="1" type="noConversion"/>
  </si>
  <si>
    <t>석유 코크스</t>
    <phoneticPr fontId="1" type="noConversion"/>
  </si>
  <si>
    <t>정유공장 원료 (정제 원료)</t>
    <phoneticPr fontId="1" type="noConversion"/>
  </si>
  <si>
    <t>정제가스</t>
    <phoneticPr fontId="1" type="noConversion"/>
  </si>
  <si>
    <t>파라핀왁스(밀랍)</t>
    <phoneticPr fontId="1" type="noConversion"/>
  </si>
  <si>
    <t>용제 (백유)</t>
    <phoneticPr fontId="1" type="noConversion"/>
  </si>
  <si>
    <t>재생유 (기타석유제품)</t>
    <phoneticPr fontId="1" type="noConversion"/>
  </si>
  <si>
    <t>석탄류</t>
    <phoneticPr fontId="1" type="noConversion"/>
  </si>
  <si>
    <t>국내 무연탄</t>
    <phoneticPr fontId="1" type="noConversion"/>
  </si>
  <si>
    <t>석탄</t>
    <phoneticPr fontId="1" type="noConversion"/>
  </si>
  <si>
    <t>연료용 수입 무연탄</t>
    <phoneticPr fontId="1" type="noConversion"/>
  </si>
  <si>
    <t>원료용 수입 무연탄</t>
    <phoneticPr fontId="1" type="noConversion"/>
  </si>
  <si>
    <t>원료용 유연탄 (점결탄)</t>
    <phoneticPr fontId="1" type="noConversion"/>
  </si>
  <si>
    <t>연료용 유연탄 (기타 유연탄)</t>
    <phoneticPr fontId="1" type="noConversion"/>
  </si>
  <si>
    <t>아역청탄 (하위 유연탄)</t>
    <phoneticPr fontId="1" type="noConversion"/>
  </si>
  <si>
    <t>갈탄</t>
    <phoneticPr fontId="1" type="noConversion"/>
  </si>
  <si>
    <t>유혈암 및 역청암</t>
    <phoneticPr fontId="1" type="noConversion"/>
  </si>
  <si>
    <t>갈색 연탄</t>
    <phoneticPr fontId="1" type="noConversion"/>
  </si>
  <si>
    <t>특허 연료</t>
    <phoneticPr fontId="1" type="noConversion"/>
  </si>
  <si>
    <t>코크스로 코크스 (석탄)</t>
    <phoneticPr fontId="1" type="noConversion"/>
  </si>
  <si>
    <t>가스 공장 코크스 (가스 코크스)</t>
    <phoneticPr fontId="1" type="noConversion"/>
  </si>
  <si>
    <t>콜타르</t>
    <phoneticPr fontId="1" type="noConversion"/>
  </si>
  <si>
    <t>가스류</t>
    <phoneticPr fontId="1" type="noConversion"/>
  </si>
  <si>
    <t>가스공장 가스</t>
    <phoneticPr fontId="1" type="noConversion"/>
  </si>
  <si>
    <t>코크스로 가스</t>
    <phoneticPr fontId="1" type="noConversion"/>
  </si>
  <si>
    <t>고로가스</t>
    <phoneticPr fontId="1" type="noConversion"/>
  </si>
  <si>
    <t>기타 바이오매스 및 폐기물</t>
    <phoneticPr fontId="1" type="noConversion"/>
  </si>
  <si>
    <t>산소 강철로 가스</t>
    <phoneticPr fontId="1" type="noConversion"/>
  </si>
  <si>
    <t>천연가스(LNG)</t>
    <phoneticPr fontId="1" type="noConversion"/>
  </si>
  <si>
    <t>도시가스(LNG)</t>
    <phoneticPr fontId="1" type="noConversion"/>
  </si>
  <si>
    <r>
      <t>MJ/Nm</t>
    </r>
    <r>
      <rPr>
        <vertAlign val="superscript"/>
        <sz val="8"/>
        <color theme="1"/>
        <rFont val="KoPub돋움체 Light"/>
        <family val="3"/>
        <charset val="129"/>
      </rPr>
      <t>3</t>
    </r>
    <phoneticPr fontId="1" type="noConversion"/>
  </si>
  <si>
    <t>도시가스(LPG)</t>
    <phoneticPr fontId="1" type="noConversion"/>
  </si>
  <si>
    <t>기타 화석연료</t>
    <phoneticPr fontId="1" type="noConversion"/>
  </si>
  <si>
    <t>도시폐기물 (비-바이오매스)</t>
    <phoneticPr fontId="1" type="noConversion"/>
  </si>
  <si>
    <t>산업 폐기물</t>
    <phoneticPr fontId="1" type="noConversion"/>
  </si>
  <si>
    <t>폐유</t>
    <phoneticPr fontId="1" type="noConversion"/>
  </si>
  <si>
    <t>이탄 (토탄)</t>
    <phoneticPr fontId="1" type="noConversion"/>
  </si>
  <si>
    <t>바이오매스</t>
    <phoneticPr fontId="1" type="noConversion"/>
  </si>
  <si>
    <t>목재/목재폐기물</t>
    <phoneticPr fontId="1" type="noConversion"/>
  </si>
  <si>
    <t>목재/폐목재</t>
    <phoneticPr fontId="1" type="noConversion"/>
  </si>
  <si>
    <t>아황산염 잿물</t>
    <phoneticPr fontId="1" type="noConversion"/>
  </si>
  <si>
    <t>기타 주요한 고체 바이오매스</t>
    <phoneticPr fontId="1" type="noConversion"/>
  </si>
  <si>
    <t>목탄</t>
    <phoneticPr fontId="1" type="noConversion"/>
  </si>
  <si>
    <t>숯(목탄)</t>
    <phoneticPr fontId="1" type="noConversion"/>
  </si>
  <si>
    <t>바이오 가솔린</t>
    <phoneticPr fontId="1" type="noConversion"/>
  </si>
  <si>
    <t>바이오 디젤</t>
    <phoneticPr fontId="1" type="noConversion"/>
  </si>
  <si>
    <t>기타 액체 바이오매스</t>
    <phoneticPr fontId="1" type="noConversion"/>
  </si>
  <si>
    <t>매립지 가스</t>
    <phoneticPr fontId="1" type="noConversion"/>
  </si>
  <si>
    <t>슬러지 가스</t>
    <phoneticPr fontId="1" type="noConversion"/>
  </si>
  <si>
    <t>기타 바이오가스</t>
    <phoneticPr fontId="1" type="noConversion"/>
  </si>
  <si>
    <t>도시폐기물 (바이오매스)</t>
    <phoneticPr fontId="1" type="noConversion"/>
  </si>
  <si>
    <t>전력</t>
    <phoneticPr fontId="1" type="noConversion"/>
  </si>
  <si>
    <t>전기(발전단)</t>
    <phoneticPr fontId="1" type="noConversion"/>
  </si>
  <si>
    <t>kgGHG/MWh</t>
    <phoneticPr fontId="1" type="noConversion"/>
  </si>
  <si>
    <t>MJ/kWh</t>
    <phoneticPr fontId="1" type="noConversion"/>
  </si>
  <si>
    <t>전기(소비단)</t>
    <phoneticPr fontId="1" type="noConversion"/>
  </si>
  <si>
    <t>열(스팀)</t>
    <phoneticPr fontId="1" type="noConversion"/>
  </si>
  <si>
    <t>열전용</t>
    <phoneticPr fontId="1" type="noConversion"/>
  </si>
  <si>
    <t>열병합</t>
    <phoneticPr fontId="1" type="noConversion"/>
  </si>
  <si>
    <t>열평균</t>
    <phoneticPr fontId="1" type="noConversion"/>
  </si>
  <si>
    <t>별표 5</t>
    <phoneticPr fontId="1" type="noConversion"/>
  </si>
  <si>
    <t>배출활동</t>
    <phoneticPr fontId="1" type="noConversion"/>
  </si>
  <si>
    <t>산정 방법론</t>
    <phoneticPr fontId="1" type="noConversion"/>
  </si>
  <si>
    <t>연료 사용량</t>
    <phoneticPr fontId="1" type="noConversion"/>
  </si>
  <si>
    <t>시설규모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</si>
  <si>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</si>
  <si>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</si>
  <si>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</si>
  <si>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1. 고정연소</t>
    <phoneticPr fontId="1" type="noConversion"/>
  </si>
  <si>
    <t>①고체연료</t>
    <phoneticPr fontId="1" type="noConversion"/>
  </si>
  <si>
    <t>②기체연료</t>
    <phoneticPr fontId="1" type="noConversion"/>
  </si>
  <si>
    <t>③액체연료</t>
    <phoneticPr fontId="1" type="noConversion"/>
  </si>
  <si>
    <t>2. 이동연소*</t>
    <phoneticPr fontId="1" type="noConversion"/>
  </si>
  <si>
    <t>①항공**</t>
    <phoneticPr fontId="1" type="noConversion"/>
  </si>
  <si>
    <t>②도로</t>
    <phoneticPr fontId="1" type="noConversion"/>
  </si>
  <si>
    <t>③철도</t>
    <phoneticPr fontId="1" type="noConversion"/>
  </si>
  <si>
    <t>④선박</t>
    <phoneticPr fontId="1" type="noConversion"/>
  </si>
  <si>
    <t>외부에너지 사용량</t>
    <phoneticPr fontId="1" type="noConversion"/>
  </si>
  <si>
    <t>간접 배출계수</t>
    <phoneticPr fontId="1" type="noConversion"/>
  </si>
  <si>
    <t>1. 전기</t>
    <phoneticPr fontId="1" type="noConversion"/>
  </si>
  <si>
    <t>2. 열</t>
    <phoneticPr fontId="1" type="noConversion"/>
  </si>
  <si>
    <t>에너지 분류</t>
    <phoneticPr fontId="1" type="noConversion"/>
  </si>
  <si>
    <t>관리기준</t>
    <phoneticPr fontId="1" type="noConversion"/>
  </si>
  <si>
    <t>연료별 매개변수</t>
    <phoneticPr fontId="1" type="noConversion"/>
  </si>
  <si>
    <t>이상(만ton/yr)</t>
    <phoneticPr fontId="1" type="noConversion"/>
  </si>
  <si>
    <t>미만(만ton/yr)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</si>
</sst>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KoPub돋움체 Medium"/>
      <family val="3"/>
      <charset val="129"/>
    </font>
    <font>
      <sz val="10"/>
      <color theme="1"/>
      <name val="KoPub돋움체 Bold"/>
      <family val="3"/>
      <charset val="129"/>
    </font>
    <font>
      <sz val="9"/>
      <color theme="1"/>
      <name val="KoPub돋움체 Bold"/>
      <family val="3"/>
      <charset val="129"/>
    </font>
    <font>
      <sz val="9"/>
      <color theme="1"/>
      <name val="KoPub돋움체 Medium"/>
      <family val="3"/>
      <charset val="129"/>
    </font>
    <font>
      <sz val="8"/>
      <color theme="1"/>
      <name val="KoPub돋움체 Medium"/>
      <family val="3"/>
      <charset val="129"/>
    </font>
    <font>
      <sz val="8"/>
      <color theme="1"/>
      <name val="KoPub돋움체 Bold"/>
      <family val="3"/>
      <charset val="129"/>
    </font>
    <font>
      <vertAlign val="subscript"/>
      <sz val="8"/>
      <color theme="1"/>
      <name val="KoPub돋움체 Medium"/>
      <family val="3"/>
      <charset val="129"/>
    </font>
    <font>
      <sz val="8"/>
      <color theme="1"/>
      <name val="KoPub돋움체 Light"/>
      <family val="3"/>
      <charset val="129"/>
    </font>
    <font>
      <b/>
      <sz val="8"/>
      <color theme="7" tint="0.39997558519241921"/>
      <name val="KoPub돋움체 Medium"/>
      <family val="3"/>
      <charset val="129"/>
    </font>
    <font>
      <vertAlign val="subscript"/>
      <sz val="8"/>
      <color theme="1"/>
      <name val="KoPub돋움체 Bold"/>
      <family val="3"/>
      <charset val="129"/>
    </font>
    <font>
      <vertAlign val="superscript"/>
      <sz val="8"/>
      <color theme="1"/>
      <name val="KoPub돋움체 Light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Dashed">
        <color indexed="64"/>
      </right>
      <top style="medium">
        <color indexed="64"/>
      </top>
      <bottom style="dashed">
        <color indexed="64"/>
      </bottom>
      <diagonal/>
    </border>
    <border>
      <left style="medium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Dashed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Dashed">
        <color indexed="64"/>
      </right>
      <top style="thin">
        <color indexed="64"/>
      </top>
      <bottom style="hair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Dashed">
        <color indexed="64"/>
      </right>
      <top style="hair">
        <color indexed="64"/>
      </top>
      <bottom style="hair">
        <color indexed="64"/>
      </bottom>
      <diagonal/>
    </border>
    <border>
      <left style="mediumDashed">
        <color indexed="64"/>
      </left>
      <right style="mediumDashed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Dashed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Dashed">
        <color indexed="64"/>
      </right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ck">
        <color indexed="64"/>
      </right>
      <top style="thin">
        <color auto="1"/>
      </top>
      <bottom/>
      <diagonal/>
    </border>
    <border>
      <left style="mediumDashed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Dashed">
        <color indexed="64"/>
      </right>
      <top style="dotted">
        <color auto="1"/>
      </top>
      <bottom style="dotted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dotted">
        <color auto="1"/>
      </right>
      <top style="dotted">
        <color auto="1"/>
      </top>
      <bottom style="thick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mediumDashed">
        <color indexed="64"/>
      </right>
      <top style="dotted">
        <color auto="1"/>
      </top>
      <bottom style="thick">
        <color auto="1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1" xfId="0" applyFont="1" applyBorder="1" applyAlignment="1">
      <alignment horizontal="centerContinuous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Continuous" vertical="center"/>
    </xf>
    <xf numFmtId="0" fontId="6" fillId="0" borderId="0" xfId="0" applyFont="1">
      <alignment vertical="center"/>
    </xf>
    <xf numFmtId="0" fontId="6" fillId="0" borderId="2" xfId="0" applyFont="1" applyBorder="1" applyAlignment="1">
      <alignment horizontal="center" vertical="justify" wrapText="1"/>
    </xf>
    <xf numFmtId="0" fontId="6" fillId="0" borderId="4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Continuous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0" borderId="3" xfId="0" quotePrefix="1" applyFont="1" applyBorder="1" applyAlignment="1">
      <alignment horizontal="center" vertical="center"/>
    </xf>
    <xf numFmtId="0" fontId="10" fillId="2" borderId="0" xfId="0" applyFont="1" applyFill="1">
      <alignment vertical="center"/>
    </xf>
    <xf numFmtId="0" fontId="6" fillId="4" borderId="2" xfId="0" applyFont="1" applyFill="1" applyBorder="1" applyAlignment="1">
      <alignment horizontal="center" vertical="justify" wrapText="1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4" xfId="0" quotePrefix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right" vertical="center"/>
    </xf>
    <xf numFmtId="0" fontId="4" fillId="5" borderId="5" xfId="0" applyFont="1" applyFill="1" applyBorder="1" applyAlignment="1">
      <alignment horizontal="centerContinuous" vertical="center" shrinkToFit="1"/>
    </xf>
    <xf numFmtId="0" fontId="4" fillId="5" borderId="6" xfId="0" applyFont="1" applyFill="1" applyBorder="1" applyAlignment="1">
      <alignment horizontal="centerContinuous" vertical="center" shrinkToFit="1"/>
    </xf>
    <xf numFmtId="0" fontId="5" fillId="5" borderId="6" xfId="0" applyFont="1" applyFill="1" applyBorder="1" applyAlignment="1">
      <alignment horizontal="centerContinuous" vertical="center" shrinkToFit="1"/>
    </xf>
    <xf numFmtId="0" fontId="5" fillId="5" borderId="7" xfId="0" applyFont="1" applyFill="1" applyBorder="1" applyAlignment="1">
      <alignment horizontal="centerContinuous" vertical="center" shrinkToFit="1"/>
    </xf>
    <xf numFmtId="0" fontId="4" fillId="5" borderId="8" xfId="0" applyFont="1" applyFill="1" applyBorder="1" applyAlignment="1">
      <alignment horizontal="centerContinuous" vertical="center" shrinkToFit="1"/>
    </xf>
    <xf numFmtId="0" fontId="2" fillId="5" borderId="9" xfId="0" applyFont="1" applyFill="1" applyBorder="1" applyAlignment="1">
      <alignment horizontal="centerContinuous" vertical="center" shrinkToFit="1"/>
    </xf>
    <xf numFmtId="0" fontId="2" fillId="5" borderId="10" xfId="0" applyFont="1" applyFill="1" applyBorder="1" applyAlignment="1">
      <alignment horizontal="centerContinuous" vertical="center" shrinkToFit="1"/>
    </xf>
    <xf numFmtId="0" fontId="4" fillId="6" borderId="8" xfId="0" applyFont="1" applyFill="1" applyBorder="1" applyAlignment="1">
      <alignment horizontal="centerContinuous" vertical="center" shrinkToFit="1"/>
    </xf>
    <xf numFmtId="0" fontId="4" fillId="6" borderId="11" xfId="0" applyFont="1" applyFill="1" applyBorder="1" applyAlignment="1">
      <alignment horizontal="centerContinuous" vertical="center" shrinkToFit="1"/>
    </xf>
    <xf numFmtId="0" fontId="4" fillId="6" borderId="10" xfId="0" applyFont="1" applyFill="1" applyBorder="1" applyAlignment="1">
      <alignment horizontal="centerContinuous" vertical="center" shrinkToFit="1"/>
    </xf>
    <xf numFmtId="0" fontId="4" fillId="7" borderId="9" xfId="0" applyFont="1" applyFill="1" applyBorder="1" applyAlignment="1">
      <alignment horizontal="centerContinuous" vertical="center" shrinkToFit="1"/>
    </xf>
    <xf numFmtId="0" fontId="4" fillId="7" borderId="11" xfId="0" applyFont="1" applyFill="1" applyBorder="1" applyAlignment="1">
      <alignment horizontal="centerContinuous" vertical="center" shrinkToFit="1"/>
    </xf>
    <xf numFmtId="0" fontId="4" fillId="7" borderId="12" xfId="0" applyFont="1" applyFill="1" applyBorder="1" applyAlignment="1">
      <alignment horizontal="centerContinuous" vertical="center" shrinkToFit="1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5" xfId="0" quotePrefix="1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Continuous" vertical="center"/>
    </xf>
    <xf numFmtId="0" fontId="9" fillId="0" borderId="20" xfId="0" applyFont="1" applyBorder="1" applyAlignment="1">
      <alignment horizontal="right" vertical="center"/>
    </xf>
    <xf numFmtId="1" fontId="9" fillId="0" borderId="21" xfId="0" applyNumberFormat="1" applyFont="1" applyBorder="1" applyAlignment="1">
      <alignment horizontal="right" vertical="center"/>
    </xf>
    <xf numFmtId="0" fontId="9" fillId="0" borderId="21" xfId="0" applyFont="1" applyBorder="1" applyAlignment="1">
      <alignment horizontal="right" vertical="center"/>
    </xf>
    <xf numFmtId="0" fontId="9" fillId="0" borderId="22" xfId="0" applyFont="1" applyBorder="1" applyAlignment="1">
      <alignment horizontal="centerContinuous" vertical="center"/>
    </xf>
    <xf numFmtId="0" fontId="9" fillId="0" borderId="20" xfId="0" applyFont="1" applyBorder="1" applyAlignment="1">
      <alignment horizontal="centerContinuous" vertical="center"/>
    </xf>
    <xf numFmtId="0" fontId="9" fillId="0" borderId="22" xfId="0" applyFont="1" applyBorder="1" applyAlignment="1">
      <alignment horizontal="right" vertical="center"/>
    </xf>
    <xf numFmtId="0" fontId="9" fillId="0" borderId="23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2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25" xfId="0" applyFont="1" applyBorder="1" applyAlignment="1">
      <alignment horizontal="right" vertical="center"/>
    </xf>
    <xf numFmtId="1" fontId="9" fillId="0" borderId="26" xfId="0" applyNumberFormat="1" applyFont="1" applyBorder="1" applyAlignment="1">
      <alignment horizontal="right" vertical="center"/>
    </xf>
    <xf numFmtId="0" fontId="9" fillId="0" borderId="26" xfId="0" applyFont="1" applyBorder="1" applyAlignment="1">
      <alignment horizontal="right" vertical="center"/>
    </xf>
    <xf numFmtId="0" fontId="9" fillId="0" borderId="27" xfId="0" applyFont="1" applyBorder="1" applyAlignment="1">
      <alignment horizontal="centerContinuous" vertical="center"/>
    </xf>
    <xf numFmtId="0" fontId="9" fillId="0" borderId="25" xfId="0" applyFont="1" applyBorder="1" applyAlignment="1">
      <alignment horizontal="centerContinuous" vertical="center"/>
    </xf>
    <xf numFmtId="0" fontId="9" fillId="0" borderId="27" xfId="0" applyFont="1" applyBorder="1" applyAlignment="1">
      <alignment horizontal="right" vertical="center"/>
    </xf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5" xfId="0" applyFont="1" applyBorder="1">
      <alignment vertical="center"/>
    </xf>
    <xf numFmtId="0" fontId="9" fillId="0" borderId="30" xfId="0" applyFont="1" applyBorder="1" applyAlignment="1">
      <alignment horizontal="centerContinuous" vertical="center"/>
    </xf>
    <xf numFmtId="0" fontId="9" fillId="0" borderId="27" xfId="0" quotePrefix="1" applyFont="1" applyBorder="1" applyAlignment="1">
      <alignment horizontal="right" vertical="center"/>
    </xf>
    <xf numFmtId="0" fontId="2" fillId="0" borderId="29" xfId="0" applyFont="1" applyBorder="1">
      <alignment vertical="center"/>
    </xf>
    <xf numFmtId="0" fontId="9" fillId="0" borderId="31" xfId="0" applyFont="1" applyBorder="1" applyAlignment="1">
      <alignment horizontal="centerContinuous" vertical="center"/>
    </xf>
    <xf numFmtId="0" fontId="9" fillId="0" borderId="32" xfId="0" applyFont="1" applyBorder="1" applyAlignment="1">
      <alignment horizontal="centerContinuous" vertical="center"/>
    </xf>
    <xf numFmtId="0" fontId="9" fillId="0" borderId="33" xfId="0" applyFont="1" applyBorder="1" applyAlignment="1">
      <alignment horizontal="right" vertical="center"/>
    </xf>
    <xf numFmtId="0" fontId="9" fillId="0" borderId="34" xfId="0" applyFont="1" applyBorder="1" applyAlignment="1">
      <alignment horizontal="right" vertical="center"/>
    </xf>
    <xf numFmtId="0" fontId="9" fillId="0" borderId="35" xfId="0" applyFont="1" applyBorder="1" applyAlignment="1">
      <alignment horizontal="centerContinuous" vertical="center"/>
    </xf>
    <xf numFmtId="0" fontId="9" fillId="0" borderId="36" xfId="0" applyFont="1" applyBorder="1" applyAlignment="1">
      <alignment horizontal="centerContinuous" vertical="center"/>
    </xf>
    <xf numFmtId="0" fontId="9" fillId="0" borderId="35" xfId="0" quotePrefix="1" applyFont="1" applyBorder="1" applyAlignment="1">
      <alignment horizontal="right" vertical="center"/>
    </xf>
    <xf numFmtId="0" fontId="9" fillId="0" borderId="35" xfId="0" applyFont="1" applyBorder="1" applyAlignment="1">
      <alignment horizontal="right" vertical="center"/>
    </xf>
    <xf numFmtId="0" fontId="9" fillId="0" borderId="3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9" fillId="0" borderId="39" xfId="0" applyFont="1" applyBorder="1" applyAlignment="1">
      <alignment horizontal="centerContinuous" vertical="center"/>
    </xf>
    <xf numFmtId="0" fontId="2" fillId="0" borderId="40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42" xfId="0" applyFont="1" applyBorder="1">
      <alignment vertical="center"/>
    </xf>
    <xf numFmtId="0" fontId="9" fillId="0" borderId="43" xfId="0" applyFont="1" applyBorder="1" applyAlignment="1">
      <alignment horizontal="centerContinuous" vertical="center"/>
    </xf>
    <xf numFmtId="0" fontId="2" fillId="0" borderId="44" xfId="0" applyFont="1" applyBorder="1">
      <alignment vertical="center"/>
    </xf>
    <xf numFmtId="0" fontId="2" fillId="0" borderId="45" xfId="0" applyFont="1" applyBorder="1">
      <alignment vertical="center"/>
    </xf>
    <xf numFmtId="0" fontId="2" fillId="0" borderId="46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48" xfId="0" applyFont="1" applyBorder="1">
      <alignment vertical="center"/>
    </xf>
    <xf numFmtId="0" fontId="2" fillId="0" borderId="49" xfId="0" applyFont="1" applyBorder="1">
      <alignment vertical="center"/>
    </xf>
    <xf numFmtId="0" fontId="9" fillId="0" borderId="50" xfId="0" applyFont="1" applyBorder="1" applyAlignment="1">
      <alignment horizontal="centerContinuous" vertical="center"/>
    </xf>
    <xf numFmtId="0" fontId="9" fillId="0" borderId="51" xfId="0" applyFont="1" applyBorder="1" applyAlignment="1">
      <alignment horizontal="centerContinuous" vertical="center"/>
    </xf>
    <xf numFmtId="0" fontId="2" fillId="0" borderId="52" xfId="0" applyFont="1" applyBorder="1">
      <alignment vertical="center"/>
    </xf>
    <xf numFmtId="0" fontId="2" fillId="0" borderId="53" xfId="0" applyFont="1" applyBorder="1">
      <alignment vertical="center"/>
    </xf>
    <xf numFmtId="0" fontId="2" fillId="0" borderId="54" xfId="0" applyFont="1" applyBorder="1">
      <alignment vertical="center"/>
    </xf>
    <xf numFmtId="0" fontId="9" fillId="0" borderId="55" xfId="0" applyFont="1" applyBorder="1" applyAlignment="1">
      <alignment horizontal="centerContinuous" vertical="center"/>
    </xf>
    <xf numFmtId="0" fontId="9" fillId="0" borderId="56" xfId="0" applyFont="1" applyBorder="1" applyAlignment="1">
      <alignment horizontal="right" vertical="center"/>
    </xf>
    <xf numFmtId="0" fontId="2" fillId="0" borderId="57" xfId="0" applyFont="1" applyBorder="1">
      <alignment vertical="center"/>
    </xf>
    <xf numFmtId="0" fontId="2" fillId="0" borderId="58" xfId="0" applyFont="1" applyBorder="1">
      <alignment vertical="center"/>
    </xf>
    <xf numFmtId="0" fontId="9" fillId="0" borderId="0" xfId="0" applyFont="1" applyAlignment="1">
      <alignment horizontal="centerContinuous" vertical="center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Continuous" vertical="center"/>
    </xf>
  </cellXfs>
  <cellStyles count="1">
    <cellStyle name="표준" xfId="0" builtinId="0"/>
  </cellStyles>
  <dxfs count="14"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  <dxf>
      <numFmt numFmtId="176" formatCode=";;;"/>
      <fill>
        <patternFill>
          <bgColor theme="0"/>
        </patternFill>
      </fill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e4981800d23179/&#48148;&#53461;%20&#54868;&#47732;/&#51060;&#51221;&#50500;/&#50728;&#49892;&#44032;&#49828;/GHGCalc_V0m_lja.xlsm" TargetMode="External"/><Relationship Id="rId1" Type="http://schemas.openxmlformats.org/officeDocument/2006/relationships/externalLinkPath" Target="GHGCalc_V0m_lj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_Law&amp;GL22"/>
      <sheetName val="_Supplier"/>
    </sheetNames>
    <sheetDataSet>
      <sheetData sheetId="0">
        <row r="3">
          <cell r="G3" t="str">
            <v>1A4. 기타</v>
          </cell>
          <cell r="H3" t="str">
            <v>주거용</v>
          </cell>
        </row>
        <row r="7">
          <cell r="F7" t="str">
            <v>국가고유(17년)</v>
          </cell>
          <cell r="G7" t="str">
            <v>국가고유(17년)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ngah lee" id="{B5C41719-DA51-45F4-86B6-5BAC4B1509A7}" userId="4ee4981800d23179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3-02T01:30:45.89" personId="{B5C41719-DA51-45F4-86B6-5BAC4B1509A7}" id="{E4C7A1AE-F281-41FE-A51F-79A9BDD4C5D4}">
    <text>(IPCC 2006) 산업에 의한 수송을 위해 이용된 에너지는 여기서가 아니고 수송 (1A3)에서 보고되어야 한다.</text>
  </threadedComment>
  <threadedComment ref="A6" dT="2025-03-02T01:48:49.56" personId="{B5C41719-DA51-45F4-86B6-5BAC4B1509A7}" id="{9CB737D1-911F-4E46-8722-C4D96C3E90D6}">
    <text xml:space="preserve">이러한 부문에서 자신이 이용하기 위한 전력 및 열 생산을 위한 연소를 포함하여, 아래에 기술된 것과 같은 연소 활동으로부터 발생하는 배출. </text>
  </threadedComment>
  <threadedComment ref="E7" dT="2025-03-02T01:46:13.74" personId="{B5C41719-DA51-45F4-86B6-5BAC4B1509A7}" id="{29EE11EE-EA8C-48CB-AADD-60484F6BFB00}">
    <text xml:space="preserve">ISIC Group 271 및 Class 2731. </text>
  </threadedComment>
  <threadedComment ref="E8" dT="2025-03-02T01:46:22.95" personId="{B5C41719-DA51-45F4-86B6-5BAC4B1509A7}" id="{FF41DCD6-186F-4C08-9D17-FB858D6A8D79}">
    <text xml:space="preserve">ISIC Group 272 및 Class 2732. </text>
  </threadedComment>
  <threadedComment ref="E9" dT="2025-03-02T01:46:28.93" personId="{B5C41719-DA51-45F4-86B6-5BAC4B1509A7}" id="{C85AF803-0792-4160-A4CE-88E08EE45748}">
    <text xml:space="preserve">ISIC Division 24. </text>
  </threadedComment>
  <threadedComment ref="E10" dT="2025-03-02T01:46:49.95" personId="{B5C41719-DA51-45F4-86B6-5BAC4B1509A7}" id="{D5EE1C76-6956-438E-9035-29684BDBB2EB}">
    <text xml:space="preserve">ISIC Divisions 21 및 22. </text>
  </threadedComment>
  <threadedComment ref="E11" dT="2025-03-02T01:46:58.17" personId="{B5C41719-DA51-45F4-86B6-5BAC4B1509A7}" id="{FD75C04C-B105-4540-9868-B899D48BE820}">
    <text xml:space="preserve">ISIC Divisions 15 및 16. </text>
  </threadedComment>
  <threadedComment ref="E12" dT="2025-03-02T01:47:07.99" personId="{B5C41719-DA51-45F4-86B6-5BAC4B1509A7}" id="{470A049A-8053-4C2B-AAF5-817C88AC630B}">
    <text xml:space="preserve">유리, 도자기(ceramic), 시멘트 등과 같은 제품을 포함한다; ISIC Division 26. </text>
  </threadedComment>
  <threadedComment ref="E13" dT="2025-03-02T01:47:18.73" personId="{B5C41719-DA51-45F4-86B6-5BAC4B1509A7}" id="{6C09277D-9A44-4162-B883-8D871CF5E13A}">
    <text xml:space="preserve">ISIC Divisions 34 및 35. </text>
  </threadedComment>
  <threadedComment ref="E14" dT="2025-03-02T01:47:25.14" personId="{B5C41719-DA51-45F4-86B6-5BAC4B1509A7}" id="{7BB44E84-FAAC-4194-BE98-709C501A944E}">
    <text xml:space="preserve">수송 장비가 아닌 조립금속제품, 기계류, 장비를 포함한다.; ISIC Divisions 28, 29, 30, 31, 32. </text>
  </threadedComment>
  <threadedComment ref="E15" dT="2025-03-02T01:47:30.38" personId="{B5C41719-DA51-45F4-86B6-5BAC4B1509A7}" id="{E86CAEAC-427E-459D-9D9D-ACA5DF71C5BD}">
    <text xml:space="preserve">ISIC Divisions 13 및 14. </text>
  </threadedComment>
  <threadedComment ref="E16" dT="2025-03-02T01:47:38.31" personId="{B5C41719-DA51-45F4-86B6-5BAC4B1509A7}" id="{0DAAAAD4-1E6F-4FD1-83D4-7F1715EC4194}">
    <text xml:space="preserve">ISIC Division 20. </text>
  </threadedComment>
  <threadedComment ref="E17" dT="2025-03-02T01:47:43.10" personId="{B5C41719-DA51-45F4-86B6-5BAC4B1509A7}" id="{360731E7-B77E-4B1D-9B9A-4275192B65FB}">
    <text xml:space="preserve">ISIC Division 45. </text>
  </threadedComment>
  <threadedComment ref="E18" dT="2025-03-02T01:47:52.13" personId="{B5C41719-DA51-45F4-86B6-5BAC4B1509A7}" id="{3B3194BF-3118-475A-80B3-92F0BEF0A713}">
    <text xml:space="preserve">ISIC Divisions 17, 18, 19. </text>
  </threadedComment>
  <threadedComment ref="E19" dT="2025-03-02T01:48:03.39" personId="{B5C41719-DA51-45F4-86B6-5BAC4B1509A7}" id="{30152397-14CD-4A57-AD85-D625D47C5ED8}">
    <text xml:space="preserve">위에 포함되지 않거나 별도의 자료가 이용가능하지 않은 제조업 /건설. ISIC Divisions 25, 33, 36, 37을 포함한다. </text>
  </threadedComment>
  <threadedComment ref="E21" dT="2025-03-02T01:49:11.18" personId="{B5C41719-DA51-45F4-86B6-5BAC4B1509A7}" id="{3AEA1093-F6ED-4AF6-8635-D8934EEF016C}">
    <text xml:space="preserve">(IPCC 2006) 상업용 및 공공 건물에서의 연료 연소로부터 발생하는 배출; ISIC Divisions 41,50, 51, 52, 55, 63-67, 70-75, 80, 85, 90-93, 99 에 포함되는 모든 활동. </text>
  </threadedComment>
  <threadedComment ref="E22" dT="2025-03-02T01:49:25.39" personId="{B5C41719-DA51-45F4-86B6-5BAC4B1509A7}" id="{48B1ECEA-4932-48F8-BD92-774B3590C959}">
    <text xml:space="preserve">가정에서의 연료 연소로부터 발생하는 모든 배출. </text>
  </threadedComment>
  <threadedComment ref="E23" dT="2025-03-02T01:49:35.02" personId="{B5C41719-DA51-45F4-86B6-5BAC4B1509A7}" id="{F43845E1-6C18-4918-A188-1A9753F984F9}">
    <text xml:space="preserve">농업, 임업, 어업, 양어장과 같은 수산업에서 연료 연소로부터 발생하는 배출. ISIC Divisions 01, 02, 05에 포함되는 활동들. 간선도로 농업용 수송(Highway agricultural transportation)은 제외된다. </text>
  </threadedComment>
  <threadedComment ref="H23" dT="2025-03-02T01:50:10.98" personId="{B5C41719-DA51-45F4-86B6-5BAC4B1509A7}" id="{BB6FBEB0-4FED-4AD8-BC1F-1751C46BB0C8}">
    <text xml:space="preserve">고정형 (Stationary) : 펌프, 곡물 건조, 원예용 온실 및 기타 농업, 임업 혹은 수산업 에서의 고정 연소에서 연소된 연료로부터 발생하는 배출. </text>
  </threadedComment>
  <threadedComment ref="I23" dT="2025-03-02T01:50:24.42" personId="{B5C41719-DA51-45F4-86B6-5BAC4B1509A7}" id="{5C0456C3-B94B-4060-A0F3-A22EDA6D2E46}">
    <text xml:space="preserve">- 비포장 도로용 차량 및 기타 기계류 (Off-road Vehicles and Other Machinery) : 농토 및 산림에서 견인차량(traction vehicles)에 의해 연소된 연 료로부터 발생하는 배출. 
- 어업 (이동 연소) (Fishing (mobile combustion)) : 내륙, 연안, 원양 어업을 위해 연소된 연료로부터 발생하는 배출. 어업은 해당 국가에서 연료를 보급받은 모든 국적(flags)의 선박 을 포함해야 한다 (국제적 어업(international fishing)을 포함). </text>
  </threadedComment>
  <threadedComment ref="E24" dT="2025-03-02T01:52:18.14" personId="{B5C41719-DA51-45F4-86B6-5BAC4B1509A7}" id="{760E4720-BD21-4883-892D-8FC2E3112211}">
    <text xml:space="preserve">다른 곳에서 지정되지 않은 고정 배출원에서 연료 연소로부터 발생하는 배출. </text>
  </threadedComment>
  <threadedComment ref="E25" dT="2025-03-02T01:52:30.88" personId="{B5C41719-DA51-45F4-86B6-5BAC4B1509A7}" id="{417CB5E2-E0C3-4CFE-B014-A5AFBCF6567A}">
    <text xml:space="preserve">(1 A 4 c ii 혹은 다른 곳에서 포함되지 않은) 차량 및 기타 기 계류, 선박, 항공기로부터 발생하는 배출. </text>
  </threadedComment>
  <threadedComment ref="I25" dT="2025-03-02T01:55:41.74" personId="{B5C41719-DA51-45F4-86B6-5BAC4B1509A7}" id="{135B7EE8-B9F0-457E-A1B8-2370ED849E87}">
    <text>i. 이동형 (항공 요소) : 다른 곳에서 지정되지 않은 연료 연소로부터 발생하는 나머지 모든 항공 배출. 특정 국가내에서 이송되지만 다자간 작전에 종 사하지 않는 다른 국가의 군대에 의해 이용된 연료뿐만 아니라 특정 국가의 군대에 이송된 연료로부터 발생하는 배출을 포함한 다.
Ii. 이동형 (수상요소) : 다른 곳에서 지정되지 않은 연료 연소로부터 발생하는 나머지 모든 해상 배출. 특정 국가내에서 이송되지만 다자간 작전에 종 사하지 않는 다른 국가의 군대에 의해 이용된 연료뿐만 아니라 특정 국가의 군대에 이송된 연료로부터 발생하는 배출을 포함한 다. 
iii. 이동형 (기타) : 다른 곳에서 포함되지 않은 이동 배출원으로부터 발생하는 나머지 모든 배출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" dT="2025-03-02T04:33:13.73" personId="{B5C41719-DA51-45F4-86B6-5BAC4B1509A7}" id="{78DA5694-A606-4656-9D11-702B9F62A4D9}">
    <text>IPCC 2006 GL + 제15조 2항</text>
  </threadedComment>
  <threadedComment ref="G2" dT="2025-03-02T06:18:33.65" personId="{B5C41719-DA51-45F4-86B6-5BAC4B1509A7}" id="{003AE810-0497-4D4F-9BE0-A8CB6E3BA467}" parentId="{78DA5694-A606-4656-9D11-702B9F62A4D9}">
    <text xml:space="preserve"> 상업/공공부문 및 가정과 농립어업 부문에서의 고정 연소에 대한 기본 배출계수</text>
  </threadedComment>
  <threadedComment ref="T3" dT="2025-03-02T15:03:44.19" personId="{B5C41719-DA51-45F4-86B6-5BAC4B1509A7}" id="{F0C260C7-5EC5-445C-B24F-BC02054205AC}">
    <text>* 하단의 표의 연료 상태는 상온을 기준으로 작성</text>
  </threadedComment>
  <threadedComment ref="B10" dT="2025-03-02T04:18:50.79" personId="{B5C41719-DA51-45F4-86B6-5BAC4B1509A7}" id="{59C0C470-5583-4DE3-ABA1-454C69ACFBAF}">
    <text>Jet A-1
JP-4
JP-8</text>
  </threadedComment>
  <threadedComment ref="B10" dT="2025-03-02T04:23:56.35" personId="{B5C41719-DA51-45F4-86B6-5BAC4B1509A7}" id="{1EC5FAF6-4716-4011-9194-6EF629CCBF6B}" parentId="{59C0C470-5583-4DE3-ABA1-454C69ACFBAF}">
    <text>항공용 휘발유(AVI-G)는 휘발유의 값 준용</text>
  </threadedComment>
  <threadedComment ref="B11" dT="2025-03-02T04:24:22.92" personId="{B5C41719-DA51-45F4-86B6-5BAC4B1509A7}" id="{88A1C685-90CA-46D4-A3BD-1664AE511FDA}">
    <text>보일러 등유는 실내 등유의 국가 고유 배출계수 준용</text>
  </threadedComment>
  <threadedComment ref="B14" dT="2025-03-02T04:34:08.04" personId="{B5C41719-DA51-45F4-86B6-5BAC4B1509A7}" id="{24B39753-9892-44D6-9969-24E6850AB9DF}">
    <text>경질중유(B-A유)
경유유분70% + B-C유분30% 혼합유</text>
  </threadedComment>
  <threadedComment ref="B15" dT="2025-03-02T04:34:19.86" personId="{B5C41719-DA51-45F4-86B6-5BAC4B1509A7}" id="{715ADB36-DEAD-4F2E-8E0F-9F0CF765511C}">
    <text>중유(B-B)
경유유분30%+B-C유분7-% 혼합유</text>
  </threadedComment>
  <threadedComment ref="B17" dT="2025-03-02T04:40:10.76" personId="{B5C41719-DA51-45F4-86B6-5BAC4B1509A7}" id="{86B16A1B-4DA5-4D8C-BACE-A10F26BE7F0F}">
    <text>CO2 배출계수는 기타등유의 IPCC 기본 배출계수를 적용하여 활용한다.</text>
  </threadedComment>
  <threadedComment ref="B17" dT="2025-03-02T08:29:41.99" personId="{B5C41719-DA51-45F4-86B6-5BAC4B1509A7}" id="{2ECE3148-59E9-4FC0-B150-4FF897992DB0}" parentId="{86B16A1B-4DA5-4D8C-BACE-A10F26BE7F0F}">
    <text>고정연소 배출활동의 경우, T1 CO2 배출계수는 등유 계수를 활용하여 산정한다.</text>
  </threadedComment>
  <threadedComment ref="B18" dT="2025-03-02T04:40:23.52" personId="{B5C41719-DA51-45F4-86B6-5BAC4B1509A7}" id="{B8E9AA11-9263-497C-ADC4-A3FE122FC5F5}">
    <text>CO2 배출계수는 B-C유의 IPCC 기본 배출계수를 적용하여 활용한다.</text>
  </threadedComment>
  <threadedComment ref="B18" dT="2025-03-02T08:30:09.03" personId="{B5C41719-DA51-45F4-86B6-5BAC4B1509A7}" id="{8D536063-7574-4DAA-B5B5-1D2B192ED5A7}" parentId="{B8E9AA11-9263-497C-ADC4-A3FE122FC5F5}">
    <text>고정연소 배출활동의 경우, T1 CO2 배출계수는 B-C유 계수를 활용하여 온실가스 배출량을 산정한다.</text>
  </threadedComment>
  <threadedComment ref="B20" dT="2025-03-02T08:28:43.05" personId="{B5C41719-DA51-45F4-86B6-5BAC4B1509A7}" id="{11D00741-BE36-4E66-9D14-09C381CAEC98}">
    <text xml:space="preserve">LPG 사용에 따른 고정연소 배출활동
</text>
  </threadedComment>
  <threadedComment ref="B21" dT="2025-03-02T08:28:58.42" personId="{B5C41719-DA51-45F4-86B6-5BAC4B1509A7}" id="{BE33BCCE-4491-4FCF-A5A6-0F88A765BDA0}">
    <text>LPG 사용에 따른 이동연소(도로) 배출활동</text>
  </threadedComment>
  <threadedComment ref="B23" dT="2025-03-02T05:29:26.19" personId="{B5C41719-DA51-45F4-86B6-5BAC4B1509A7}" id="{D8926BF0-85A5-4521-9573-3D311AE03777}">
    <text>컨덴세이트는 납사 값을 준용</text>
  </threadedComment>
  <threadedComment ref="P67" dT="2025-03-03T05:11:24.33" personId="{B5C41719-DA51-45F4-86B6-5BAC4B1509A7}" id="{4B0913DE-E2EF-4D1E-A22E-0FA76FBC87D9}">
    <text xml:space="preserve">한국 전력망에서 사용되는 모든 발전원을 종합하여 평균화한 값 </text>
  </threadedComment>
  <threadedComment ref="P67" dT="2025-03-03T05:13:09.58" personId="{B5C41719-DA51-45F4-86B6-5BAC4B1509A7}" id="{539037FC-5707-4E34-BC41-F9A61AFB4A5D}" parentId="{4B0913DE-E2EF-4D1E-A22E-0FA76FBC87D9}">
    <text xml:space="preserve">국가 전력망에서 배출량을 계산할 때, 이미 연소 과정에서의 산화율을 반영한 배출계수를 사용하므로 별도의 산화계수를 곱할 필요가 없음 </text>
  </threadedComment>
  <threadedComment ref="H69" dT="2025-03-03T06:28:44.22" personId="{B5C41719-DA51-45F4-86B6-5BAC4B1509A7}" id="{58A8808C-4F3D-42E1-B182-BBB694265A83}">
    <text xml:space="preserve">열(스팀)을 생산하여 외부로 공급하는 업체가 자체적으로 열(스팀) 배 출계수를 제공할 수 없는 경우에 한하여 온실가스종합정보센터가확인하여 지침에 수록된 열(스팀)배출계수를 사용할 수 있다 </text>
  </threadedComment>
  <threadedComment ref="H69" dT="2025-03-03T06:31:09.26" personId="{B5C41719-DA51-45F4-86B6-5BAC4B1509A7}" id="{AA011831-3A00-4D40-8811-32BB7D953CEA}" parentId="{58A8808C-4F3D-42E1-B182-BBB694265A83}">
    <text>온실가스종합정보센터(2013)</text>
  </threadedComment>
  <threadedComment ref="B71" dT="2025-03-03T05:59:04.78" personId="{B5C41719-DA51-45F4-86B6-5BAC4B1509A7}" id="{C63B610B-5150-4C32-8D8F-4359F512116A}">
    <text xml:space="preserve">열(스팀) 사용량을 열전용, 열병합으로 구분할 수 없는 경우 열(스팀) 평균배출계수 사용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9FE2-A886-46B0-8C51-0D5873B75561}">
  <dimension ref="A1:W121"/>
  <sheetViews>
    <sheetView workbookViewId="0">
      <selection activeCell="B9" sqref="B9"/>
    </sheetView>
  </sheetViews>
  <sheetFormatPr defaultRowHeight="13.15" x14ac:dyDescent="0.6"/>
  <cols>
    <col min="1" max="1" width="11.25" style="2" customWidth="1"/>
    <col min="2" max="2" width="17.125" style="2" bestFit="1" customWidth="1"/>
    <col min="3" max="3" width="8.375" style="2" bestFit="1" customWidth="1"/>
    <col min="4" max="4" width="9.875" style="2" customWidth="1"/>
    <col min="5" max="5" width="7.875" style="2" customWidth="1"/>
    <col min="6" max="6" width="20.1875" style="2" bestFit="1" customWidth="1"/>
    <col min="7" max="7" width="9.125" style="2" bestFit="1" customWidth="1"/>
    <col min="8" max="8" width="14.625" style="2" bestFit="1" customWidth="1"/>
    <col min="9" max="9" width="6.25" style="2" bestFit="1" customWidth="1"/>
    <col min="10" max="10" width="5.9375" style="2" bestFit="1" customWidth="1"/>
    <col min="11" max="11" width="5.375" style="2" bestFit="1" customWidth="1"/>
    <col min="12" max="12" width="15.75" style="2" bestFit="1" customWidth="1"/>
    <col min="13" max="13" width="8.875" style="2" bestFit="1" customWidth="1"/>
    <col min="14" max="14" width="9.3125" style="2" customWidth="1"/>
    <col min="15" max="15" width="10.9375" style="2" customWidth="1"/>
    <col min="16" max="16" width="13.375" style="2" bestFit="1" customWidth="1"/>
    <col min="17" max="17" width="8.375" style="2" bestFit="1" customWidth="1"/>
    <col min="18" max="18" width="11.125" style="2" customWidth="1"/>
    <col min="19" max="22" width="8.375" style="2" bestFit="1" customWidth="1"/>
    <col min="23" max="23" width="5.375" style="2" bestFit="1" customWidth="1"/>
    <col min="24" max="16384" width="9" style="2"/>
  </cols>
  <sheetData>
    <row r="1" spans="1:23" ht="15.4" customHeight="1" x14ac:dyDescent="0.6">
      <c r="A1" s="3" t="s">
        <v>227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s="5" customFormat="1" ht="15.4" customHeight="1" x14ac:dyDescent="0.6">
      <c r="A2" s="4" t="s">
        <v>0</v>
      </c>
      <c r="B2" s="4" t="s">
        <v>1</v>
      </c>
      <c r="D2" s="4" t="s">
        <v>2</v>
      </c>
      <c r="E2" s="4" t="s">
        <v>0</v>
      </c>
      <c r="F2" s="4" t="s">
        <v>1</v>
      </c>
      <c r="G2" s="6" t="s">
        <v>3</v>
      </c>
      <c r="H2" s="7" t="s">
        <v>4</v>
      </c>
      <c r="I2" s="8" t="s">
        <v>5</v>
      </c>
      <c r="R2" s="10"/>
      <c r="S2" s="10"/>
      <c r="T2" s="10"/>
      <c r="U2" s="10"/>
      <c r="V2" s="10"/>
      <c r="W2" s="10"/>
    </row>
    <row r="3" spans="1:23" s="18" customFormat="1" ht="15.4" customHeight="1" x14ac:dyDescent="0.6">
      <c r="A3" s="11" t="s">
        <v>8</v>
      </c>
      <c r="B3" s="12" t="s">
        <v>9</v>
      </c>
      <c r="C3" s="9"/>
      <c r="D3" s="12" t="s">
        <v>10</v>
      </c>
      <c r="E3" s="13"/>
      <c r="F3" s="13"/>
      <c r="G3" s="14"/>
      <c r="H3" s="15"/>
      <c r="I3" s="16"/>
      <c r="J3" s="9"/>
      <c r="R3" s="9"/>
      <c r="S3" s="9"/>
      <c r="T3" s="9"/>
      <c r="U3" s="9"/>
      <c r="V3" s="9"/>
      <c r="W3" s="9"/>
    </row>
    <row r="4" spans="1:23" s="18" customFormat="1" ht="15.4" customHeight="1" x14ac:dyDescent="0.6">
      <c r="A4" s="11" t="s">
        <v>14</v>
      </c>
      <c r="B4" s="12" t="s">
        <v>15</v>
      </c>
      <c r="C4" s="9"/>
      <c r="D4" s="12" t="s">
        <v>9</v>
      </c>
      <c r="E4" s="13" t="s">
        <v>16</v>
      </c>
      <c r="F4" s="12" t="s">
        <v>17</v>
      </c>
      <c r="G4" s="19" t="s">
        <v>18</v>
      </c>
      <c r="H4" s="15" t="s">
        <v>19</v>
      </c>
      <c r="I4" s="20"/>
      <c r="J4" s="9"/>
      <c r="R4" s="9"/>
      <c r="S4" s="9"/>
      <c r="T4" s="9"/>
      <c r="U4" s="9"/>
      <c r="V4" s="9"/>
      <c r="W4" s="9"/>
    </row>
    <row r="5" spans="1:23" s="18" customFormat="1" ht="15.4" customHeight="1" x14ac:dyDescent="0.6">
      <c r="A5" s="13" t="s">
        <v>22</v>
      </c>
      <c r="B5" s="12" t="s">
        <v>23</v>
      </c>
      <c r="C5" s="9"/>
      <c r="D5" s="12" t="s">
        <v>9</v>
      </c>
      <c r="E5" s="13" t="s">
        <v>24</v>
      </c>
      <c r="F5" s="12" t="s">
        <v>25</v>
      </c>
      <c r="G5" s="19" t="s">
        <v>18</v>
      </c>
      <c r="H5" s="15" t="s">
        <v>19</v>
      </c>
      <c r="I5" s="20"/>
      <c r="J5" s="9"/>
      <c r="R5" s="9"/>
      <c r="S5" s="9"/>
      <c r="T5" s="9"/>
      <c r="U5" s="9"/>
      <c r="V5" s="9"/>
      <c r="W5" s="9"/>
    </row>
    <row r="6" spans="1:23" s="18" customFormat="1" ht="15.4" customHeight="1" x14ac:dyDescent="0.6">
      <c r="A6" s="22" t="s">
        <v>26</v>
      </c>
      <c r="B6" s="23" t="s">
        <v>27</v>
      </c>
      <c r="C6" s="9"/>
      <c r="D6" s="12" t="s">
        <v>9</v>
      </c>
      <c r="E6" s="13" t="s">
        <v>28</v>
      </c>
      <c r="F6" s="12" t="s">
        <v>29</v>
      </c>
      <c r="G6" s="19" t="s">
        <v>18</v>
      </c>
      <c r="H6" s="15" t="s">
        <v>19</v>
      </c>
      <c r="I6" s="20"/>
      <c r="J6" s="9"/>
      <c r="R6" s="9"/>
      <c r="S6" s="9"/>
      <c r="T6" s="9"/>
      <c r="U6" s="9"/>
      <c r="V6" s="9"/>
      <c r="W6" s="9"/>
    </row>
    <row r="7" spans="1:23" s="18" customFormat="1" ht="15.4" customHeight="1" x14ac:dyDescent="0.6">
      <c r="A7" s="13" t="s">
        <v>30</v>
      </c>
      <c r="B7" s="12" t="s">
        <v>31</v>
      </c>
      <c r="C7" s="9"/>
      <c r="D7" s="12" t="s">
        <v>15</v>
      </c>
      <c r="E7" s="13" t="s">
        <v>32</v>
      </c>
      <c r="F7" s="12" t="s">
        <v>33</v>
      </c>
      <c r="G7" s="19" t="s">
        <v>18</v>
      </c>
      <c r="H7" s="15" t="s">
        <v>19</v>
      </c>
      <c r="I7" s="16"/>
      <c r="J7" s="9"/>
      <c r="R7" s="9"/>
      <c r="S7" s="9"/>
      <c r="T7" s="9"/>
      <c r="U7" s="9"/>
      <c r="V7" s="9"/>
      <c r="W7" s="9"/>
    </row>
    <row r="8" spans="1:23" s="18" customFormat="1" ht="15.4" customHeight="1" x14ac:dyDescent="0.6">
      <c r="A8" s="9"/>
      <c r="B8" s="9"/>
      <c r="C8" s="9"/>
      <c r="D8" s="12" t="s">
        <v>15</v>
      </c>
      <c r="E8" s="13" t="s">
        <v>35</v>
      </c>
      <c r="F8" s="12" t="s">
        <v>36</v>
      </c>
      <c r="G8" s="19" t="s">
        <v>18</v>
      </c>
      <c r="H8" s="15" t="s">
        <v>19</v>
      </c>
      <c r="I8" s="16"/>
      <c r="J8" s="9"/>
      <c r="R8" s="9"/>
      <c r="S8" s="9"/>
      <c r="T8" s="9"/>
      <c r="U8" s="9"/>
      <c r="V8" s="9"/>
      <c r="W8" s="9"/>
    </row>
    <row r="9" spans="1:23" s="18" customFormat="1" ht="15.4" customHeight="1" x14ac:dyDescent="0.6">
      <c r="A9" s="9"/>
      <c r="B9" s="9"/>
      <c r="C9" s="9"/>
      <c r="D9" s="12" t="s">
        <v>15</v>
      </c>
      <c r="E9" s="13" t="s">
        <v>37</v>
      </c>
      <c r="F9" s="12" t="s">
        <v>38</v>
      </c>
      <c r="G9" s="19" t="s">
        <v>18</v>
      </c>
      <c r="H9" s="15" t="s">
        <v>19</v>
      </c>
      <c r="I9" s="16"/>
      <c r="J9" s="9"/>
      <c r="R9" s="9"/>
      <c r="S9" s="9"/>
      <c r="T9" s="9"/>
      <c r="U9" s="9"/>
      <c r="V9" s="9"/>
      <c r="W9" s="9"/>
    </row>
    <row r="10" spans="1:23" s="18" customFormat="1" ht="15.4" customHeight="1" x14ac:dyDescent="0.6">
      <c r="A10" s="9"/>
      <c r="B10" s="9"/>
      <c r="C10" s="9"/>
      <c r="D10" s="12" t="s">
        <v>15</v>
      </c>
      <c r="E10" s="13" t="s">
        <v>39</v>
      </c>
      <c r="F10" s="12" t="s">
        <v>40</v>
      </c>
      <c r="G10" s="19" t="s">
        <v>18</v>
      </c>
      <c r="H10" s="15" t="s">
        <v>19</v>
      </c>
      <c r="I10" s="16"/>
      <c r="J10" s="9"/>
      <c r="R10" s="9"/>
      <c r="S10" s="9"/>
      <c r="T10" s="9"/>
      <c r="U10" s="9"/>
      <c r="V10" s="9"/>
      <c r="W10" s="9"/>
    </row>
    <row r="11" spans="1:23" s="18" customFormat="1" ht="15.4" customHeight="1" x14ac:dyDescent="0.6">
      <c r="A11" s="9"/>
      <c r="B11" s="9"/>
      <c r="C11" s="9"/>
      <c r="D11" s="12" t="s">
        <v>15</v>
      </c>
      <c r="E11" s="13" t="s">
        <v>45</v>
      </c>
      <c r="F11" s="12" t="s">
        <v>46</v>
      </c>
      <c r="G11" s="19" t="s">
        <v>18</v>
      </c>
      <c r="H11" s="15" t="s">
        <v>19</v>
      </c>
      <c r="I11" s="16"/>
      <c r="J11" s="9"/>
      <c r="R11" s="9"/>
      <c r="S11" s="9"/>
      <c r="T11" s="9"/>
      <c r="U11" s="9"/>
      <c r="V11" s="9"/>
      <c r="W11" s="9"/>
    </row>
    <row r="12" spans="1:23" s="18" customFormat="1" ht="15.4" customHeight="1" x14ac:dyDescent="0.6">
      <c r="A12" s="9"/>
      <c r="B12" s="9"/>
      <c r="C12" s="9"/>
      <c r="D12" s="12" t="s">
        <v>15</v>
      </c>
      <c r="E12" s="13" t="s">
        <v>49</v>
      </c>
      <c r="F12" s="12" t="s">
        <v>50</v>
      </c>
      <c r="G12" s="19" t="s">
        <v>18</v>
      </c>
      <c r="H12" s="15" t="s">
        <v>19</v>
      </c>
      <c r="I12" s="16"/>
      <c r="J12" s="9"/>
      <c r="R12" s="9"/>
      <c r="S12" s="9"/>
      <c r="T12" s="9"/>
      <c r="U12" s="9"/>
      <c r="V12" s="9"/>
      <c r="W12" s="9"/>
    </row>
    <row r="13" spans="1:23" s="18" customFormat="1" ht="15.4" customHeight="1" x14ac:dyDescent="0.6">
      <c r="A13" s="9"/>
      <c r="B13" s="9"/>
      <c r="C13" s="9"/>
      <c r="D13" s="12" t="s">
        <v>15</v>
      </c>
      <c r="E13" s="13" t="s">
        <v>52</v>
      </c>
      <c r="F13" s="12" t="s">
        <v>53</v>
      </c>
      <c r="G13" s="19" t="s">
        <v>18</v>
      </c>
      <c r="H13" s="15" t="s">
        <v>19</v>
      </c>
      <c r="I13" s="16"/>
      <c r="J13" s="9"/>
      <c r="R13" s="9"/>
      <c r="S13" s="9"/>
      <c r="T13" s="9"/>
      <c r="U13" s="9"/>
      <c r="V13" s="9"/>
      <c r="W13" s="9"/>
    </row>
    <row r="14" spans="1:23" s="18" customFormat="1" ht="15.4" customHeight="1" x14ac:dyDescent="0.6">
      <c r="A14" s="9"/>
      <c r="B14" s="9"/>
      <c r="C14" s="9"/>
      <c r="D14" s="12" t="s">
        <v>15</v>
      </c>
      <c r="E14" s="13" t="s">
        <v>55</v>
      </c>
      <c r="F14" s="12" t="s">
        <v>56</v>
      </c>
      <c r="G14" s="19" t="s">
        <v>18</v>
      </c>
      <c r="H14" s="15" t="s">
        <v>19</v>
      </c>
      <c r="I14" s="16"/>
      <c r="J14" s="9"/>
      <c r="R14" s="9"/>
      <c r="S14" s="9"/>
      <c r="T14" s="9"/>
      <c r="U14" s="9"/>
      <c r="V14" s="9"/>
      <c r="W14" s="9"/>
    </row>
    <row r="15" spans="1:23" s="18" customFormat="1" ht="15.4" customHeight="1" x14ac:dyDescent="0.6">
      <c r="A15" s="9"/>
      <c r="B15" s="9"/>
      <c r="C15" s="9"/>
      <c r="D15" s="12" t="s">
        <v>15</v>
      </c>
      <c r="E15" s="13" t="s">
        <v>58</v>
      </c>
      <c r="F15" s="12" t="s">
        <v>59</v>
      </c>
      <c r="G15" s="19" t="s">
        <v>18</v>
      </c>
      <c r="H15" s="15" t="s">
        <v>19</v>
      </c>
      <c r="I15" s="16"/>
      <c r="J15" s="9"/>
      <c r="R15" s="9"/>
      <c r="S15" s="9"/>
      <c r="T15" s="9"/>
      <c r="U15" s="9"/>
      <c r="V15" s="9"/>
      <c r="W15" s="9"/>
    </row>
    <row r="16" spans="1:23" s="18" customFormat="1" ht="15.4" customHeight="1" x14ac:dyDescent="0.6">
      <c r="A16" s="9"/>
      <c r="B16" s="9"/>
      <c r="C16" s="9"/>
      <c r="D16" s="12" t="s">
        <v>15</v>
      </c>
      <c r="E16" s="13" t="s">
        <v>60</v>
      </c>
      <c r="F16" s="12" t="s">
        <v>61</v>
      </c>
      <c r="G16" s="19" t="s">
        <v>18</v>
      </c>
      <c r="H16" s="15" t="s">
        <v>19</v>
      </c>
      <c r="I16" s="16"/>
      <c r="J16" s="9"/>
      <c r="R16" s="9"/>
      <c r="S16" s="9"/>
      <c r="T16" s="9"/>
      <c r="U16" s="9"/>
      <c r="V16" s="9"/>
      <c r="W16" s="9"/>
    </row>
    <row r="17" spans="1:23" s="18" customFormat="1" ht="15.4" customHeight="1" x14ac:dyDescent="0.6">
      <c r="A17" s="9"/>
      <c r="B17" s="9"/>
      <c r="C17" s="9"/>
      <c r="D17" s="12" t="s">
        <v>15</v>
      </c>
      <c r="E17" s="13" t="s">
        <v>64</v>
      </c>
      <c r="F17" s="12" t="s">
        <v>65</v>
      </c>
      <c r="G17" s="19" t="s">
        <v>18</v>
      </c>
      <c r="H17" s="15" t="s">
        <v>19</v>
      </c>
      <c r="I17" s="16"/>
      <c r="J17" s="9"/>
      <c r="R17" s="9"/>
      <c r="S17" s="9"/>
      <c r="T17" s="9"/>
      <c r="U17" s="9"/>
      <c r="V17" s="9"/>
      <c r="W17" s="9"/>
    </row>
    <row r="18" spans="1:23" s="18" customFormat="1" ht="15.4" customHeight="1" x14ac:dyDescent="0.6">
      <c r="A18" s="9"/>
      <c r="B18" s="9"/>
      <c r="C18" s="9"/>
      <c r="D18" s="12" t="s">
        <v>15</v>
      </c>
      <c r="E18" s="13" t="s">
        <v>69</v>
      </c>
      <c r="F18" s="12" t="s">
        <v>70</v>
      </c>
      <c r="G18" s="19" t="s">
        <v>18</v>
      </c>
      <c r="H18" s="15" t="s">
        <v>19</v>
      </c>
      <c r="I18" s="16"/>
      <c r="J18" s="9"/>
      <c r="R18" s="9"/>
      <c r="S18" s="9"/>
      <c r="T18" s="9"/>
      <c r="U18" s="9"/>
      <c r="V18" s="9"/>
      <c r="W18" s="9"/>
    </row>
    <row r="19" spans="1:23" s="18" customFormat="1" ht="15.4" customHeight="1" x14ac:dyDescent="0.6">
      <c r="A19" s="9"/>
      <c r="B19" s="9"/>
      <c r="C19" s="9"/>
      <c r="D19" s="12" t="s">
        <v>15</v>
      </c>
      <c r="E19" s="13" t="s">
        <v>73</v>
      </c>
      <c r="F19" s="12" t="s">
        <v>74</v>
      </c>
      <c r="G19" s="19" t="s">
        <v>18</v>
      </c>
      <c r="H19" s="15" t="s">
        <v>19</v>
      </c>
      <c r="I19" s="16"/>
      <c r="J19" s="9"/>
      <c r="R19" s="9"/>
      <c r="S19" s="9"/>
      <c r="T19" s="9"/>
      <c r="U19" s="9"/>
      <c r="V19" s="9"/>
      <c r="W19" s="9"/>
    </row>
    <row r="20" spans="1:23" s="18" customFormat="1" ht="15.4" customHeight="1" x14ac:dyDescent="0.6">
      <c r="A20" s="9"/>
      <c r="B20" s="9"/>
      <c r="C20" s="9"/>
      <c r="D20" s="12" t="s">
        <v>23</v>
      </c>
      <c r="E20" s="13"/>
      <c r="F20" s="12"/>
      <c r="G20" s="19" t="s">
        <v>18</v>
      </c>
      <c r="H20" s="24"/>
      <c r="I20" s="16" t="s">
        <v>19</v>
      </c>
      <c r="J20" s="9"/>
      <c r="R20" s="9"/>
      <c r="S20" s="9"/>
      <c r="T20" s="9"/>
      <c r="U20" s="9"/>
      <c r="V20" s="9"/>
      <c r="W20" s="9"/>
    </row>
    <row r="21" spans="1:23" s="18" customFormat="1" ht="15.4" customHeight="1" x14ac:dyDescent="0.6">
      <c r="A21" s="25"/>
      <c r="B21" s="25"/>
      <c r="C21" s="25"/>
      <c r="D21" s="12" t="s">
        <v>27</v>
      </c>
      <c r="E21" s="22" t="s">
        <v>78</v>
      </c>
      <c r="F21" s="23" t="s">
        <v>79</v>
      </c>
      <c r="G21" s="26" t="s">
        <v>18</v>
      </c>
      <c r="H21" s="27" t="s">
        <v>19</v>
      </c>
      <c r="I21" s="28"/>
      <c r="J21" s="9"/>
      <c r="R21" s="9"/>
      <c r="S21" s="9"/>
      <c r="T21" s="9"/>
      <c r="U21" s="9"/>
      <c r="V21" s="9"/>
      <c r="W21" s="9"/>
    </row>
    <row r="22" spans="1:23" s="18" customFormat="1" ht="15.4" customHeight="1" x14ac:dyDescent="0.6">
      <c r="A22" s="25"/>
      <c r="B22" s="25"/>
      <c r="C22" s="25"/>
      <c r="D22" s="12" t="s">
        <v>27</v>
      </c>
      <c r="E22" s="22" t="s">
        <v>81</v>
      </c>
      <c r="F22" s="23" t="s">
        <v>82</v>
      </c>
      <c r="G22" s="26"/>
      <c r="H22" s="27" t="s">
        <v>19</v>
      </c>
      <c r="I22" s="29"/>
      <c r="J22" s="9"/>
      <c r="R22" s="9"/>
      <c r="S22" s="9"/>
      <c r="T22" s="9"/>
      <c r="U22" s="9"/>
      <c r="V22" s="9"/>
      <c r="W22" s="9"/>
    </row>
    <row r="23" spans="1:23" s="18" customFormat="1" ht="15.4" customHeight="1" x14ac:dyDescent="0.6">
      <c r="A23" s="25"/>
      <c r="B23" s="25"/>
      <c r="C23" s="25"/>
      <c r="D23" s="12" t="s">
        <v>27</v>
      </c>
      <c r="E23" s="13" t="s">
        <v>84</v>
      </c>
      <c r="F23" s="12" t="s">
        <v>85</v>
      </c>
      <c r="G23" s="19"/>
      <c r="H23" s="15" t="s">
        <v>19</v>
      </c>
      <c r="I23" s="20" t="s">
        <v>19</v>
      </c>
      <c r="J23" s="9"/>
      <c r="R23" s="9"/>
      <c r="S23" s="9"/>
      <c r="T23" s="9"/>
      <c r="U23" s="9"/>
      <c r="V23" s="9"/>
      <c r="W23" s="9"/>
    </row>
    <row r="24" spans="1:23" s="18" customFormat="1" ht="15.4" customHeight="1" x14ac:dyDescent="0.6">
      <c r="A24" s="9"/>
      <c r="B24" s="9"/>
      <c r="C24" s="9"/>
      <c r="D24" s="12" t="s">
        <v>31</v>
      </c>
      <c r="E24" s="13" t="s">
        <v>87</v>
      </c>
      <c r="F24" s="12" t="s">
        <v>88</v>
      </c>
      <c r="G24" s="19" t="s">
        <v>18</v>
      </c>
      <c r="H24" s="15" t="s">
        <v>19</v>
      </c>
      <c r="I24" s="16"/>
      <c r="J24" s="9"/>
      <c r="R24" s="9"/>
      <c r="S24" s="9"/>
      <c r="T24" s="9"/>
      <c r="U24" s="9"/>
      <c r="V24" s="9"/>
      <c r="W24" s="9"/>
    </row>
    <row r="25" spans="1:23" s="18" customFormat="1" ht="15" customHeight="1" x14ac:dyDescent="0.6">
      <c r="A25" s="9"/>
      <c r="B25" s="9"/>
      <c r="C25" s="9"/>
      <c r="D25" s="12" t="s">
        <v>31</v>
      </c>
      <c r="E25" s="13" t="s">
        <v>90</v>
      </c>
      <c r="F25" s="12" t="s">
        <v>91</v>
      </c>
      <c r="G25" s="19"/>
      <c r="H25" s="15"/>
      <c r="I25" s="16" t="s">
        <v>19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s="18" customFormat="1" ht="15.4" customHeight="1" x14ac:dyDescent="0.6">
      <c r="A26" s="9"/>
      <c r="B26" s="9"/>
      <c r="C26" s="9"/>
      <c r="D26" s="12" t="s">
        <v>92</v>
      </c>
      <c r="E26" s="13" t="s">
        <v>93</v>
      </c>
      <c r="F26" s="12" t="s">
        <v>94</v>
      </c>
      <c r="G26" s="30" t="s">
        <v>95</v>
      </c>
      <c r="H26" s="15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s="18" customFormat="1" ht="15.4" customHeight="1" x14ac:dyDescent="0.6">
      <c r="A27" s="9"/>
      <c r="B27" s="9"/>
      <c r="C27" s="9"/>
      <c r="D27" s="12" t="s">
        <v>92</v>
      </c>
      <c r="E27" s="13" t="s">
        <v>96</v>
      </c>
      <c r="F27" s="12" t="s">
        <v>97</v>
      </c>
      <c r="G27" s="30" t="s">
        <v>95</v>
      </c>
      <c r="H27" s="15"/>
      <c r="I27" s="16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s="5" customFormat="1" ht="15.4" customHeight="1" x14ac:dyDescent="0.6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9"/>
      <c r="U28" s="10"/>
      <c r="V28" s="10"/>
      <c r="W28" s="10"/>
    </row>
    <row r="100" spans="1:23" ht="15.4" customHeight="1" x14ac:dyDescent="0.6">
      <c r="A100" s="109"/>
      <c r="B100" s="109"/>
      <c r="C100" s="110"/>
      <c r="D100" s="110"/>
      <c r="E100" s="110"/>
      <c r="F100" s="110"/>
      <c r="G100" s="109"/>
      <c r="H100" s="109"/>
      <c r="I100" s="110"/>
      <c r="J100" s="110"/>
      <c r="K100" s="110"/>
      <c r="L100" s="110"/>
      <c r="M100" s="109"/>
      <c r="N100" s="110"/>
      <c r="O100" s="111"/>
      <c r="P100" s="110"/>
      <c r="Q100" s="110"/>
      <c r="R100" s="110"/>
      <c r="S100" s="112"/>
      <c r="T100" s="112"/>
      <c r="V100" s="1"/>
      <c r="W100" s="1"/>
    </row>
    <row r="119" spans="1:23" ht="15.4" customHeight="1" x14ac:dyDescent="0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4" customHeight="1" x14ac:dyDescent="0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4" customHeight="1" x14ac:dyDescent="0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</sheetData>
  <phoneticPr fontId="1" type="noConversion"/>
  <conditionalFormatting sqref="A3:B4 D4:D19 A6:B7 D21:D25 D27">
    <cfRule type="expression" dxfId="13" priority="10">
      <formula>A3=A2</formula>
    </cfRule>
  </conditionalFormatting>
  <conditionalFormatting sqref="D26">
    <cfRule type="expression" dxfId="11" priority="18">
      <formula>D26=#REF!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00000000-000E-0000-0000-00000F000000}">
            <xm:f>A100='연료별 매개변수'!A68</xm:f>
            <x14:dxf>
              <numFmt numFmtId="176" formatCode=";;;"/>
              <fill>
                <patternFill>
                  <bgColor theme="0"/>
                </patternFill>
              </fill>
              <border>
                <top/>
                <vertical/>
                <horizontal/>
              </border>
            </x14:dxf>
          </x14:cfRule>
          <xm:sqref>A100:B100 G100:H100 M100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C2BF-1737-4A45-9984-6DBBA7372C91}">
  <dimension ref="A1:W24"/>
  <sheetViews>
    <sheetView workbookViewId="0">
      <selection activeCell="F26" sqref="F26"/>
    </sheetView>
  </sheetViews>
  <sheetFormatPr defaultRowHeight="16.899999999999999" x14ac:dyDescent="0.6"/>
  <sheetData>
    <row r="1" spans="1:23" s="2" customFormat="1" ht="15.4" customHeight="1" x14ac:dyDescent="0.6">
      <c r="A1" s="3" t="s">
        <v>228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s="2" customFormat="1" ht="15.4" customHeight="1" x14ac:dyDescent="0.6">
      <c r="A2" s="4" t="s">
        <v>206</v>
      </c>
      <c r="B2" s="4"/>
      <c r="C2" s="4"/>
      <c r="D2" s="1"/>
      <c r="E2" s="4" t="s">
        <v>207</v>
      </c>
      <c r="F2" s="113" t="s">
        <v>208</v>
      </c>
      <c r="G2" s="113"/>
      <c r="H2" s="113"/>
      <c r="I2" s="113" t="s">
        <v>209</v>
      </c>
      <c r="J2" s="113"/>
      <c r="K2" s="113"/>
      <c r="L2" s="113" t="s">
        <v>114</v>
      </c>
      <c r="M2" s="113"/>
      <c r="N2" s="113"/>
      <c r="O2" s="113" t="s">
        <v>11</v>
      </c>
      <c r="P2" s="113"/>
      <c r="Q2" s="113"/>
      <c r="R2" s="113" t="s">
        <v>47</v>
      </c>
      <c r="S2" s="113"/>
      <c r="T2" s="113"/>
      <c r="U2" s="1"/>
      <c r="V2" s="1"/>
      <c r="W2" s="1"/>
    </row>
    <row r="3" spans="1:23" s="2" customFormat="1" ht="15.4" customHeight="1" x14ac:dyDescent="0.6">
      <c r="A3" s="4" t="s">
        <v>210</v>
      </c>
      <c r="B3" s="4" t="s">
        <v>230</v>
      </c>
      <c r="C3" s="4" t="s">
        <v>231</v>
      </c>
      <c r="D3" s="1"/>
      <c r="E3" s="4" t="s">
        <v>210</v>
      </c>
      <c r="F3" s="4" t="s">
        <v>211</v>
      </c>
      <c r="G3" s="4" t="s">
        <v>212</v>
      </c>
      <c r="H3" s="4" t="s">
        <v>213</v>
      </c>
      <c r="I3" s="4" t="s">
        <v>211</v>
      </c>
      <c r="J3" s="4" t="s">
        <v>212</v>
      </c>
      <c r="K3" s="4" t="s">
        <v>213</v>
      </c>
      <c r="L3" s="4" t="s">
        <v>211</v>
      </c>
      <c r="M3" s="4" t="s">
        <v>212</v>
      </c>
      <c r="N3" s="4" t="s">
        <v>213</v>
      </c>
      <c r="O3" s="4" t="s">
        <v>211</v>
      </c>
      <c r="P3" s="4" t="s">
        <v>212</v>
      </c>
      <c r="Q3" s="4" t="s">
        <v>213</v>
      </c>
      <c r="R3" s="4" t="s">
        <v>211</v>
      </c>
      <c r="S3" s="4" t="s">
        <v>212</v>
      </c>
      <c r="T3" s="4" t="s">
        <v>213</v>
      </c>
      <c r="U3" s="1"/>
      <c r="V3" s="1"/>
      <c r="W3" s="1"/>
    </row>
    <row r="4" spans="1:23" s="2" customFormat="1" ht="15.4" customHeight="1" x14ac:dyDescent="0.6">
      <c r="A4" s="12" t="s">
        <v>211</v>
      </c>
      <c r="B4" s="12">
        <v>0</v>
      </c>
      <c r="C4" s="12">
        <v>5</v>
      </c>
      <c r="D4" s="1"/>
      <c r="E4" s="4" t="s">
        <v>214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"/>
      <c r="V4" s="1"/>
      <c r="W4" s="1"/>
    </row>
    <row r="5" spans="1:23" s="2" customFormat="1" ht="15.4" customHeight="1" x14ac:dyDescent="0.6">
      <c r="A5" s="12" t="s">
        <v>212</v>
      </c>
      <c r="B5" s="12">
        <v>5</v>
      </c>
      <c r="C5" s="12">
        <v>50</v>
      </c>
      <c r="D5" s="1"/>
      <c r="E5" s="4" t="s">
        <v>215</v>
      </c>
      <c r="F5" s="13">
        <v>1</v>
      </c>
      <c r="G5" s="13">
        <v>2</v>
      </c>
      <c r="H5" s="13">
        <v>3</v>
      </c>
      <c r="I5" s="13">
        <v>1</v>
      </c>
      <c r="J5" s="13">
        <v>2</v>
      </c>
      <c r="K5" s="13">
        <v>3</v>
      </c>
      <c r="L5" s="13">
        <v>2</v>
      </c>
      <c r="M5" s="13">
        <v>2</v>
      </c>
      <c r="N5" s="13">
        <v>3</v>
      </c>
      <c r="O5" s="13">
        <v>1</v>
      </c>
      <c r="P5" s="13">
        <v>2</v>
      </c>
      <c r="Q5" s="13">
        <v>3</v>
      </c>
      <c r="R5" s="13">
        <v>1</v>
      </c>
      <c r="S5" s="13">
        <v>2</v>
      </c>
      <c r="T5" s="13">
        <v>3</v>
      </c>
      <c r="U5" s="1"/>
      <c r="V5" s="1"/>
      <c r="W5" s="1"/>
    </row>
    <row r="6" spans="1:23" s="2" customFormat="1" ht="15.4" customHeight="1" x14ac:dyDescent="0.6">
      <c r="A6" s="12" t="s">
        <v>213</v>
      </c>
      <c r="B6" s="12">
        <v>50</v>
      </c>
      <c r="C6" s="12"/>
      <c r="D6" s="1"/>
      <c r="E6" s="4" t="s">
        <v>216</v>
      </c>
      <c r="F6" s="13">
        <v>1</v>
      </c>
      <c r="G6" s="13">
        <v>2</v>
      </c>
      <c r="H6" s="13">
        <v>3</v>
      </c>
      <c r="I6" s="13">
        <v>1</v>
      </c>
      <c r="J6" s="13">
        <v>2</v>
      </c>
      <c r="K6" s="13">
        <v>3</v>
      </c>
      <c r="L6" s="13">
        <v>2</v>
      </c>
      <c r="M6" s="13">
        <v>2</v>
      </c>
      <c r="N6" s="13">
        <v>3</v>
      </c>
      <c r="O6" s="13">
        <v>1</v>
      </c>
      <c r="P6" s="13">
        <v>2</v>
      </c>
      <c r="Q6" s="13">
        <v>3</v>
      </c>
      <c r="R6" s="13">
        <v>1</v>
      </c>
      <c r="S6" s="13">
        <v>2</v>
      </c>
      <c r="T6" s="13">
        <v>3</v>
      </c>
      <c r="U6" s="1"/>
      <c r="V6" s="1"/>
      <c r="W6" s="1"/>
    </row>
    <row r="7" spans="1:23" s="2" customFormat="1" ht="15.4" customHeight="1" x14ac:dyDescent="0.6">
      <c r="A7" s="1"/>
      <c r="B7" s="1"/>
      <c r="C7" s="1"/>
      <c r="D7" s="1"/>
      <c r="E7" s="4" t="s">
        <v>217</v>
      </c>
      <c r="F7" s="13">
        <v>1</v>
      </c>
      <c r="G7" s="13">
        <v>2</v>
      </c>
      <c r="H7" s="13">
        <v>3</v>
      </c>
      <c r="I7" s="13">
        <v>1</v>
      </c>
      <c r="J7" s="13">
        <v>2</v>
      </c>
      <c r="K7" s="13">
        <v>3</v>
      </c>
      <c r="L7" s="13">
        <v>2</v>
      </c>
      <c r="M7" s="13">
        <v>2</v>
      </c>
      <c r="N7" s="13">
        <v>3</v>
      </c>
      <c r="O7" s="13">
        <v>1</v>
      </c>
      <c r="P7" s="13">
        <v>2</v>
      </c>
      <c r="Q7" s="13">
        <v>3</v>
      </c>
      <c r="R7" s="13">
        <v>1</v>
      </c>
      <c r="S7" s="13">
        <v>2</v>
      </c>
      <c r="T7" s="13">
        <v>3</v>
      </c>
      <c r="U7" s="1"/>
      <c r="V7" s="1"/>
      <c r="W7" s="1"/>
    </row>
    <row r="8" spans="1:23" s="2" customFormat="1" ht="15.4" customHeight="1" x14ac:dyDescent="0.6">
      <c r="A8" s="1"/>
      <c r="B8" s="1"/>
      <c r="C8" s="1"/>
      <c r="D8" s="1"/>
      <c r="E8" s="4" t="s">
        <v>218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"/>
      <c r="V8" s="1"/>
      <c r="W8" s="1"/>
    </row>
    <row r="9" spans="1:23" s="2" customFormat="1" ht="15.4" customHeight="1" x14ac:dyDescent="0.6">
      <c r="A9" s="1"/>
      <c r="B9" s="1"/>
      <c r="C9" s="1"/>
      <c r="D9" s="1"/>
      <c r="E9" s="4" t="s">
        <v>219</v>
      </c>
      <c r="F9" s="13">
        <v>1</v>
      </c>
      <c r="G9" s="13">
        <v>1</v>
      </c>
      <c r="H9" s="13">
        <v>2</v>
      </c>
      <c r="I9" s="13">
        <v>1</v>
      </c>
      <c r="J9" s="13">
        <v>1</v>
      </c>
      <c r="K9" s="13">
        <v>2</v>
      </c>
      <c r="L9" s="13">
        <v>2</v>
      </c>
      <c r="M9" s="13">
        <v>2</v>
      </c>
      <c r="N9" s="13">
        <v>2</v>
      </c>
      <c r="O9" s="13">
        <v>1</v>
      </c>
      <c r="P9" s="13">
        <v>1</v>
      </c>
      <c r="Q9" s="13">
        <v>2</v>
      </c>
      <c r="R9" s="13" t="s">
        <v>113</v>
      </c>
      <c r="S9" s="13" t="s">
        <v>113</v>
      </c>
      <c r="T9" s="13" t="s">
        <v>113</v>
      </c>
      <c r="U9" s="1"/>
      <c r="V9" s="1"/>
      <c r="W9" s="1"/>
    </row>
    <row r="10" spans="1:23" s="2" customFormat="1" ht="15.4" customHeight="1" x14ac:dyDescent="0.6">
      <c r="A10" s="1"/>
      <c r="B10" s="1"/>
      <c r="C10" s="1"/>
      <c r="D10" s="1"/>
      <c r="E10" s="4" t="s">
        <v>220</v>
      </c>
      <c r="F10" s="13">
        <v>1</v>
      </c>
      <c r="G10" s="13">
        <v>1</v>
      </c>
      <c r="H10" s="13">
        <v>2</v>
      </c>
      <c r="I10" s="13">
        <v>1</v>
      </c>
      <c r="J10" s="13">
        <v>1</v>
      </c>
      <c r="K10" s="13">
        <v>2</v>
      </c>
      <c r="L10" s="13">
        <v>2</v>
      </c>
      <c r="M10" s="13">
        <v>2</v>
      </c>
      <c r="N10" s="13">
        <v>2</v>
      </c>
      <c r="O10" s="13">
        <v>1</v>
      </c>
      <c r="P10" s="13">
        <v>1</v>
      </c>
      <c r="Q10" s="13">
        <v>2</v>
      </c>
      <c r="R10" s="13" t="s">
        <v>113</v>
      </c>
      <c r="S10" s="13" t="s">
        <v>113</v>
      </c>
      <c r="T10" s="13" t="s">
        <v>113</v>
      </c>
      <c r="U10" s="1"/>
      <c r="V10" s="1"/>
      <c r="W10" s="1"/>
    </row>
    <row r="11" spans="1:23" s="2" customFormat="1" ht="15.4" customHeight="1" x14ac:dyDescent="0.6">
      <c r="A11" s="1"/>
      <c r="B11" s="1"/>
      <c r="C11" s="1"/>
      <c r="D11" s="1"/>
      <c r="E11" s="4" t="s">
        <v>221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2</v>
      </c>
      <c r="M11" s="13">
        <v>2</v>
      </c>
      <c r="N11" s="13">
        <v>2</v>
      </c>
      <c r="O11" s="13">
        <v>1</v>
      </c>
      <c r="P11" s="13">
        <v>1</v>
      </c>
      <c r="Q11" s="13">
        <v>1</v>
      </c>
      <c r="R11" s="13" t="s">
        <v>113</v>
      </c>
      <c r="S11" s="13" t="s">
        <v>113</v>
      </c>
      <c r="T11" s="13" t="s">
        <v>113</v>
      </c>
      <c r="U11" s="1"/>
      <c r="V11" s="1"/>
      <c r="W11" s="1"/>
    </row>
    <row r="12" spans="1:23" s="2" customFormat="1" ht="15.4" customHeight="1" x14ac:dyDescent="0.6">
      <c r="A12" s="1"/>
      <c r="B12" s="1"/>
      <c r="C12" s="1"/>
      <c r="D12" s="1"/>
      <c r="E12" s="4" t="s">
        <v>222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2</v>
      </c>
      <c r="M12" s="13">
        <v>2</v>
      </c>
      <c r="N12" s="13">
        <v>2</v>
      </c>
      <c r="O12" s="13">
        <v>1</v>
      </c>
      <c r="P12" s="13">
        <v>1</v>
      </c>
      <c r="Q12" s="13">
        <v>1</v>
      </c>
      <c r="R12" s="13" t="s">
        <v>113</v>
      </c>
      <c r="S12" s="13" t="s">
        <v>113</v>
      </c>
      <c r="T12" s="13" t="s">
        <v>113</v>
      </c>
      <c r="U12" s="1"/>
      <c r="V12" s="1"/>
      <c r="W12" s="1"/>
    </row>
    <row r="13" spans="1:23" s="2" customFormat="1" ht="15.4" customHeight="1" x14ac:dyDescent="0.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s="2" customFormat="1" ht="15.4" customHeight="1" x14ac:dyDescent="0.6">
      <c r="A14" s="1"/>
      <c r="B14" s="1"/>
      <c r="C14" s="1"/>
      <c r="D14" s="1"/>
      <c r="E14" s="4" t="s">
        <v>207</v>
      </c>
      <c r="F14" s="113" t="s">
        <v>208</v>
      </c>
      <c r="G14" s="113"/>
      <c r="H14" s="113"/>
      <c r="I14" s="113" t="s">
        <v>223</v>
      </c>
      <c r="J14" s="113"/>
      <c r="K14" s="113"/>
      <c r="L14" s="113" t="s">
        <v>114</v>
      </c>
      <c r="M14" s="113"/>
      <c r="N14" s="113"/>
      <c r="O14" s="113" t="s">
        <v>224</v>
      </c>
      <c r="P14" s="113"/>
      <c r="Q14" s="113"/>
      <c r="R14" s="1"/>
      <c r="S14" s="1"/>
      <c r="T14" s="1"/>
      <c r="U14" s="1"/>
      <c r="V14" s="1"/>
      <c r="W14" s="1"/>
    </row>
    <row r="15" spans="1:23" s="2" customFormat="1" ht="15.4" customHeight="1" x14ac:dyDescent="0.6">
      <c r="A15" s="1"/>
      <c r="B15" s="1"/>
      <c r="C15" s="1"/>
      <c r="D15" s="1"/>
      <c r="E15" s="4" t="s">
        <v>210</v>
      </c>
      <c r="F15" s="4" t="s">
        <v>211</v>
      </c>
      <c r="G15" s="4" t="s">
        <v>212</v>
      </c>
      <c r="H15" s="4" t="s">
        <v>213</v>
      </c>
      <c r="I15" s="4" t="s">
        <v>211</v>
      </c>
      <c r="J15" s="4" t="s">
        <v>212</v>
      </c>
      <c r="K15" s="4" t="s">
        <v>213</v>
      </c>
      <c r="L15" s="4" t="s">
        <v>211</v>
      </c>
      <c r="M15" s="4" t="s">
        <v>212</v>
      </c>
      <c r="N15" s="4" t="s">
        <v>213</v>
      </c>
      <c r="O15" s="4" t="s">
        <v>211</v>
      </c>
      <c r="P15" s="4" t="s">
        <v>212</v>
      </c>
      <c r="Q15" s="4" t="s">
        <v>213</v>
      </c>
      <c r="R15" s="1"/>
      <c r="S15" s="1"/>
      <c r="T15" s="1"/>
      <c r="U15" s="1"/>
      <c r="V15" s="1"/>
      <c r="W15" s="1"/>
    </row>
    <row r="16" spans="1:23" s="2" customFormat="1" ht="15.4" customHeight="1" x14ac:dyDescent="0.6">
      <c r="A16" s="1"/>
      <c r="B16" s="1"/>
      <c r="C16" s="1"/>
      <c r="D16" s="1"/>
      <c r="E16" s="4" t="s">
        <v>225</v>
      </c>
      <c r="F16" s="13">
        <v>1</v>
      </c>
      <c r="G16" s="13">
        <v>1</v>
      </c>
      <c r="H16" s="13">
        <v>1</v>
      </c>
      <c r="I16" s="22">
        <v>2</v>
      </c>
      <c r="J16" s="22">
        <v>2</v>
      </c>
      <c r="K16" s="22">
        <v>2</v>
      </c>
      <c r="L16" s="13" t="s">
        <v>113</v>
      </c>
      <c r="M16" s="13" t="s">
        <v>113</v>
      </c>
      <c r="N16" s="13" t="s">
        <v>113</v>
      </c>
      <c r="O16" s="22">
        <v>2</v>
      </c>
      <c r="P16" s="22">
        <v>2</v>
      </c>
      <c r="Q16" s="22">
        <v>2</v>
      </c>
      <c r="R16" s="1"/>
      <c r="S16" s="1"/>
      <c r="T16" s="1"/>
      <c r="U16" s="1"/>
      <c r="V16" s="1"/>
      <c r="W16" s="1"/>
    </row>
    <row r="17" spans="1:23" s="2" customFormat="1" ht="15.4" customHeight="1" x14ac:dyDescent="0.6">
      <c r="A17" s="1"/>
      <c r="B17" s="1"/>
      <c r="C17" s="1"/>
      <c r="D17" s="1"/>
      <c r="E17" s="4" t="s">
        <v>226</v>
      </c>
      <c r="F17" s="13">
        <v>1</v>
      </c>
      <c r="G17" s="13">
        <v>1</v>
      </c>
      <c r="H17" s="13">
        <v>1</v>
      </c>
      <c r="I17" s="22">
        <v>2</v>
      </c>
      <c r="J17" s="22">
        <v>2</v>
      </c>
      <c r="K17" s="22">
        <v>2</v>
      </c>
      <c r="L17" s="13" t="s">
        <v>113</v>
      </c>
      <c r="M17" s="13" t="s">
        <v>113</v>
      </c>
      <c r="N17" s="13" t="s">
        <v>113</v>
      </c>
      <c r="O17" s="22">
        <v>3</v>
      </c>
      <c r="P17" s="22">
        <v>3</v>
      </c>
      <c r="Q17" s="22">
        <v>3</v>
      </c>
      <c r="R17" s="1"/>
      <c r="S17" s="1"/>
      <c r="T17" s="1"/>
      <c r="U17" s="1"/>
      <c r="V17" s="1"/>
      <c r="W17" s="1"/>
    </row>
    <row r="18" spans="1:23" s="1" customFormat="1" ht="13.15" x14ac:dyDescent="0.6"/>
    <row r="19" spans="1:23" s="1" customFormat="1" ht="13.15" x14ac:dyDescent="0.6">
      <c r="A19" s="1">
        <v>0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</row>
    <row r="20" spans="1:23" s="1" customFormat="1" ht="13.15" x14ac:dyDescent="0.6"/>
    <row r="21" spans="1:23" s="1" customFormat="1" ht="13.15" x14ac:dyDescent="0.6"/>
    <row r="22" spans="1:23" s="1" customFormat="1" ht="13.15" x14ac:dyDescent="0.6"/>
    <row r="23" spans="1:23" s="1" customFormat="1" ht="13.15" x14ac:dyDescent="0.6"/>
    <row r="24" spans="1:23" s="1" customFormat="1" ht="13.15" x14ac:dyDescent="0.6"/>
  </sheetData>
  <phoneticPr fontId="1" type="noConversion"/>
  <conditionalFormatting sqref="A4:C6">
    <cfRule type="expression" dxfId="10" priority="1">
      <formula>A4=A3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ECE0-C65D-40A4-A91B-64279AAA5847}">
  <dimension ref="A1:O24"/>
  <sheetViews>
    <sheetView tabSelected="1" workbookViewId="0">
      <selection activeCell="F19" sqref="F19"/>
    </sheetView>
  </sheetViews>
  <sheetFormatPr defaultRowHeight="16.899999999999999" x14ac:dyDescent="0.6"/>
  <cols>
    <col min="1" max="1" width="5.375" bestFit="1" customWidth="1"/>
    <col min="2" max="2" width="14.8125" bestFit="1" customWidth="1"/>
    <col min="3" max="3" width="20" bestFit="1" customWidth="1"/>
    <col min="4" max="4" width="4.625" bestFit="1" customWidth="1"/>
    <col min="5" max="5" width="11.625" bestFit="1" customWidth="1"/>
    <col min="6" max="6" width="12.8125" bestFit="1" customWidth="1"/>
    <col min="7" max="7" width="18.1875" bestFit="1" customWidth="1"/>
    <col min="8" max="9" width="9" style="9"/>
    <col min="10" max="10" width="14.8125" style="9" bestFit="1" customWidth="1"/>
    <col min="11" max="15" width="9" style="9"/>
  </cols>
  <sheetData>
    <row r="1" spans="1:13" x14ac:dyDescent="0.6">
      <c r="A1" s="4"/>
      <c r="B1" s="4" t="s">
        <v>6</v>
      </c>
      <c r="C1" s="9" t="s">
        <v>7</v>
      </c>
      <c r="D1" s="10"/>
      <c r="E1" s="4"/>
      <c r="F1" s="4" t="s">
        <v>6</v>
      </c>
      <c r="G1" s="9" t="s">
        <v>7</v>
      </c>
      <c r="I1" s="4"/>
      <c r="J1" s="4" t="s">
        <v>41</v>
      </c>
      <c r="K1" s="4" t="s">
        <v>42</v>
      </c>
      <c r="L1" s="4" t="s">
        <v>43</v>
      </c>
      <c r="M1" s="4" t="s">
        <v>44</v>
      </c>
    </row>
    <row r="2" spans="1:13" x14ac:dyDescent="0.6">
      <c r="A2" s="17" t="s">
        <v>11</v>
      </c>
      <c r="B2" s="13" t="s">
        <v>12</v>
      </c>
      <c r="C2" s="9" t="s">
        <v>13</v>
      </c>
      <c r="D2" s="9"/>
      <c r="E2" s="17" t="s">
        <v>34</v>
      </c>
      <c r="F2" s="13" t="s">
        <v>12</v>
      </c>
      <c r="G2" s="9" t="s">
        <v>13</v>
      </c>
      <c r="I2" s="17" t="s">
        <v>47</v>
      </c>
      <c r="J2" s="13" t="s">
        <v>48</v>
      </c>
      <c r="K2" s="13"/>
      <c r="L2" s="13"/>
      <c r="M2" s="13"/>
    </row>
    <row r="3" spans="1:13" x14ac:dyDescent="0.6">
      <c r="A3" s="21" t="s">
        <v>11</v>
      </c>
      <c r="B3" s="13" t="s">
        <v>20</v>
      </c>
      <c r="C3" s="9" t="s">
        <v>21</v>
      </c>
      <c r="D3" s="9"/>
      <c r="E3" s="17" t="s">
        <v>34</v>
      </c>
      <c r="F3" s="13" t="s">
        <v>20</v>
      </c>
      <c r="G3" s="9" t="s">
        <v>21</v>
      </c>
      <c r="I3" s="17" t="s">
        <v>47</v>
      </c>
      <c r="J3" s="13" t="s">
        <v>51</v>
      </c>
      <c r="K3" s="13">
        <v>1</v>
      </c>
      <c r="L3" s="13">
        <f>IF([1]Main!$G$3="1A1. 에너지 산업", 0.99, 0.98)</f>
        <v>0.98</v>
      </c>
      <c r="M3" s="13"/>
    </row>
    <row r="4" spans="1:13" x14ac:dyDescent="0.6">
      <c r="A4" s="9"/>
      <c r="B4" s="9"/>
      <c r="C4" s="9"/>
      <c r="D4" s="9"/>
      <c r="E4" s="9"/>
      <c r="F4" s="9"/>
      <c r="G4" s="9"/>
      <c r="I4" s="17" t="s">
        <v>47</v>
      </c>
      <c r="J4" s="13" t="s">
        <v>54</v>
      </c>
      <c r="K4" s="13">
        <v>1</v>
      </c>
      <c r="L4" s="13">
        <v>0.99</v>
      </c>
      <c r="M4" s="13">
        <v>0.99</v>
      </c>
    </row>
    <row r="5" spans="1:13" x14ac:dyDescent="0.6">
      <c r="A5" s="9"/>
      <c r="B5" s="9"/>
      <c r="C5" s="9"/>
      <c r="D5" s="9"/>
      <c r="E5" s="9"/>
      <c r="F5" s="9"/>
      <c r="G5" s="9"/>
      <c r="I5" s="17" t="s">
        <v>47</v>
      </c>
      <c r="J5" s="13" t="s">
        <v>57</v>
      </c>
      <c r="K5" s="13">
        <v>1</v>
      </c>
      <c r="L5" s="13">
        <v>0.995</v>
      </c>
      <c r="M5" s="13">
        <v>0.995</v>
      </c>
    </row>
    <row r="6" spans="1:13" x14ac:dyDescent="0.6">
      <c r="A6" s="9"/>
      <c r="B6" s="9"/>
      <c r="C6" s="9"/>
      <c r="D6" s="9"/>
      <c r="E6" s="9"/>
      <c r="F6" s="9"/>
      <c r="G6" s="9"/>
    </row>
    <row r="7" spans="1:13" x14ac:dyDescent="0.6">
      <c r="A7" s="4"/>
      <c r="B7" s="4" t="s">
        <v>62</v>
      </c>
      <c r="C7" s="9" t="s">
        <v>7</v>
      </c>
      <c r="D7" s="9"/>
      <c r="E7" s="4" t="s">
        <v>63</v>
      </c>
      <c r="F7" s="4" t="s">
        <v>62</v>
      </c>
      <c r="G7" s="9" t="s">
        <v>7</v>
      </c>
      <c r="I7" s="4"/>
      <c r="J7" s="4" t="s">
        <v>80</v>
      </c>
    </row>
    <row r="8" spans="1:13" x14ac:dyDescent="0.6">
      <c r="A8" s="17" t="s">
        <v>66</v>
      </c>
      <c r="B8" s="13" t="s">
        <v>42</v>
      </c>
      <c r="C8" s="9" t="s">
        <v>67</v>
      </c>
      <c r="D8" s="9"/>
      <c r="E8" s="17" t="s">
        <v>66</v>
      </c>
      <c r="F8" s="13" t="s">
        <v>43</v>
      </c>
      <c r="G8" s="9" t="s">
        <v>68</v>
      </c>
      <c r="I8" s="17" t="s">
        <v>83</v>
      </c>
      <c r="J8" s="13">
        <v>1</v>
      </c>
    </row>
    <row r="9" spans="1:13" x14ac:dyDescent="0.6">
      <c r="A9" s="17" t="s">
        <v>66</v>
      </c>
      <c r="B9" s="13" t="s">
        <v>43</v>
      </c>
      <c r="C9" s="9" t="s">
        <v>71</v>
      </c>
      <c r="D9" s="9"/>
      <c r="E9" s="17" t="s">
        <v>66</v>
      </c>
      <c r="F9" s="13" t="s">
        <v>44</v>
      </c>
      <c r="G9" s="9" t="s">
        <v>72</v>
      </c>
      <c r="I9" s="17" t="s">
        <v>86</v>
      </c>
      <c r="J9" s="13">
        <v>21</v>
      </c>
    </row>
    <row r="10" spans="1:13" x14ac:dyDescent="0.6">
      <c r="A10" s="17" t="s">
        <v>66</v>
      </c>
      <c r="B10" s="13" t="s">
        <v>44</v>
      </c>
      <c r="C10" s="9" t="s">
        <v>75</v>
      </c>
      <c r="D10" s="9"/>
      <c r="E10" s="17" t="s">
        <v>66</v>
      </c>
      <c r="F10" s="13" t="s">
        <v>76</v>
      </c>
      <c r="G10" s="9" t="s">
        <v>77</v>
      </c>
      <c r="I10" s="17" t="s">
        <v>89</v>
      </c>
      <c r="J10" s="13">
        <v>310</v>
      </c>
    </row>
    <row r="11" spans="1:13" s="9" customFormat="1" ht="10.15" x14ac:dyDescent="0.6"/>
    <row r="12" spans="1:13" s="9" customFormat="1" ht="10.15" x14ac:dyDescent="0.6"/>
    <row r="13" spans="1:13" s="9" customFormat="1" ht="10.15" x14ac:dyDescent="0.6"/>
    <row r="14" spans="1:13" s="9" customFormat="1" ht="10.15" x14ac:dyDescent="0.6"/>
    <row r="15" spans="1:13" s="9" customFormat="1" ht="10.15" x14ac:dyDescent="0.6"/>
    <row r="16" spans="1:13" s="9" customFormat="1" ht="10.15" x14ac:dyDescent="0.6"/>
    <row r="17" s="9" customFormat="1" ht="10.15" x14ac:dyDescent="0.6"/>
    <row r="18" s="9" customFormat="1" ht="10.15" x14ac:dyDescent="0.6"/>
    <row r="19" s="9" customFormat="1" ht="10.15" x14ac:dyDescent="0.6"/>
    <row r="20" s="9" customFormat="1" ht="10.15" x14ac:dyDescent="0.6"/>
    <row r="21" s="9" customFormat="1" ht="10.15" x14ac:dyDescent="0.6"/>
    <row r="22" s="9" customFormat="1" ht="10.15" x14ac:dyDescent="0.6"/>
    <row r="23" s="9" customFormat="1" ht="10.15" x14ac:dyDescent="0.6"/>
    <row r="24" s="9" customFormat="1" ht="10.15" x14ac:dyDescent="0.6"/>
  </sheetData>
  <phoneticPr fontId="1" type="noConversion"/>
  <conditionalFormatting sqref="A2:A3 E2:E3 I2:I4 A8:A10 E8:E10 I8:I10">
    <cfRule type="expression" dxfId="9" priority="1">
      <formula>A2=A1</formula>
    </cfRule>
  </conditionalFormatting>
  <conditionalFormatting sqref="I5">
    <cfRule type="expression" dxfId="8" priority="2">
      <formula>I5=I3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7E48-2558-4E8B-8CD7-C5E89CD362A1}">
  <dimension ref="A1:W72"/>
  <sheetViews>
    <sheetView topLeftCell="A70" workbookViewId="0">
      <selection activeCell="A73" sqref="A73"/>
    </sheetView>
  </sheetViews>
  <sheetFormatPr defaultRowHeight="16.899999999999999" x14ac:dyDescent="0.6"/>
  <sheetData>
    <row r="1" spans="1:23" s="2" customFormat="1" ht="15.4" customHeight="1" thickBot="1" x14ac:dyDescent="0.65">
      <c r="A1" s="3" t="s">
        <v>229</v>
      </c>
      <c r="B1" s="1"/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1">
        <v>12</v>
      </c>
      <c r="N1" s="31">
        <v>13</v>
      </c>
      <c r="O1" s="31">
        <v>14</v>
      </c>
      <c r="P1" s="31">
        <v>15</v>
      </c>
      <c r="Q1" s="31">
        <v>16</v>
      </c>
      <c r="R1" s="31">
        <v>17</v>
      </c>
      <c r="S1" s="31">
        <v>18</v>
      </c>
      <c r="T1" s="31">
        <v>19</v>
      </c>
      <c r="U1" s="31">
        <v>20</v>
      </c>
      <c r="V1" s="1"/>
      <c r="W1" s="1"/>
    </row>
    <row r="2" spans="1:23" s="2" customFormat="1" ht="15.4" customHeight="1" thickBot="1" x14ac:dyDescent="0.65">
      <c r="A2" s="9"/>
      <c r="B2" s="9"/>
      <c r="C2" s="32" t="s">
        <v>98</v>
      </c>
      <c r="D2" s="33" t="s">
        <v>99</v>
      </c>
      <c r="E2" s="34"/>
      <c r="F2" s="34"/>
      <c r="G2" s="35"/>
      <c r="H2" s="36" t="s">
        <v>100</v>
      </c>
      <c r="I2" s="33" t="s">
        <v>101</v>
      </c>
      <c r="J2" s="33"/>
      <c r="K2" s="33"/>
      <c r="L2" s="37"/>
      <c r="M2" s="38"/>
      <c r="N2" s="39" t="s">
        <v>102</v>
      </c>
      <c r="O2" s="40" t="s">
        <v>99</v>
      </c>
      <c r="P2" s="40" t="s">
        <v>103</v>
      </c>
      <c r="Q2" s="40" t="s">
        <v>104</v>
      </c>
      <c r="R2" s="41"/>
      <c r="S2" s="42" t="s">
        <v>105</v>
      </c>
      <c r="T2" s="43" t="s">
        <v>106</v>
      </c>
      <c r="U2" s="44" t="s">
        <v>107</v>
      </c>
      <c r="V2" s="1"/>
      <c r="W2" s="1"/>
    </row>
    <row r="3" spans="1:23" s="18" customFormat="1" ht="15.4" customHeight="1" x14ac:dyDescent="0.6">
      <c r="A3" s="45" t="s">
        <v>108</v>
      </c>
      <c r="B3" s="46" t="s">
        <v>109</v>
      </c>
      <c r="C3" s="47" t="s">
        <v>110</v>
      </c>
      <c r="D3" s="48" t="s">
        <v>83</v>
      </c>
      <c r="E3" s="48" t="s">
        <v>86</v>
      </c>
      <c r="F3" s="48" t="s">
        <v>89</v>
      </c>
      <c r="G3" s="49" t="s">
        <v>111</v>
      </c>
      <c r="H3" s="47" t="s">
        <v>112</v>
      </c>
      <c r="I3" s="48" t="s">
        <v>110</v>
      </c>
      <c r="J3" s="48" t="s">
        <v>83</v>
      </c>
      <c r="K3" s="48" t="s">
        <v>86</v>
      </c>
      <c r="L3" s="48" t="s">
        <v>89</v>
      </c>
      <c r="M3" s="49" t="s">
        <v>111</v>
      </c>
      <c r="N3" s="50" t="s">
        <v>113</v>
      </c>
      <c r="O3" s="48" t="s">
        <v>114</v>
      </c>
      <c r="P3" s="48" t="s">
        <v>115</v>
      </c>
      <c r="Q3" s="48" t="s">
        <v>114</v>
      </c>
      <c r="R3" s="49" t="s">
        <v>111</v>
      </c>
      <c r="S3" s="51" t="s">
        <v>116</v>
      </c>
      <c r="T3" s="48" t="s">
        <v>117</v>
      </c>
      <c r="U3" s="52" t="s">
        <v>116</v>
      </c>
      <c r="V3" s="9"/>
      <c r="W3" s="9"/>
    </row>
    <row r="4" spans="1:23" s="64" customFormat="1" ht="15.4" customHeight="1" x14ac:dyDescent="0.6">
      <c r="A4" s="21" t="s">
        <v>118</v>
      </c>
      <c r="B4" s="53" t="s">
        <v>119</v>
      </c>
      <c r="C4" s="54">
        <v>20</v>
      </c>
      <c r="D4" s="55">
        <f t="shared" ref="D4:D13" si="0">$C4*44*1000/12</f>
        <v>73333.333333333328</v>
      </c>
      <c r="E4" s="56">
        <v>3</v>
      </c>
      <c r="F4" s="56">
        <v>0.6</v>
      </c>
      <c r="G4" s="57" t="s">
        <v>120</v>
      </c>
      <c r="H4" s="58" t="s">
        <v>121</v>
      </c>
      <c r="I4" s="56" t="s">
        <v>113</v>
      </c>
      <c r="J4" s="56" t="s">
        <v>113</v>
      </c>
      <c r="K4" s="56">
        <v>10</v>
      </c>
      <c r="L4" s="56">
        <v>0.6</v>
      </c>
      <c r="M4" s="57" t="s">
        <v>120</v>
      </c>
      <c r="N4" s="54"/>
      <c r="O4" s="59">
        <v>42.3</v>
      </c>
      <c r="P4" s="54">
        <f>IF([1]Main!$G$7="국가고유(17년)",45,IF([1]Main!$G$7="국가고유(22년)",45.7))</f>
        <v>45</v>
      </c>
      <c r="Q4" s="56">
        <f>IF([1]Main!$G$7="국가고유(17년)",42.2,IF([1]Main!$G$7="국가고유(22년)",42.8))</f>
        <v>42.2</v>
      </c>
      <c r="R4" s="59" t="s">
        <v>122</v>
      </c>
      <c r="S4" s="60">
        <v>1</v>
      </c>
      <c r="T4" s="61" t="s">
        <v>54</v>
      </c>
      <c r="U4" s="62">
        <f>VLOOKUP($T4,매개변수기준!$J$1:$L$5,3)</f>
        <v>0.99</v>
      </c>
      <c r="V4" s="63"/>
      <c r="W4" s="63"/>
    </row>
    <row r="5" spans="1:23" s="64" customFormat="1" ht="15.4" customHeight="1" x14ac:dyDescent="0.6">
      <c r="A5" s="21" t="s">
        <v>118</v>
      </c>
      <c r="B5" s="53" t="s">
        <v>123</v>
      </c>
      <c r="C5" s="65">
        <v>21</v>
      </c>
      <c r="D5" s="66">
        <f t="shared" si="0"/>
        <v>77000</v>
      </c>
      <c r="E5" s="67">
        <v>3</v>
      </c>
      <c r="F5" s="67">
        <v>0.6</v>
      </c>
      <c r="G5" s="68" t="s">
        <v>120</v>
      </c>
      <c r="H5" s="69" t="s">
        <v>121</v>
      </c>
      <c r="I5" s="67" t="s">
        <v>113</v>
      </c>
      <c r="J5" s="67" t="s">
        <v>113</v>
      </c>
      <c r="K5" s="67">
        <v>10</v>
      </c>
      <c r="L5" s="67">
        <v>0.6</v>
      </c>
      <c r="M5" s="68" t="s">
        <v>120</v>
      </c>
      <c r="N5" s="65"/>
      <c r="O5" s="70">
        <v>27.5</v>
      </c>
      <c r="P5" s="56" t="s">
        <v>113</v>
      </c>
      <c r="Q5" s="56" t="s">
        <v>113</v>
      </c>
      <c r="R5" s="70"/>
      <c r="S5" s="71">
        <v>1</v>
      </c>
      <c r="T5" s="72" t="s">
        <v>54</v>
      </c>
      <c r="U5" s="73">
        <f>VLOOKUP($T5,매개변수기준!$J$1:$L$5,3)</f>
        <v>0.99</v>
      </c>
      <c r="V5" s="63"/>
      <c r="W5" s="63"/>
    </row>
    <row r="6" spans="1:23" s="64" customFormat="1" ht="15.4" customHeight="1" x14ac:dyDescent="0.6">
      <c r="A6" s="21" t="s">
        <v>118</v>
      </c>
      <c r="B6" s="53" t="s">
        <v>124</v>
      </c>
      <c r="C6" s="65">
        <v>17.5</v>
      </c>
      <c r="D6" s="66">
        <f t="shared" si="0"/>
        <v>64166.666666666664</v>
      </c>
      <c r="E6" s="67">
        <v>3</v>
      </c>
      <c r="F6" s="67">
        <v>0.6</v>
      </c>
      <c r="G6" s="68" t="s">
        <v>120</v>
      </c>
      <c r="H6" s="69" t="s">
        <v>125</v>
      </c>
      <c r="I6" s="67" t="s">
        <v>113</v>
      </c>
      <c r="J6" s="67" t="s">
        <v>113</v>
      </c>
      <c r="K6" s="67">
        <v>5</v>
      </c>
      <c r="L6" s="67">
        <v>0.1</v>
      </c>
      <c r="M6" s="68" t="s">
        <v>120</v>
      </c>
      <c r="N6" s="65"/>
      <c r="O6" s="70">
        <v>44.2</v>
      </c>
      <c r="P6" s="56" t="s">
        <v>113</v>
      </c>
      <c r="Q6" s="56" t="s">
        <v>113</v>
      </c>
      <c r="R6" s="70"/>
      <c r="S6" s="71">
        <v>1</v>
      </c>
      <c r="T6" s="72" t="s">
        <v>54</v>
      </c>
      <c r="U6" s="73">
        <f>VLOOKUP($T6,매개변수기준!$J$1:$L$5,3)</f>
        <v>0.99</v>
      </c>
      <c r="V6" s="63"/>
      <c r="W6" s="63"/>
    </row>
    <row r="7" spans="1:23" s="64" customFormat="1" ht="15.4" customHeight="1" x14ac:dyDescent="0.6">
      <c r="A7" s="21" t="s">
        <v>118</v>
      </c>
      <c r="B7" s="53" t="s">
        <v>126</v>
      </c>
      <c r="C7" s="65">
        <v>18.899999999999999</v>
      </c>
      <c r="D7" s="66">
        <f t="shared" si="0"/>
        <v>69299.999999999985</v>
      </c>
      <c r="E7" s="67">
        <v>3</v>
      </c>
      <c r="F7" s="67">
        <v>0.6</v>
      </c>
      <c r="G7" s="68" t="s">
        <v>120</v>
      </c>
      <c r="H7" s="69" t="s">
        <v>121</v>
      </c>
      <c r="I7" s="67">
        <f>IF([1]Main!$F$7="국가고유(17년)",19.548,IF([1]Main!$F$7="국가고유(22년)",19.731))</f>
        <v>19.547999999999998</v>
      </c>
      <c r="J7" s="67">
        <f>$I7*44*1000/12</f>
        <v>71676</v>
      </c>
      <c r="K7" s="67">
        <v>10</v>
      </c>
      <c r="L7" s="67">
        <v>0.6</v>
      </c>
      <c r="M7" s="68" t="s">
        <v>120</v>
      </c>
      <c r="N7" s="65"/>
      <c r="O7" s="70">
        <v>44.3</v>
      </c>
      <c r="P7" s="65">
        <f>IF([1]Main!$G$7="국가고유(17년)",32.7,IF([1]Main!$G$7="국가고유(22년)",32.4))</f>
        <v>32.700000000000003</v>
      </c>
      <c r="Q7" s="67">
        <f>IF([1]Main!$G$7="국가고유(17년)",30.4,IF([1]Main!$G$7="국가고유(22년)",30.1))</f>
        <v>30.4</v>
      </c>
      <c r="R7" s="70" t="s">
        <v>127</v>
      </c>
      <c r="S7" s="71">
        <v>1</v>
      </c>
      <c r="T7" s="72" t="s">
        <v>54</v>
      </c>
      <c r="U7" s="73">
        <f>VLOOKUP($T7,매개변수기준!$J$1:$L$5,3)</f>
        <v>0.99</v>
      </c>
      <c r="V7" s="63"/>
      <c r="W7" s="63"/>
    </row>
    <row r="8" spans="1:23" s="64" customFormat="1" ht="15.4" customHeight="1" x14ac:dyDescent="0.6">
      <c r="A8" s="21" t="s">
        <v>118</v>
      </c>
      <c r="B8" s="53" t="s">
        <v>128</v>
      </c>
      <c r="C8" s="65">
        <v>19.100000000000001</v>
      </c>
      <c r="D8" s="66">
        <f t="shared" si="0"/>
        <v>70033.333333333343</v>
      </c>
      <c r="E8" s="67">
        <v>3</v>
      </c>
      <c r="F8" s="67">
        <v>0.6</v>
      </c>
      <c r="G8" s="68" t="s">
        <v>120</v>
      </c>
      <c r="H8" s="69" t="s">
        <v>121</v>
      </c>
      <c r="I8" s="67" t="s">
        <v>113</v>
      </c>
      <c r="J8" s="67" t="s">
        <v>113</v>
      </c>
      <c r="K8" s="67">
        <v>10</v>
      </c>
      <c r="L8" s="67">
        <v>0.6</v>
      </c>
      <c r="M8" s="68" t="s">
        <v>120</v>
      </c>
      <c r="N8" s="65"/>
      <c r="O8" s="70">
        <v>44.3</v>
      </c>
      <c r="P8" s="56" t="s">
        <v>113</v>
      </c>
      <c r="Q8" s="56" t="s">
        <v>113</v>
      </c>
      <c r="R8" s="70"/>
      <c r="S8" s="71">
        <v>1</v>
      </c>
      <c r="T8" s="72" t="s">
        <v>54</v>
      </c>
      <c r="U8" s="73">
        <f>VLOOKUP($T8,매개변수기준!$J$1:$L$5,3)</f>
        <v>0.99</v>
      </c>
      <c r="V8" s="63"/>
      <c r="W8" s="63"/>
    </row>
    <row r="9" spans="1:23" s="64" customFormat="1" ht="15.4" customHeight="1" x14ac:dyDescent="0.6">
      <c r="A9" s="21" t="s">
        <v>118</v>
      </c>
      <c r="B9" s="53" t="s">
        <v>129</v>
      </c>
      <c r="C9" s="65">
        <v>19.100000000000001</v>
      </c>
      <c r="D9" s="66">
        <f t="shared" si="0"/>
        <v>70033.333333333343</v>
      </c>
      <c r="E9" s="67">
        <v>3</v>
      </c>
      <c r="F9" s="67">
        <v>0.6</v>
      </c>
      <c r="G9" s="68" t="s">
        <v>120</v>
      </c>
      <c r="H9" s="69" t="s">
        <v>121</v>
      </c>
      <c r="I9" s="67" t="s">
        <v>113</v>
      </c>
      <c r="J9" s="67" t="s">
        <v>113</v>
      </c>
      <c r="K9" s="67">
        <v>10</v>
      </c>
      <c r="L9" s="67">
        <v>0.6</v>
      </c>
      <c r="M9" s="68" t="s">
        <v>120</v>
      </c>
      <c r="N9" s="65"/>
      <c r="O9" s="70">
        <v>44.3</v>
      </c>
      <c r="P9" s="56" t="s">
        <v>113</v>
      </c>
      <c r="Q9" s="56" t="s">
        <v>113</v>
      </c>
      <c r="R9" s="70"/>
      <c r="S9" s="71">
        <v>1</v>
      </c>
      <c r="T9" s="72" t="s">
        <v>54</v>
      </c>
      <c r="U9" s="73">
        <f>VLOOKUP($T9,매개변수기준!$J$1:$L$5,3)</f>
        <v>0.99</v>
      </c>
      <c r="V9" s="63"/>
      <c r="W9" s="63"/>
    </row>
    <row r="10" spans="1:23" s="64" customFormat="1" ht="15.4" customHeight="1" x14ac:dyDescent="0.6">
      <c r="A10" s="21" t="s">
        <v>118</v>
      </c>
      <c r="B10" s="53" t="s">
        <v>130</v>
      </c>
      <c r="C10" s="65">
        <v>19.5</v>
      </c>
      <c r="D10" s="66">
        <f t="shared" si="0"/>
        <v>71500</v>
      </c>
      <c r="E10" s="67">
        <v>3</v>
      </c>
      <c r="F10" s="67">
        <v>0.6</v>
      </c>
      <c r="G10" s="68" t="s">
        <v>120</v>
      </c>
      <c r="H10" s="69" t="s">
        <v>121</v>
      </c>
      <c r="I10" s="67">
        <f>IF([1]Main!$F$7="국가고유(17년)",19.969,IF([1]Main!$F$7="국가고유(22년)",19.926))</f>
        <v>19.969000000000001</v>
      </c>
      <c r="J10" s="67">
        <f>$I10*44*1000/12</f>
        <v>73219.666666666672</v>
      </c>
      <c r="K10" s="67">
        <v>10</v>
      </c>
      <c r="L10" s="67">
        <v>0.6</v>
      </c>
      <c r="M10" s="68" t="s">
        <v>120</v>
      </c>
      <c r="N10" s="65"/>
      <c r="O10" s="70">
        <v>44.1</v>
      </c>
      <c r="P10" s="65">
        <f>IF([1]Main!$G$7="국가고유(17년)",36.5,IF([1]Main!$G$7="국가고유(22년)",36.5))</f>
        <v>36.5</v>
      </c>
      <c r="Q10" s="67">
        <f>IF([1]Main!$G$7="국가고유(17년)",33.9,IF([1]Main!$G$7="국가고유(22년)",34))</f>
        <v>33.9</v>
      </c>
      <c r="R10" s="70" t="s">
        <v>127</v>
      </c>
      <c r="S10" s="71">
        <v>1</v>
      </c>
      <c r="T10" s="72" t="s">
        <v>54</v>
      </c>
      <c r="U10" s="73">
        <f>VLOOKUP($T10,매개변수기준!$J$1:$L$5,3)</f>
        <v>0.99</v>
      </c>
      <c r="V10" s="63"/>
      <c r="W10" s="63"/>
    </row>
    <row r="11" spans="1:23" s="64" customFormat="1" ht="15.4" customHeight="1" x14ac:dyDescent="0.6">
      <c r="A11" s="21" t="s">
        <v>118</v>
      </c>
      <c r="B11" s="53" t="s">
        <v>131</v>
      </c>
      <c r="C11" s="65">
        <v>19.600000000000001</v>
      </c>
      <c r="D11" s="66">
        <f t="shared" si="0"/>
        <v>71866.666666666672</v>
      </c>
      <c r="E11" s="67">
        <v>3</v>
      </c>
      <c r="F11" s="67">
        <v>0.6</v>
      </c>
      <c r="G11" s="68" t="s">
        <v>120</v>
      </c>
      <c r="H11" s="69" t="s">
        <v>121</v>
      </c>
      <c r="I11" s="67">
        <f>IF([1]Main!$F$7="국가고유(17년)",19.931,IF([1]Main!$F$7="국가고유(22년)",19.956))</f>
        <v>19.931000000000001</v>
      </c>
      <c r="J11" s="67">
        <f>$I11*44*1000/12</f>
        <v>73080.333333333328</v>
      </c>
      <c r="K11" s="67">
        <v>10</v>
      </c>
      <c r="L11" s="67">
        <v>0.6</v>
      </c>
      <c r="M11" s="68" t="s">
        <v>120</v>
      </c>
      <c r="N11" s="65"/>
      <c r="O11" s="70">
        <v>43.8</v>
      </c>
      <c r="P11" s="65">
        <f>IF([1]Main!$G$7="국가고유(17년)",36.7,IF([1]Main!$G$7="국가고유(22년)",36.6))</f>
        <v>36.700000000000003</v>
      </c>
      <c r="Q11" s="67">
        <f>IF([1]Main!$G$7="국가고유(17년)",34.2,IF([1]Main!$G$7="국가고유(22년)",34.1))</f>
        <v>34.200000000000003</v>
      </c>
      <c r="R11" s="70" t="s">
        <v>127</v>
      </c>
      <c r="S11" s="71">
        <v>1</v>
      </c>
      <c r="T11" s="72" t="s">
        <v>54</v>
      </c>
      <c r="U11" s="73">
        <f>VLOOKUP($T11,매개변수기준!$J$1:$L$5,3)</f>
        <v>0.99</v>
      </c>
      <c r="V11" s="63"/>
      <c r="W11" s="63"/>
    </row>
    <row r="12" spans="1:23" s="64" customFormat="1" ht="15.4" customHeight="1" x14ac:dyDescent="0.6">
      <c r="A12" s="21" t="s">
        <v>118</v>
      </c>
      <c r="B12" s="53" t="s">
        <v>132</v>
      </c>
      <c r="C12" s="65">
        <v>20</v>
      </c>
      <c r="D12" s="66">
        <f t="shared" si="0"/>
        <v>73333.333333333328</v>
      </c>
      <c r="E12" s="67">
        <v>3</v>
      </c>
      <c r="F12" s="67">
        <v>0.6</v>
      </c>
      <c r="G12" s="68" t="s">
        <v>120</v>
      </c>
      <c r="H12" s="69" t="s">
        <v>121</v>
      </c>
      <c r="I12" s="67" t="s">
        <v>113</v>
      </c>
      <c r="J12" s="67" t="s">
        <v>113</v>
      </c>
      <c r="K12" s="67">
        <v>10</v>
      </c>
      <c r="L12" s="67">
        <v>0.6</v>
      </c>
      <c r="M12" s="68" t="s">
        <v>120</v>
      </c>
      <c r="N12" s="65"/>
      <c r="O12" s="70">
        <v>38.1</v>
      </c>
      <c r="P12" s="56" t="s">
        <v>113</v>
      </c>
      <c r="Q12" s="56" t="s">
        <v>113</v>
      </c>
      <c r="R12" s="70"/>
      <c r="S12" s="71">
        <v>1</v>
      </c>
      <c r="T12" s="72" t="s">
        <v>54</v>
      </c>
      <c r="U12" s="73">
        <f>VLOOKUP($T12,매개변수기준!$J$1:$L$5,3)</f>
        <v>0.99</v>
      </c>
      <c r="V12" s="63"/>
      <c r="W12" s="63"/>
    </row>
    <row r="13" spans="1:23" s="64" customFormat="1" ht="15.4" customHeight="1" x14ac:dyDescent="0.6">
      <c r="A13" s="21" t="s">
        <v>118</v>
      </c>
      <c r="B13" s="53" t="s">
        <v>133</v>
      </c>
      <c r="C13" s="65">
        <v>20.2</v>
      </c>
      <c r="D13" s="66">
        <f t="shared" si="0"/>
        <v>74066.666666666672</v>
      </c>
      <c r="E13" s="67">
        <v>3</v>
      </c>
      <c r="F13" s="67">
        <v>0.6</v>
      </c>
      <c r="G13" s="68" t="s">
        <v>120</v>
      </c>
      <c r="H13" s="69" t="s">
        <v>121</v>
      </c>
      <c r="I13" s="67">
        <f>IF([1]Main!$F$7="국가고유(17년)",20.111,IF([1]Main!$F$7="국가고유(22년)",20.09))</f>
        <v>20.111000000000001</v>
      </c>
      <c r="J13" s="67">
        <f t="shared" ref="J13:J18" si="1">$I13*44*1000/12</f>
        <v>73740.333333333328</v>
      </c>
      <c r="K13" s="67">
        <v>10</v>
      </c>
      <c r="L13" s="67">
        <v>0.6</v>
      </c>
      <c r="M13" s="68" t="s">
        <v>120</v>
      </c>
      <c r="N13" s="65"/>
      <c r="O13" s="70">
        <v>43</v>
      </c>
      <c r="P13" s="65">
        <f>IF([1]Main!$G$7="국가고유(17년)",37.8,IF([1]Main!$G$7="국가고유(22년)",37.8))</f>
        <v>37.799999999999997</v>
      </c>
      <c r="Q13" s="67">
        <f>IF([1]Main!$G$7="국가고유(17년)",35.2,IF([1]Main!$G$7="국가고유(22년)",35.3))</f>
        <v>35.200000000000003</v>
      </c>
      <c r="R13" s="70" t="s">
        <v>127</v>
      </c>
      <c r="S13" s="71">
        <v>1</v>
      </c>
      <c r="T13" s="72" t="s">
        <v>54</v>
      </c>
      <c r="U13" s="73">
        <f>VLOOKUP($T13,매개변수기준!$J$1:$L$5,3)</f>
        <v>0.99</v>
      </c>
      <c r="V13" s="63"/>
      <c r="W13" s="63"/>
    </row>
    <row r="14" spans="1:23" s="64" customFormat="1" ht="15.4" customHeight="1" x14ac:dyDescent="0.6">
      <c r="A14" s="21" t="s">
        <v>118</v>
      </c>
      <c r="B14" s="53" t="s">
        <v>134</v>
      </c>
      <c r="C14" s="65" t="s">
        <v>113</v>
      </c>
      <c r="D14" s="67" t="s">
        <v>113</v>
      </c>
      <c r="E14" s="67">
        <v>10</v>
      </c>
      <c r="F14" s="67">
        <v>0.6</v>
      </c>
      <c r="G14" s="68" t="s">
        <v>120</v>
      </c>
      <c r="H14" s="69" t="s">
        <v>121</v>
      </c>
      <c r="I14" s="67">
        <f>IF([1]Main!$F$7="국가고유(17년)",20.657,IF([1]Main!$F$7="국가고유(22년)",20.44))</f>
        <v>20.657</v>
      </c>
      <c r="J14" s="67">
        <f t="shared" si="1"/>
        <v>75742.333333333328</v>
      </c>
      <c r="K14" s="67">
        <v>10</v>
      </c>
      <c r="L14" s="67">
        <v>0.6</v>
      </c>
      <c r="M14" s="68" t="s">
        <v>120</v>
      </c>
      <c r="N14" s="65"/>
      <c r="O14" s="70"/>
      <c r="P14" s="65">
        <f>IF([1]Main!$G$7="국가고유(17년)",39,IF([1]Main!$G$7="국가고유(22년)",39))</f>
        <v>39</v>
      </c>
      <c r="Q14" s="67">
        <f>IF([1]Main!$G$7="국가고유(17년)",36.4,IF([1]Main!$G$7="국가고유(22년)",36.5))</f>
        <v>36.4</v>
      </c>
      <c r="R14" s="70" t="s">
        <v>127</v>
      </c>
      <c r="S14" s="71">
        <v>1</v>
      </c>
      <c r="T14" s="72" t="s">
        <v>54</v>
      </c>
      <c r="U14" s="73">
        <f>VLOOKUP($T14,매개변수기준!$J$1:$L$5,3)</f>
        <v>0.99</v>
      </c>
      <c r="V14" s="63"/>
      <c r="W14" s="63"/>
    </row>
    <row r="15" spans="1:23" s="64" customFormat="1" ht="15.4" customHeight="1" x14ac:dyDescent="0.6">
      <c r="A15" s="21" t="s">
        <v>118</v>
      </c>
      <c r="B15" s="53" t="s">
        <v>135</v>
      </c>
      <c r="C15" s="65" t="s">
        <v>113</v>
      </c>
      <c r="D15" s="67" t="s">
        <v>113</v>
      </c>
      <c r="E15" s="67">
        <v>10</v>
      </c>
      <c r="F15" s="67">
        <v>0.6</v>
      </c>
      <c r="G15" s="68" t="s">
        <v>120</v>
      </c>
      <c r="H15" s="69" t="s">
        <v>121</v>
      </c>
      <c r="I15" s="67">
        <f>IF([1]Main!$F$7="국가고유(17년)",21.384,IF([1]Main!$F$7="국가고유(22년)",20.9))</f>
        <v>21.384</v>
      </c>
      <c r="J15" s="67">
        <f t="shared" si="1"/>
        <v>78408</v>
      </c>
      <c r="K15" s="67">
        <v>10</v>
      </c>
      <c r="L15" s="67">
        <v>0.6</v>
      </c>
      <c r="M15" s="68" t="s">
        <v>120</v>
      </c>
      <c r="N15" s="65"/>
      <c r="O15" s="70"/>
      <c r="P15" s="65">
        <f>IF([1]Main!$G$7="국가고유(17년)",40.5,IF([1]Main!$G$7="국가고유(22년)",40.6))</f>
        <v>40.5</v>
      </c>
      <c r="Q15" s="67">
        <f>IF([1]Main!$G$7="국가고유(17년)",38,IF([1]Main!$G$7="국가고유(22년)",38.1))</f>
        <v>38</v>
      </c>
      <c r="R15" s="70" t="s">
        <v>127</v>
      </c>
      <c r="S15" s="71">
        <v>1</v>
      </c>
      <c r="T15" s="72" t="s">
        <v>54</v>
      </c>
      <c r="U15" s="73">
        <f>VLOOKUP($T15,매개변수기준!$J$1:$L$5,3)</f>
        <v>0.99</v>
      </c>
      <c r="V15" s="63"/>
      <c r="W15" s="63"/>
    </row>
    <row r="16" spans="1:23" s="64" customFormat="1" ht="15.4" customHeight="1" x14ac:dyDescent="0.6">
      <c r="A16" s="21" t="s">
        <v>118</v>
      </c>
      <c r="B16" s="53" t="s">
        <v>136</v>
      </c>
      <c r="C16" s="65">
        <v>21.1</v>
      </c>
      <c r="D16" s="66">
        <f>$C16*44*1000/12</f>
        <v>77366.666666666672</v>
      </c>
      <c r="E16" s="67">
        <v>3</v>
      </c>
      <c r="F16" s="67">
        <v>0.6</v>
      </c>
      <c r="G16" s="68" t="s">
        <v>120</v>
      </c>
      <c r="H16" s="69" t="s">
        <v>121</v>
      </c>
      <c r="I16" s="67">
        <f>IF([1]Main!$F$7="국가고유(17년)",21.929,IF([1]Main!$F$7="국가고유(22년)",21.249))</f>
        <v>21.928999999999998</v>
      </c>
      <c r="J16" s="67">
        <f t="shared" si="1"/>
        <v>80406.333333333328</v>
      </c>
      <c r="K16" s="67">
        <v>10</v>
      </c>
      <c r="L16" s="67">
        <v>0.6</v>
      </c>
      <c r="M16" s="68" t="s">
        <v>120</v>
      </c>
      <c r="N16" s="65"/>
      <c r="O16" s="70">
        <v>40.4</v>
      </c>
      <c r="P16" s="65">
        <f>IF([1]Main!$G$7="국가고유(17년)",41.7,IF([1]Main!$G$7="국가고유(22년)",41.8))</f>
        <v>41.7</v>
      </c>
      <c r="Q16" s="67">
        <f>IF([1]Main!$G$7="국가고유(17년)",39.2,IF([1]Main!$G$7="국가고유(22년)",39.3))</f>
        <v>39.200000000000003</v>
      </c>
      <c r="R16" s="70" t="s">
        <v>127</v>
      </c>
      <c r="S16" s="71">
        <v>1</v>
      </c>
      <c r="T16" s="72" t="s">
        <v>54</v>
      </c>
      <c r="U16" s="73">
        <f>VLOOKUP($T16,매개변수기준!$J$1:$L$5,3)</f>
        <v>0.99</v>
      </c>
      <c r="V16" s="63"/>
      <c r="W16" s="63"/>
    </row>
    <row r="17" spans="1:23" s="64" customFormat="1" ht="15.4" customHeight="1" x14ac:dyDescent="0.6">
      <c r="A17" s="21" t="s">
        <v>118</v>
      </c>
      <c r="B17" s="53" t="s">
        <v>137</v>
      </c>
      <c r="C17" s="65" t="s">
        <v>113</v>
      </c>
      <c r="D17" s="67" t="s">
        <v>113</v>
      </c>
      <c r="E17" s="67" t="s">
        <v>113</v>
      </c>
      <c r="F17" s="67" t="s">
        <v>113</v>
      </c>
      <c r="G17" s="68" t="s">
        <v>120</v>
      </c>
      <c r="H17" s="69" t="s">
        <v>121</v>
      </c>
      <c r="I17" s="67">
        <f>IF([1]Main!$F$7="국가고유(17년)",20.067,IF([1]Main!$F$7="국가고유(22년)",20.165))</f>
        <v>20.067</v>
      </c>
      <c r="J17" s="67">
        <f t="shared" si="1"/>
        <v>73579</v>
      </c>
      <c r="K17" s="67">
        <v>10</v>
      </c>
      <c r="L17" s="67">
        <v>0.6</v>
      </c>
      <c r="M17" s="68" t="s">
        <v>120</v>
      </c>
      <c r="N17" s="65"/>
      <c r="O17" s="70"/>
      <c r="P17" s="65">
        <f>IF([1]Main!$G$7="국가고유(17년)",37.1,IF([1]Main!$G$7="국가고유(22년)",37.3))</f>
        <v>37.1</v>
      </c>
      <c r="Q17" s="67">
        <f>IF([1]Main!$G$7="국가고유(17년)",34.6,IF([1]Main!$G$7="국가고유(22년)",34.8))</f>
        <v>34.6</v>
      </c>
      <c r="R17" s="70" t="s">
        <v>127</v>
      </c>
      <c r="S17" s="71">
        <v>1</v>
      </c>
      <c r="T17" s="72" t="s">
        <v>54</v>
      </c>
      <c r="U17" s="73">
        <f>VLOOKUP($T17,매개변수기준!$J$1:$L$5,3)</f>
        <v>0.99</v>
      </c>
      <c r="V17" s="63"/>
      <c r="W17" s="63"/>
    </row>
    <row r="18" spans="1:23" s="64" customFormat="1" ht="15.4" customHeight="1" x14ac:dyDescent="0.6">
      <c r="A18" s="21" t="s">
        <v>118</v>
      </c>
      <c r="B18" s="53" t="s">
        <v>138</v>
      </c>
      <c r="C18" s="65" t="s">
        <v>113</v>
      </c>
      <c r="D18" s="67" t="s">
        <v>113</v>
      </c>
      <c r="E18" s="67" t="s">
        <v>113</v>
      </c>
      <c r="F18" s="67" t="s">
        <v>113</v>
      </c>
      <c r="G18" s="68" t="s">
        <v>120</v>
      </c>
      <c r="H18" s="69" t="s">
        <v>121</v>
      </c>
      <c r="I18" s="67">
        <f>IF([1]Main!$F$7="국가고유(17년)",21.729,IF([1]Main!$F$7="국가고유(22년)",21.877))</f>
        <v>21.728999999999999</v>
      </c>
      <c r="J18" s="67">
        <f t="shared" si="1"/>
        <v>79673</v>
      </c>
      <c r="K18" s="67">
        <v>10</v>
      </c>
      <c r="L18" s="67">
        <v>0.6</v>
      </c>
      <c r="M18" s="68" t="s">
        <v>120</v>
      </c>
      <c r="N18" s="65"/>
      <c r="O18" s="70"/>
      <c r="P18" s="65">
        <f>IF([1]Main!$G$7="국가고유(17년)",39.9,IF([1]Main!$G$7="국가고유(22년)",39.9))</f>
        <v>39.9</v>
      </c>
      <c r="Q18" s="67">
        <f>IF([1]Main!$G$7="국가고유(17년)",37.7,IF([1]Main!$G$7="국가고유(22년)",37.7))</f>
        <v>37.700000000000003</v>
      </c>
      <c r="R18" s="70" t="s">
        <v>127</v>
      </c>
      <c r="S18" s="71">
        <v>1</v>
      </c>
      <c r="T18" s="72" t="s">
        <v>54</v>
      </c>
      <c r="U18" s="73">
        <f>VLOOKUP($T18,매개변수기준!$J$1:$L$5,3)</f>
        <v>0.99</v>
      </c>
      <c r="V18" s="63"/>
      <c r="W18" s="63"/>
    </row>
    <row r="19" spans="1:23" s="64" customFormat="1" ht="15.4" customHeight="1" x14ac:dyDescent="0.6">
      <c r="A19" s="21" t="s">
        <v>118</v>
      </c>
      <c r="B19" s="53" t="s">
        <v>139</v>
      </c>
      <c r="C19" s="65">
        <v>17.2</v>
      </c>
      <c r="D19" s="66">
        <f>$C19*44*1000/12</f>
        <v>63066.666666666664</v>
      </c>
      <c r="E19" s="67">
        <v>1</v>
      </c>
      <c r="F19" s="67">
        <v>0.1</v>
      </c>
      <c r="G19" s="68" t="s">
        <v>120</v>
      </c>
      <c r="H19" s="69" t="s">
        <v>140</v>
      </c>
      <c r="I19" s="67" t="s">
        <v>113</v>
      </c>
      <c r="J19" s="67" t="s">
        <v>113</v>
      </c>
      <c r="K19" s="67">
        <v>5</v>
      </c>
      <c r="L19" s="67">
        <v>0.1</v>
      </c>
      <c r="M19" s="68" t="s">
        <v>120</v>
      </c>
      <c r="N19" s="65"/>
      <c r="O19" s="70">
        <v>47.3</v>
      </c>
      <c r="P19" s="56" t="s">
        <v>113</v>
      </c>
      <c r="Q19" s="56" t="s">
        <v>113</v>
      </c>
      <c r="R19" s="70"/>
      <c r="S19" s="71">
        <v>1</v>
      </c>
      <c r="T19" s="72" t="s">
        <v>57</v>
      </c>
      <c r="U19" s="73">
        <f>VLOOKUP($T19,매개변수기준!$J$1:$L$5,3)</f>
        <v>0.98</v>
      </c>
      <c r="V19" s="63"/>
      <c r="W19" s="63"/>
    </row>
    <row r="20" spans="1:23" s="64" customFormat="1" ht="15.4" customHeight="1" x14ac:dyDescent="0.6">
      <c r="A20" s="21" t="s">
        <v>118</v>
      </c>
      <c r="B20" s="53" t="s">
        <v>141</v>
      </c>
      <c r="C20" s="65" t="s">
        <v>113</v>
      </c>
      <c r="D20" s="67" t="s">
        <v>113</v>
      </c>
      <c r="E20" s="67" t="s">
        <v>113</v>
      </c>
      <c r="F20" s="67" t="s">
        <v>113</v>
      </c>
      <c r="G20" s="68" t="s">
        <v>120</v>
      </c>
      <c r="H20" s="69" t="s">
        <v>140</v>
      </c>
      <c r="I20" s="67">
        <f>IF([1]Main!$F$7="국가고유(17년)",17.641,IF([1]Main!$F$7="국가고유(22년)",17.63))</f>
        <v>17.640999999999998</v>
      </c>
      <c r="J20" s="67">
        <f>$I20*44*1000/12</f>
        <v>64683.666666666664</v>
      </c>
      <c r="K20" s="67">
        <v>5</v>
      </c>
      <c r="L20" s="67">
        <v>0.1</v>
      </c>
      <c r="M20" s="68" t="s">
        <v>120</v>
      </c>
      <c r="N20" s="65"/>
      <c r="O20" s="70"/>
      <c r="P20" s="65">
        <f>IF([1]Main!$G$7="국가고유(17년)",50.4,IF([1]Main!$G$7="국가고유(22년)",50.2))</f>
        <v>50.4</v>
      </c>
      <c r="Q20" s="67">
        <f>IF([1]Main!$G$7="국가고유(17년)",46.3,IF([1]Main!$G$7="국가고유(22년)",46.2))</f>
        <v>46.3</v>
      </c>
      <c r="R20" s="70" t="s">
        <v>122</v>
      </c>
      <c r="S20" s="71">
        <v>1</v>
      </c>
      <c r="T20" s="72" t="s">
        <v>57</v>
      </c>
      <c r="U20" s="73">
        <f>VLOOKUP($T20,매개변수기준!$J$1:$L$5,3)</f>
        <v>0.98</v>
      </c>
      <c r="V20" s="63"/>
      <c r="W20" s="63"/>
    </row>
    <row r="21" spans="1:23" s="64" customFormat="1" ht="15.4" customHeight="1" x14ac:dyDescent="0.6">
      <c r="A21" s="21" t="s">
        <v>118</v>
      </c>
      <c r="B21" s="53" t="s">
        <v>142</v>
      </c>
      <c r="C21" s="65" t="s">
        <v>113</v>
      </c>
      <c r="D21" s="67" t="s">
        <v>113</v>
      </c>
      <c r="E21" s="67" t="s">
        <v>113</v>
      </c>
      <c r="F21" s="67" t="s">
        <v>113</v>
      </c>
      <c r="G21" s="68" t="s">
        <v>120</v>
      </c>
      <c r="H21" s="69" t="s">
        <v>140</v>
      </c>
      <c r="I21" s="67">
        <f>IF([1]Main!$F$7="국가고유(17년)",18.107,IF([1]Main!$F$7="국가고유(22년)",18.094))</f>
        <v>18.106999999999999</v>
      </c>
      <c r="J21" s="67">
        <f>$I21*44*1000/12</f>
        <v>66392.333333333328</v>
      </c>
      <c r="K21" s="67">
        <v>5</v>
      </c>
      <c r="L21" s="67">
        <v>0.1</v>
      </c>
      <c r="M21" s="68" t="s">
        <v>120</v>
      </c>
      <c r="N21" s="65"/>
      <c r="O21" s="70"/>
      <c r="P21" s="65">
        <f>IF([1]Main!$G$7="국가고유(17년)",49.5,IF([1]Main!$G$7="국가고유(22년)",49.3))</f>
        <v>49.5</v>
      </c>
      <c r="Q21" s="67">
        <f>IF([1]Main!$G$7="국가고유(17년)",45.7,IF([1]Main!$G$7="국가고유(22년)",45.5))</f>
        <v>45.7</v>
      </c>
      <c r="R21" s="70" t="s">
        <v>122</v>
      </c>
      <c r="S21" s="71">
        <v>1</v>
      </c>
      <c r="T21" s="72" t="s">
        <v>57</v>
      </c>
      <c r="U21" s="73">
        <f>VLOOKUP($T21,매개변수기준!$J$1:$L$5,3)</f>
        <v>0.98</v>
      </c>
      <c r="V21" s="63"/>
      <c r="W21" s="63"/>
    </row>
    <row r="22" spans="1:23" s="64" customFormat="1" ht="15.4" customHeight="1" x14ac:dyDescent="0.6">
      <c r="A22" s="21" t="s">
        <v>118</v>
      </c>
      <c r="B22" s="53" t="s">
        <v>143</v>
      </c>
      <c r="C22" s="65">
        <v>16.8</v>
      </c>
      <c r="D22" s="66">
        <f t="shared" ref="D22:D49" si="2">$C22*44*1000/12</f>
        <v>61600</v>
      </c>
      <c r="E22" s="67">
        <v>1</v>
      </c>
      <c r="F22" s="67">
        <v>0.1</v>
      </c>
      <c r="G22" s="68" t="s">
        <v>120</v>
      </c>
      <c r="H22" s="69" t="s">
        <v>140</v>
      </c>
      <c r="I22" s="67" t="s">
        <v>113</v>
      </c>
      <c r="J22" s="67" t="s">
        <v>113</v>
      </c>
      <c r="K22" s="67">
        <v>5</v>
      </c>
      <c r="L22" s="67">
        <v>0.1</v>
      </c>
      <c r="M22" s="68" t="s">
        <v>120</v>
      </c>
      <c r="N22" s="65"/>
      <c r="O22" s="70">
        <v>46.4</v>
      </c>
      <c r="P22" s="56" t="s">
        <v>113</v>
      </c>
      <c r="Q22" s="56" t="s">
        <v>113</v>
      </c>
      <c r="R22" s="70"/>
      <c r="S22" s="71">
        <v>1</v>
      </c>
      <c r="T22" s="72" t="s">
        <v>57</v>
      </c>
      <c r="U22" s="73">
        <f>VLOOKUP($T22,매개변수기준!$J$1:$L$5,3)</f>
        <v>0.98</v>
      </c>
      <c r="V22" s="63"/>
      <c r="W22" s="63"/>
    </row>
    <row r="23" spans="1:23" s="64" customFormat="1" ht="15.4" customHeight="1" x14ac:dyDescent="0.6">
      <c r="A23" s="21" t="s">
        <v>118</v>
      </c>
      <c r="B23" s="53" t="s">
        <v>144</v>
      </c>
      <c r="C23" s="65">
        <v>20</v>
      </c>
      <c r="D23" s="66">
        <f t="shared" si="2"/>
        <v>73333.333333333328</v>
      </c>
      <c r="E23" s="67">
        <v>3</v>
      </c>
      <c r="F23" s="67">
        <v>0.6</v>
      </c>
      <c r="G23" s="68" t="s">
        <v>120</v>
      </c>
      <c r="H23" s="69" t="s">
        <v>121</v>
      </c>
      <c r="I23" s="67">
        <f>IF([1]Main!$F$7="국가고유(17년)",19.157,IF([1]Main!$F$7="국가고유(22년)",19.083))</f>
        <v>19.157</v>
      </c>
      <c r="J23" s="67">
        <f>$I23*44*1000/12</f>
        <v>70242.333333333328</v>
      </c>
      <c r="K23" s="67">
        <v>10</v>
      </c>
      <c r="L23" s="67">
        <v>0.6</v>
      </c>
      <c r="M23" s="68" t="s">
        <v>120</v>
      </c>
      <c r="N23" s="65"/>
      <c r="O23" s="70">
        <v>44.5</v>
      </c>
      <c r="P23" s="65">
        <f>IF([1]Main!$G$7="국가고유(17년)",32.3,IF([1]Main!$G$7="국가고유(22년)",32.2))</f>
        <v>32.299999999999997</v>
      </c>
      <c r="Q23" s="67">
        <f>IF([1]Main!$G$7="국가고유(17년)",29.9,IF([1]Main!$G$7="국가고유(22년)",29.9))</f>
        <v>29.9</v>
      </c>
      <c r="R23" s="70" t="s">
        <v>127</v>
      </c>
      <c r="S23" s="71">
        <v>1</v>
      </c>
      <c r="T23" s="72" t="s">
        <v>54</v>
      </c>
      <c r="U23" s="73">
        <f>VLOOKUP($T23,매개변수기준!$J$1:$L$5,3)</f>
        <v>0.99</v>
      </c>
      <c r="V23" s="63"/>
      <c r="W23" s="63"/>
    </row>
    <row r="24" spans="1:23" s="64" customFormat="1" ht="15.4" customHeight="1" x14ac:dyDescent="0.6">
      <c r="A24" s="21" t="s">
        <v>118</v>
      </c>
      <c r="B24" s="53" t="s">
        <v>145</v>
      </c>
      <c r="C24" s="65">
        <v>22</v>
      </c>
      <c r="D24" s="66">
        <f t="shared" si="2"/>
        <v>80666.666666666672</v>
      </c>
      <c r="E24" s="67">
        <v>3</v>
      </c>
      <c r="F24" s="67">
        <v>0.6</v>
      </c>
      <c r="G24" s="68" t="s">
        <v>120</v>
      </c>
      <c r="H24" s="69" t="s">
        <v>121</v>
      </c>
      <c r="I24" s="67">
        <f>IF([1]Main!$F$7="국가고유(17년)",21.544,IF([1]Main!$F$7="국가고유(22년)",21.473))</f>
        <v>21.544</v>
      </c>
      <c r="J24" s="67">
        <f>$I24*44*1000/12</f>
        <v>78994.666666666672</v>
      </c>
      <c r="K24" s="67">
        <v>10</v>
      </c>
      <c r="L24" s="67">
        <v>0.6</v>
      </c>
      <c r="M24" s="68" t="s">
        <v>120</v>
      </c>
      <c r="N24" s="65"/>
      <c r="O24" s="70">
        <v>40.200000000000003</v>
      </c>
      <c r="P24" s="65">
        <f>IF([1]Main!$G$7="국가고유(17년)",41.4,IF([1]Main!$G$7="국가고유(22년)",41.4))</f>
        <v>41.4</v>
      </c>
      <c r="Q24" s="67">
        <f>IF([1]Main!$G$7="국가고유(17년)",39.2,IF([1]Main!$G$7="국가고유(22년)",39))</f>
        <v>39.200000000000003</v>
      </c>
      <c r="R24" s="70" t="s">
        <v>122</v>
      </c>
      <c r="S24" s="71">
        <v>1</v>
      </c>
      <c r="T24" s="72" t="s">
        <v>51</v>
      </c>
      <c r="U24" s="73">
        <f>VLOOKUP($T24,매개변수기준!$J$1:$L$5,3)</f>
        <v>0.98</v>
      </c>
      <c r="V24" s="63"/>
      <c r="W24" s="63"/>
    </row>
    <row r="25" spans="1:23" s="64" customFormat="1" ht="15.4" customHeight="1" x14ac:dyDescent="0.6">
      <c r="A25" s="21" t="s">
        <v>118</v>
      </c>
      <c r="B25" s="53" t="s">
        <v>146</v>
      </c>
      <c r="C25" s="65">
        <v>20</v>
      </c>
      <c r="D25" s="66">
        <f t="shared" si="2"/>
        <v>73333.333333333328</v>
      </c>
      <c r="E25" s="67">
        <v>3</v>
      </c>
      <c r="F25" s="67">
        <v>0.6</v>
      </c>
      <c r="G25" s="68" t="s">
        <v>120</v>
      </c>
      <c r="H25" s="69" t="s">
        <v>121</v>
      </c>
      <c r="I25" s="67">
        <f>IF([1]Main!$F$7="국가고유(17년)",19.979,IF([1]Main!$F$7="국가고유(22년)",19.897))</f>
        <v>19.978999999999999</v>
      </c>
      <c r="J25" s="67">
        <f>$I25*44*1000/12</f>
        <v>73256.333333333328</v>
      </c>
      <c r="K25" s="67">
        <v>10</v>
      </c>
      <c r="L25" s="67">
        <v>0.6</v>
      </c>
      <c r="M25" s="68" t="s">
        <v>120</v>
      </c>
      <c r="N25" s="65"/>
      <c r="O25" s="70">
        <v>40.200000000000003</v>
      </c>
      <c r="P25" s="65">
        <f>IF([1]Main!$G$7="국가고유(17년)",40,IF([1]Main!$G$7="국가고유(22년)",39.6))</f>
        <v>40</v>
      </c>
      <c r="Q25" s="67">
        <f>IF([1]Main!$G$7="국가고유(17년)",37.3,IF([1]Main!$G$7="국가고유(22년)",37))</f>
        <v>37.299999999999997</v>
      </c>
      <c r="R25" s="70" t="s">
        <v>127</v>
      </c>
      <c r="S25" s="71">
        <v>1</v>
      </c>
      <c r="T25" s="72" t="s">
        <v>54</v>
      </c>
      <c r="U25" s="73">
        <f>VLOOKUP($T25,매개변수기준!$J$1:$L$5,3)</f>
        <v>0.99</v>
      </c>
      <c r="V25" s="63"/>
      <c r="W25" s="63"/>
    </row>
    <row r="26" spans="1:23" s="64" customFormat="1" ht="15.4" customHeight="1" x14ac:dyDescent="0.6">
      <c r="A26" s="21" t="s">
        <v>118</v>
      </c>
      <c r="B26" s="53" t="s">
        <v>147</v>
      </c>
      <c r="C26" s="65">
        <v>26.6</v>
      </c>
      <c r="D26" s="66">
        <f t="shared" si="2"/>
        <v>97533.333333333328</v>
      </c>
      <c r="E26" s="67">
        <v>3</v>
      </c>
      <c r="F26" s="67">
        <v>0.6</v>
      </c>
      <c r="G26" s="68" t="s">
        <v>120</v>
      </c>
      <c r="H26" s="69" t="s">
        <v>121</v>
      </c>
      <c r="I26" s="67">
        <f>IF([1]Main!$F$7="국가고유(17년)",26.086,IF([1]Main!$F$7="국가고유(22년)",26.192))</f>
        <v>26.085999999999999</v>
      </c>
      <c r="J26" s="67">
        <f>$I26*44*1000/12</f>
        <v>95648.666666666642</v>
      </c>
      <c r="K26" s="67">
        <v>10</v>
      </c>
      <c r="L26" s="67">
        <v>0.6</v>
      </c>
      <c r="M26" s="68" t="s">
        <v>120</v>
      </c>
      <c r="N26" s="65"/>
      <c r="O26" s="70">
        <v>32.5</v>
      </c>
      <c r="P26" s="65">
        <f>IF([1]Main!$G$7="국가고유(17년)",35,IF([1]Main!$G$7="국가고유(22년)",34.9))</f>
        <v>35</v>
      </c>
      <c r="Q26" s="67">
        <f>IF([1]Main!$G$7="국가고유(17년)",34.2,IF([1]Main!$G$7="국가고유(22년)",34.2))</f>
        <v>34.200000000000003</v>
      </c>
      <c r="R26" s="70" t="s">
        <v>122</v>
      </c>
      <c r="S26" s="71">
        <v>1</v>
      </c>
      <c r="T26" s="72" t="s">
        <v>51</v>
      </c>
      <c r="U26" s="73">
        <f>VLOOKUP($T26,매개변수기준!$J$1:$L$5,3)</f>
        <v>0.98</v>
      </c>
      <c r="V26" s="63"/>
      <c r="W26" s="63"/>
    </row>
    <row r="27" spans="1:23" s="64" customFormat="1" ht="15.4" customHeight="1" x14ac:dyDescent="0.6">
      <c r="A27" s="21" t="s">
        <v>118</v>
      </c>
      <c r="B27" s="53" t="s">
        <v>148</v>
      </c>
      <c r="C27" s="65">
        <v>20</v>
      </c>
      <c r="D27" s="66">
        <f t="shared" si="2"/>
        <v>73333.333333333328</v>
      </c>
      <c r="E27" s="67">
        <v>3</v>
      </c>
      <c r="F27" s="67">
        <v>0.6</v>
      </c>
      <c r="G27" s="68" t="s">
        <v>120</v>
      </c>
      <c r="H27" s="69" t="s">
        <v>121</v>
      </c>
      <c r="I27" s="67" t="s">
        <v>113</v>
      </c>
      <c r="J27" s="67" t="s">
        <v>113</v>
      </c>
      <c r="K27" s="67">
        <v>10</v>
      </c>
      <c r="L27" s="67">
        <v>0.6</v>
      </c>
      <c r="M27" s="68" t="s">
        <v>120</v>
      </c>
      <c r="N27" s="65"/>
      <c r="O27" s="70">
        <v>43</v>
      </c>
      <c r="P27" s="56" t="s">
        <v>113</v>
      </c>
      <c r="Q27" s="56" t="s">
        <v>113</v>
      </c>
      <c r="R27" s="70"/>
      <c r="S27" s="71">
        <v>1</v>
      </c>
      <c r="T27" s="72" t="s">
        <v>54</v>
      </c>
      <c r="U27" s="73">
        <f>VLOOKUP($T27,매개변수기준!$J$1:$L$5,3)</f>
        <v>0.99</v>
      </c>
      <c r="V27" s="63"/>
      <c r="W27" s="63"/>
    </row>
    <row r="28" spans="1:23" s="64" customFormat="1" ht="15.4" customHeight="1" x14ac:dyDescent="0.6">
      <c r="A28" s="21" t="s">
        <v>118</v>
      </c>
      <c r="B28" s="53" t="s">
        <v>149</v>
      </c>
      <c r="C28" s="74">
        <v>15.7</v>
      </c>
      <c r="D28" s="66">
        <f t="shared" si="2"/>
        <v>57566.666666666664</v>
      </c>
      <c r="E28" s="67">
        <v>1</v>
      </c>
      <c r="F28" s="67">
        <v>0.1</v>
      </c>
      <c r="G28" s="68" t="s">
        <v>120</v>
      </c>
      <c r="H28" s="69" t="s">
        <v>121</v>
      </c>
      <c r="I28" s="67" t="s">
        <v>113</v>
      </c>
      <c r="J28" s="67" t="s">
        <v>113</v>
      </c>
      <c r="K28" s="67">
        <v>10</v>
      </c>
      <c r="L28" s="67">
        <v>0.6</v>
      </c>
      <c r="M28" s="68" t="s">
        <v>120</v>
      </c>
      <c r="N28" s="65"/>
      <c r="O28" s="70">
        <v>49.5</v>
      </c>
      <c r="P28" s="56" t="s">
        <v>113</v>
      </c>
      <c r="Q28" s="56" t="s">
        <v>113</v>
      </c>
      <c r="R28" s="70"/>
      <c r="S28" s="71">
        <v>1</v>
      </c>
      <c r="T28" s="72" t="s">
        <v>57</v>
      </c>
      <c r="U28" s="73">
        <f>VLOOKUP($T28,매개변수기준!$J$1:$L$5,3)</f>
        <v>0.98</v>
      </c>
      <c r="V28" s="63"/>
      <c r="W28" s="63"/>
    </row>
    <row r="29" spans="1:23" s="64" customFormat="1" ht="15.4" customHeight="1" x14ac:dyDescent="0.6">
      <c r="A29" s="21" t="s">
        <v>118</v>
      </c>
      <c r="B29" s="53" t="s">
        <v>150</v>
      </c>
      <c r="C29" s="65">
        <v>20</v>
      </c>
      <c r="D29" s="66">
        <f t="shared" si="2"/>
        <v>73333.333333333328</v>
      </c>
      <c r="E29" s="67">
        <v>3</v>
      </c>
      <c r="F29" s="67">
        <v>0.6</v>
      </c>
      <c r="G29" s="68" t="s">
        <v>120</v>
      </c>
      <c r="H29" s="69" t="s">
        <v>121</v>
      </c>
      <c r="I29" s="67" t="s">
        <v>113</v>
      </c>
      <c r="J29" s="67" t="s">
        <v>113</v>
      </c>
      <c r="K29" s="67">
        <v>10</v>
      </c>
      <c r="L29" s="67">
        <v>0.6</v>
      </c>
      <c r="M29" s="68" t="s">
        <v>120</v>
      </c>
      <c r="N29" s="65"/>
      <c r="O29" s="70">
        <v>40.200000000000003</v>
      </c>
      <c r="P29" s="56" t="s">
        <v>113</v>
      </c>
      <c r="Q29" s="56" t="s">
        <v>113</v>
      </c>
      <c r="R29" s="70"/>
      <c r="S29" s="71">
        <v>1</v>
      </c>
      <c r="T29" s="72" t="s">
        <v>51</v>
      </c>
      <c r="U29" s="73">
        <f>VLOOKUP($T29,매개변수기준!$J$1:$L$5,3)</f>
        <v>0.98</v>
      </c>
      <c r="V29" s="63"/>
      <c r="W29" s="63"/>
    </row>
    <row r="30" spans="1:23" s="64" customFormat="1" ht="15.4" customHeight="1" x14ac:dyDescent="0.6">
      <c r="A30" s="21" t="s">
        <v>118</v>
      </c>
      <c r="B30" s="53" t="s">
        <v>151</v>
      </c>
      <c r="C30" s="65">
        <v>20</v>
      </c>
      <c r="D30" s="66">
        <f t="shared" si="2"/>
        <v>73333.333333333328</v>
      </c>
      <c r="E30" s="67">
        <v>3</v>
      </c>
      <c r="F30" s="67">
        <v>0.6</v>
      </c>
      <c r="G30" s="68" t="s">
        <v>120</v>
      </c>
      <c r="H30" s="69" t="s">
        <v>121</v>
      </c>
      <c r="I30" s="67">
        <v>19.172000000000001</v>
      </c>
      <c r="J30" s="67">
        <f t="shared" ref="J30:J37" si="3">$I30*44*1000/12</f>
        <v>70297.333333333328</v>
      </c>
      <c r="K30" s="67">
        <v>10</v>
      </c>
      <c r="L30" s="67">
        <v>0.6</v>
      </c>
      <c r="M30" s="68" t="s">
        <v>120</v>
      </c>
      <c r="N30" s="65"/>
      <c r="O30" s="70">
        <v>40.200000000000003</v>
      </c>
      <c r="P30" s="65">
        <f>IF([1]Main!$G$7="국가고유(17년)",32.8,IF([1]Main!$G$7="국가고유(22년)",32.8))</f>
        <v>32.799999999999997</v>
      </c>
      <c r="Q30" s="67">
        <f>IF([1]Main!$G$7="국가고유(17년)",30.3,IF([1]Main!$G$7="국가고유(22년)",30.4))</f>
        <v>30.3</v>
      </c>
      <c r="R30" s="70" t="s">
        <v>127</v>
      </c>
      <c r="S30" s="71">
        <v>1</v>
      </c>
      <c r="T30" s="72" t="s">
        <v>54</v>
      </c>
      <c r="U30" s="73">
        <f>VLOOKUP($T30,매개변수기준!$J$1:$L$5,3)</f>
        <v>0.99</v>
      </c>
      <c r="V30" s="63"/>
      <c r="W30" s="63"/>
    </row>
    <row r="31" spans="1:23" s="64" customFormat="1" ht="15.4" customHeight="1" x14ac:dyDescent="0.6">
      <c r="A31" s="21" t="s">
        <v>118</v>
      </c>
      <c r="B31" s="53" t="s">
        <v>152</v>
      </c>
      <c r="C31" s="65">
        <v>20</v>
      </c>
      <c r="D31" s="66">
        <f t="shared" si="2"/>
        <v>73333.333333333328</v>
      </c>
      <c r="E31" s="67">
        <v>3</v>
      </c>
      <c r="F31" s="67">
        <v>0.6</v>
      </c>
      <c r="G31" s="68" t="s">
        <v>120</v>
      </c>
      <c r="H31" s="69" t="s">
        <v>121</v>
      </c>
      <c r="I31" s="67">
        <v>20.067</v>
      </c>
      <c r="J31" s="67">
        <f t="shared" si="3"/>
        <v>73579</v>
      </c>
      <c r="K31" s="67">
        <v>10</v>
      </c>
      <c r="L31" s="67">
        <v>0.6</v>
      </c>
      <c r="M31" s="68" t="s">
        <v>120</v>
      </c>
      <c r="N31" s="65"/>
      <c r="O31" s="70">
        <v>40.200000000000003</v>
      </c>
      <c r="P31" s="56" t="s">
        <v>113</v>
      </c>
      <c r="Q31" s="56" t="s">
        <v>113</v>
      </c>
      <c r="R31" s="70"/>
      <c r="S31" s="71">
        <v>1</v>
      </c>
      <c r="T31" s="72" t="s">
        <v>54</v>
      </c>
      <c r="U31" s="73">
        <f>VLOOKUP($T31,매개변수기준!$J$1:$L$5,3)</f>
        <v>0.99</v>
      </c>
      <c r="V31" s="63"/>
      <c r="W31" s="63"/>
    </row>
    <row r="32" spans="1:23" s="64" customFormat="1" ht="15.4" customHeight="1" x14ac:dyDescent="0.6">
      <c r="A32" s="21" t="s">
        <v>153</v>
      </c>
      <c r="B32" s="53" t="s">
        <v>154</v>
      </c>
      <c r="C32" s="65">
        <v>26.8</v>
      </c>
      <c r="D32" s="66">
        <f t="shared" si="2"/>
        <v>98266.666666666672</v>
      </c>
      <c r="E32" s="67">
        <v>1</v>
      </c>
      <c r="F32" s="67">
        <v>1.5</v>
      </c>
      <c r="G32" s="68" t="s">
        <v>120</v>
      </c>
      <c r="H32" s="69" t="s">
        <v>155</v>
      </c>
      <c r="I32" s="67">
        <f>IF([1]Main!$F$7="국가고유(17년)",30.185,IF([1]Main!$F$7="국가고유(22년)",29.705))</f>
        <v>30.184999999999999</v>
      </c>
      <c r="J32" s="67">
        <f t="shared" si="3"/>
        <v>110678.33333333331</v>
      </c>
      <c r="K32" s="67">
        <f>IF([1]Main!$H$3="상업용/공공",10,IF([1]Main!$H$3="주거용",300))</f>
        <v>300</v>
      </c>
      <c r="L32" s="67">
        <v>1.4</v>
      </c>
      <c r="M32" s="68" t="s">
        <v>120</v>
      </c>
      <c r="N32" s="65"/>
      <c r="O32" s="70">
        <v>26.7</v>
      </c>
      <c r="P32" s="65">
        <f>IF([1]Main!$G$7="국가고유(17년)",19.8,IF([1]Main!$G$7="국가고유(22년)",19.7))</f>
        <v>19.8</v>
      </c>
      <c r="Q32" s="67">
        <f>IF([1]Main!$G$7="국가고유(17년)",19.4,IF([1]Main!$G$7="국가고유(22년)",19.4))</f>
        <v>19.399999999999999</v>
      </c>
      <c r="R32" s="70" t="s">
        <v>122</v>
      </c>
      <c r="S32" s="71">
        <v>1</v>
      </c>
      <c r="T32" s="72" t="s">
        <v>51</v>
      </c>
      <c r="U32" s="73">
        <f>VLOOKUP($T32,매개변수기준!$J$1:$L$5,3)</f>
        <v>0.98</v>
      </c>
      <c r="V32" s="63"/>
      <c r="W32" s="63"/>
    </row>
    <row r="33" spans="1:23" s="64" customFormat="1" ht="15.4" customHeight="1" x14ac:dyDescent="0.6">
      <c r="A33" s="21" t="s">
        <v>153</v>
      </c>
      <c r="B33" s="53" t="s">
        <v>156</v>
      </c>
      <c r="C33" s="65">
        <v>26.8</v>
      </c>
      <c r="D33" s="66">
        <f t="shared" si="2"/>
        <v>98266.666666666672</v>
      </c>
      <c r="E33" s="67">
        <v>1</v>
      </c>
      <c r="F33" s="67">
        <v>1.5</v>
      </c>
      <c r="G33" s="68" t="s">
        <v>120</v>
      </c>
      <c r="H33" s="69" t="s">
        <v>155</v>
      </c>
      <c r="I33" s="67">
        <f>IF([1]Main!$F$7="국가고유(17년)",27.404,IF([1]Main!$F$7="국가고유(22년)",27.32))</f>
        <v>27.404</v>
      </c>
      <c r="J33" s="67">
        <f t="shared" si="3"/>
        <v>100481.33333333333</v>
      </c>
      <c r="K33" s="67">
        <f>IF([1]Main!$H$3="상업용/공공",10,IF([1]Main!$H$3="주거용",300))</f>
        <v>300</v>
      </c>
      <c r="L33" s="67">
        <v>1.4</v>
      </c>
      <c r="M33" s="68" t="s">
        <v>120</v>
      </c>
      <c r="N33" s="65"/>
      <c r="O33" s="70">
        <v>26.7</v>
      </c>
      <c r="P33" s="65">
        <f>IF([1]Main!$G$7="국가고유(17년)",21.2,IF([1]Main!$G$7="국가고유(22년)",23))</f>
        <v>21.2</v>
      </c>
      <c r="Q33" s="67">
        <f>IF([1]Main!$G$7="국가고유(17년)",20.5,IF([1]Main!$G$7="국가고유(22년)",22.3))</f>
        <v>20.5</v>
      </c>
      <c r="R33" s="70" t="s">
        <v>122</v>
      </c>
      <c r="S33" s="71">
        <v>1</v>
      </c>
      <c r="T33" s="72" t="s">
        <v>51</v>
      </c>
      <c r="U33" s="73">
        <f>VLOOKUP($T33,매개변수기준!$J$1:$L$5,3)</f>
        <v>0.98</v>
      </c>
      <c r="V33" s="63"/>
      <c r="W33" s="63"/>
    </row>
    <row r="34" spans="1:23" s="64" customFormat="1" ht="15.4" customHeight="1" x14ac:dyDescent="0.6">
      <c r="A34" s="21" t="s">
        <v>153</v>
      </c>
      <c r="B34" s="53" t="s">
        <v>157</v>
      </c>
      <c r="C34" s="65">
        <v>26.8</v>
      </c>
      <c r="D34" s="66">
        <f t="shared" si="2"/>
        <v>98266.666666666672</v>
      </c>
      <c r="E34" s="67">
        <v>1</v>
      </c>
      <c r="F34" s="67">
        <v>1.5</v>
      </c>
      <c r="G34" s="68" t="s">
        <v>120</v>
      </c>
      <c r="H34" s="69" t="s">
        <v>155</v>
      </c>
      <c r="I34" s="67">
        <f>IF([1]Main!$F$7="국가고유(17년)",29.909,IF([1]Main!$F$7="국가고유(22년)",28.99))</f>
        <v>29.908999999999999</v>
      </c>
      <c r="J34" s="67">
        <f t="shared" si="3"/>
        <v>109666.33333333331</v>
      </c>
      <c r="K34" s="67">
        <f>IF([1]Main!$H$3="상업용/공공",10,IF([1]Main!$H$3="주거용",300))</f>
        <v>300</v>
      </c>
      <c r="L34" s="67">
        <v>1.4</v>
      </c>
      <c r="M34" s="68" t="s">
        <v>120</v>
      </c>
      <c r="N34" s="65"/>
      <c r="O34" s="70">
        <v>26.7</v>
      </c>
      <c r="P34" s="65">
        <f>IF([1]Main!$G$7="국가고유(17년)",25.2,IF([1]Main!$G$7="국가고유(22년)",25.8))</f>
        <v>25.2</v>
      </c>
      <c r="Q34" s="67">
        <f>IF([1]Main!$G$7="국가고유(17년)",24.7,IF([1]Main!$G$7="국가고유(22년)",25.3))</f>
        <v>24.7</v>
      </c>
      <c r="R34" s="70" t="s">
        <v>122</v>
      </c>
      <c r="S34" s="71">
        <v>1</v>
      </c>
      <c r="T34" s="72" t="s">
        <v>51</v>
      </c>
      <c r="U34" s="73">
        <f>VLOOKUP($T34,매개변수기준!$J$1:$L$5,3)</f>
        <v>0.98</v>
      </c>
      <c r="V34" s="63"/>
      <c r="W34" s="63"/>
    </row>
    <row r="35" spans="1:23" s="64" customFormat="1" ht="15.4" customHeight="1" x14ac:dyDescent="0.6">
      <c r="A35" s="21" t="s">
        <v>153</v>
      </c>
      <c r="B35" s="53" t="s">
        <v>158</v>
      </c>
      <c r="C35" s="65">
        <v>25.8</v>
      </c>
      <c r="D35" s="66">
        <f t="shared" si="2"/>
        <v>94600</v>
      </c>
      <c r="E35" s="67">
        <v>1</v>
      </c>
      <c r="F35" s="67">
        <v>1.5</v>
      </c>
      <c r="G35" s="68" t="s">
        <v>120</v>
      </c>
      <c r="H35" s="69" t="s">
        <v>155</v>
      </c>
      <c r="I35" s="67">
        <f>IF([1]Main!$F$7="국가고유(17년)",25.963,IF([1]Main!$F$7="국가고유(22년)",25.349))</f>
        <v>25.963000000000001</v>
      </c>
      <c r="J35" s="67">
        <f t="shared" si="3"/>
        <v>95197.666666666672</v>
      </c>
      <c r="K35" s="67">
        <f>IF([1]Main!$H$3="상업용/공공",10,IF([1]Main!$H$3="주거용",300))</f>
        <v>300</v>
      </c>
      <c r="L35" s="67">
        <v>1.4</v>
      </c>
      <c r="M35" s="68" t="s">
        <v>120</v>
      </c>
      <c r="N35" s="65"/>
      <c r="O35" s="70">
        <v>28.2</v>
      </c>
      <c r="P35" s="65">
        <f>IF([1]Main!$G$7="국가고유(17년)",29.2,IF([1]Main!$G$7="국가고유(22년)",29.4))</f>
        <v>29.2</v>
      </c>
      <c r="Q35" s="67">
        <f>IF([1]Main!$G$7="국가고유(17년)",28,IF([1]Main!$G$7="국가고유(22년)",28.3))</f>
        <v>28</v>
      </c>
      <c r="R35" s="70" t="s">
        <v>122</v>
      </c>
      <c r="S35" s="71">
        <v>1</v>
      </c>
      <c r="T35" s="72" t="s">
        <v>51</v>
      </c>
      <c r="U35" s="73">
        <f>VLOOKUP($T35,매개변수기준!$J$1:$L$5,3)</f>
        <v>0.98</v>
      </c>
      <c r="V35" s="63"/>
      <c r="W35" s="63"/>
    </row>
    <row r="36" spans="1:23" s="64" customFormat="1" ht="15.4" customHeight="1" x14ac:dyDescent="0.6">
      <c r="A36" s="21" t="s">
        <v>153</v>
      </c>
      <c r="B36" s="53" t="s">
        <v>159</v>
      </c>
      <c r="C36" s="65">
        <v>25.8</v>
      </c>
      <c r="D36" s="66">
        <f t="shared" si="2"/>
        <v>94600</v>
      </c>
      <c r="E36" s="67">
        <v>1</v>
      </c>
      <c r="F36" s="67">
        <v>1.5</v>
      </c>
      <c r="G36" s="68" t="s">
        <v>120</v>
      </c>
      <c r="H36" s="69" t="s">
        <v>155</v>
      </c>
      <c r="I36" s="67">
        <f>IF([1]Main!$F$7="국가고유(17년)",25.951,IF([1]Main!$F$7="국가고유(22년)",26.105))</f>
        <v>25.951000000000001</v>
      </c>
      <c r="J36" s="67">
        <f t="shared" si="3"/>
        <v>95153.666666666672</v>
      </c>
      <c r="K36" s="67">
        <f>IF([1]Main!$H$3="상업용/공공",10,IF([1]Main!$H$3="주거용",300))</f>
        <v>300</v>
      </c>
      <c r="L36" s="67">
        <v>1.4</v>
      </c>
      <c r="M36" s="68" t="s">
        <v>120</v>
      </c>
      <c r="N36" s="65"/>
      <c r="O36" s="70">
        <v>25.8</v>
      </c>
      <c r="P36" s="65">
        <f>IF([1]Main!$G$7="국가고유(17년)",24.8,IF([1]Main!$G$7="국가고유(22년)",24.6))</f>
        <v>24.8</v>
      </c>
      <c r="Q36" s="67">
        <f>IF([1]Main!$G$7="국가고유(17년)",23.7,IF([1]Main!$G$7="국가고유(22년)",23.3))</f>
        <v>23.7</v>
      </c>
      <c r="R36" s="70" t="s">
        <v>122</v>
      </c>
      <c r="S36" s="71">
        <v>1</v>
      </c>
      <c r="T36" s="72" t="s">
        <v>51</v>
      </c>
      <c r="U36" s="73">
        <f>VLOOKUP($T36,매개변수기준!$J$1:$L$5,3)</f>
        <v>0.98</v>
      </c>
      <c r="V36" s="63"/>
      <c r="W36" s="63"/>
    </row>
    <row r="37" spans="1:23" s="64" customFormat="1" ht="15.4" customHeight="1" x14ac:dyDescent="0.6">
      <c r="A37" s="21" t="s">
        <v>153</v>
      </c>
      <c r="B37" s="53" t="s">
        <v>160</v>
      </c>
      <c r="C37" s="65">
        <v>26.2</v>
      </c>
      <c r="D37" s="66">
        <f t="shared" si="2"/>
        <v>96066.666666666672</v>
      </c>
      <c r="E37" s="67">
        <v>1</v>
      </c>
      <c r="F37" s="67">
        <v>1.5</v>
      </c>
      <c r="G37" s="68" t="s">
        <v>120</v>
      </c>
      <c r="H37" s="69" t="s">
        <v>155</v>
      </c>
      <c r="I37" s="67">
        <f>IF([1]Main!$F$7="국가고유(17년)",26.468,IF([1]Main!$F$7="국가고유(22년)",26.868))</f>
        <v>26.468</v>
      </c>
      <c r="J37" s="67">
        <f t="shared" si="3"/>
        <v>97049.333333333328</v>
      </c>
      <c r="K37" s="67">
        <f>IF([1]Main!$H$3="상업용/공공",10,IF([1]Main!$H$3="주거용",300))</f>
        <v>300</v>
      </c>
      <c r="L37" s="67">
        <v>1.4</v>
      </c>
      <c r="M37" s="68" t="s">
        <v>120</v>
      </c>
      <c r="N37" s="65"/>
      <c r="O37" s="70">
        <v>18.899999999999999</v>
      </c>
      <c r="P37" s="65">
        <f>IF([1]Main!$G$7="국가고유(17년)",21.4,IF([1]Main!$G$7="국가고유(22년)",20.6))</f>
        <v>21.4</v>
      </c>
      <c r="Q37" s="67">
        <f>IF([1]Main!$G$7="국가고유(17년)",19.9,IF([1]Main!$G$7="국가고유(22년)",19.1))</f>
        <v>19.899999999999999</v>
      </c>
      <c r="R37" s="70" t="s">
        <v>122</v>
      </c>
      <c r="S37" s="71">
        <v>1</v>
      </c>
      <c r="T37" s="72" t="s">
        <v>51</v>
      </c>
      <c r="U37" s="73">
        <f>VLOOKUP($T37,매개변수기준!$J$1:$L$5,3)</f>
        <v>0.98</v>
      </c>
      <c r="V37" s="63"/>
      <c r="W37" s="63"/>
    </row>
    <row r="38" spans="1:23" s="64" customFormat="1" ht="15.4" customHeight="1" x14ac:dyDescent="0.6">
      <c r="A38" s="21" t="s">
        <v>153</v>
      </c>
      <c r="B38" s="53" t="s">
        <v>161</v>
      </c>
      <c r="C38" s="65">
        <v>27.6</v>
      </c>
      <c r="D38" s="66">
        <f t="shared" si="2"/>
        <v>101200</v>
      </c>
      <c r="E38" s="67">
        <v>1</v>
      </c>
      <c r="F38" s="67">
        <v>1.5</v>
      </c>
      <c r="G38" s="68" t="s">
        <v>120</v>
      </c>
      <c r="H38" s="69" t="s">
        <v>155</v>
      </c>
      <c r="I38" s="67" t="s">
        <v>113</v>
      </c>
      <c r="J38" s="67" t="s">
        <v>113</v>
      </c>
      <c r="K38" s="67">
        <f>IF([1]Main!$H$3="상업용/공공",10,IF([1]Main!$H$3="주거용",300))</f>
        <v>300</v>
      </c>
      <c r="L38" s="67">
        <v>1.4</v>
      </c>
      <c r="M38" s="68" t="s">
        <v>120</v>
      </c>
      <c r="N38" s="65"/>
      <c r="O38" s="70">
        <v>11.9</v>
      </c>
      <c r="P38" s="56" t="s">
        <v>113</v>
      </c>
      <c r="Q38" s="56" t="s">
        <v>113</v>
      </c>
      <c r="R38" s="70"/>
      <c r="S38" s="71">
        <v>1</v>
      </c>
      <c r="T38" s="72" t="s">
        <v>51</v>
      </c>
      <c r="U38" s="73">
        <f>VLOOKUP($T38,매개변수기준!$J$1:$L$5,3)</f>
        <v>0.98</v>
      </c>
      <c r="V38" s="63"/>
      <c r="W38" s="63"/>
    </row>
    <row r="39" spans="1:23" s="64" customFormat="1" ht="15.4" customHeight="1" x14ac:dyDescent="0.6">
      <c r="A39" s="21" t="s">
        <v>153</v>
      </c>
      <c r="B39" s="53" t="s">
        <v>162</v>
      </c>
      <c r="C39" s="65">
        <v>29.1</v>
      </c>
      <c r="D39" s="66">
        <f t="shared" si="2"/>
        <v>106700</v>
      </c>
      <c r="E39" s="67">
        <v>1</v>
      </c>
      <c r="F39" s="67">
        <v>1.5</v>
      </c>
      <c r="G39" s="68" t="s">
        <v>120</v>
      </c>
      <c r="H39" s="69" t="s">
        <v>155</v>
      </c>
      <c r="I39" s="67" t="s">
        <v>113</v>
      </c>
      <c r="J39" s="67" t="s">
        <v>113</v>
      </c>
      <c r="K39" s="67">
        <f>IF([1]Main!$H$3="상업용/공공",10,IF([1]Main!$H$3="주거용",300))</f>
        <v>300</v>
      </c>
      <c r="L39" s="67">
        <v>1.4</v>
      </c>
      <c r="M39" s="68" t="s">
        <v>120</v>
      </c>
      <c r="N39" s="65"/>
      <c r="O39" s="70">
        <v>8.9</v>
      </c>
      <c r="P39" s="56" t="s">
        <v>113</v>
      </c>
      <c r="Q39" s="56" t="s">
        <v>113</v>
      </c>
      <c r="R39" s="70"/>
      <c r="S39" s="71">
        <v>1</v>
      </c>
      <c r="T39" s="72" t="s">
        <v>51</v>
      </c>
      <c r="U39" s="73">
        <f>VLOOKUP($T39,매개변수기준!$J$1:$L$5,3)</f>
        <v>0.98</v>
      </c>
      <c r="V39" s="63"/>
      <c r="W39" s="63"/>
    </row>
    <row r="40" spans="1:23" s="64" customFormat="1" ht="15.4" customHeight="1" x14ac:dyDescent="0.6">
      <c r="A40" s="21" t="s">
        <v>153</v>
      </c>
      <c r="B40" s="53" t="s">
        <v>163</v>
      </c>
      <c r="C40" s="65">
        <v>26.6</v>
      </c>
      <c r="D40" s="66">
        <f t="shared" si="2"/>
        <v>97533.333333333328</v>
      </c>
      <c r="E40" s="67">
        <v>1</v>
      </c>
      <c r="F40" s="67">
        <v>1.5</v>
      </c>
      <c r="G40" s="68" t="s">
        <v>120</v>
      </c>
      <c r="H40" s="69" t="s">
        <v>155</v>
      </c>
      <c r="I40" s="67" t="s">
        <v>113</v>
      </c>
      <c r="J40" s="67" t="s">
        <v>113</v>
      </c>
      <c r="K40" s="67">
        <f>IF([1]Main!$H$3="상업용/공공",10,IF([1]Main!$H$3="주거용",300))</f>
        <v>300</v>
      </c>
      <c r="L40" s="67">
        <v>1.4</v>
      </c>
      <c r="M40" s="68" t="s">
        <v>120</v>
      </c>
      <c r="N40" s="65"/>
      <c r="O40" s="70">
        <v>20.7</v>
      </c>
      <c r="P40" s="56" t="s">
        <v>113</v>
      </c>
      <c r="Q40" s="56" t="s">
        <v>113</v>
      </c>
      <c r="R40" s="70"/>
      <c r="S40" s="71">
        <v>1</v>
      </c>
      <c r="T40" s="72" t="s">
        <v>51</v>
      </c>
      <c r="U40" s="73">
        <f>VLOOKUP($T40,매개변수기준!$J$1:$L$5,3)</f>
        <v>0.98</v>
      </c>
      <c r="V40" s="63"/>
      <c r="W40" s="63"/>
    </row>
    <row r="41" spans="1:23" s="64" customFormat="1" ht="15.4" customHeight="1" x14ac:dyDescent="0.6">
      <c r="A41" s="21" t="s">
        <v>153</v>
      </c>
      <c r="B41" s="53" t="s">
        <v>164</v>
      </c>
      <c r="C41" s="65">
        <v>26.6</v>
      </c>
      <c r="D41" s="66">
        <f t="shared" si="2"/>
        <v>97533.333333333328</v>
      </c>
      <c r="E41" s="67">
        <v>1</v>
      </c>
      <c r="F41" s="67">
        <v>1.5</v>
      </c>
      <c r="G41" s="68" t="s">
        <v>120</v>
      </c>
      <c r="H41" s="69" t="s">
        <v>155</v>
      </c>
      <c r="I41" s="67" t="s">
        <v>113</v>
      </c>
      <c r="J41" s="67" t="s">
        <v>113</v>
      </c>
      <c r="K41" s="67">
        <f>IF([1]Main!$H$3="상업용/공공",10,IF([1]Main!$H$3="주거용",300))</f>
        <v>300</v>
      </c>
      <c r="L41" s="67">
        <v>1.4</v>
      </c>
      <c r="M41" s="68" t="s">
        <v>120</v>
      </c>
      <c r="N41" s="65"/>
      <c r="O41" s="70">
        <v>20.7</v>
      </c>
      <c r="P41" s="56" t="s">
        <v>113</v>
      </c>
      <c r="Q41" s="56" t="s">
        <v>113</v>
      </c>
      <c r="R41" s="70"/>
      <c r="S41" s="71">
        <v>1</v>
      </c>
      <c r="T41" s="72" t="s">
        <v>51</v>
      </c>
      <c r="U41" s="73">
        <f>VLOOKUP($T41,매개변수기준!$J$1:$L$5,3)</f>
        <v>0.98</v>
      </c>
      <c r="V41" s="63"/>
      <c r="W41" s="63"/>
    </row>
    <row r="42" spans="1:23" s="64" customFormat="1" ht="15.4" customHeight="1" x14ac:dyDescent="0.6">
      <c r="A42" s="21" t="s">
        <v>153</v>
      </c>
      <c r="B42" s="53" t="s">
        <v>165</v>
      </c>
      <c r="C42" s="65">
        <v>29.2</v>
      </c>
      <c r="D42" s="66">
        <f t="shared" si="2"/>
        <v>107066.66666666667</v>
      </c>
      <c r="E42" s="67">
        <v>1</v>
      </c>
      <c r="F42" s="67">
        <v>1.5</v>
      </c>
      <c r="G42" s="68" t="s">
        <v>120</v>
      </c>
      <c r="H42" s="69" t="s">
        <v>155</v>
      </c>
      <c r="I42" s="67" t="s">
        <v>113</v>
      </c>
      <c r="J42" s="67" t="s">
        <v>113</v>
      </c>
      <c r="K42" s="67">
        <f>IF([1]Main!$H$3="상업용/공공",10,IF([1]Main!$H$3="주거용",300))</f>
        <v>300</v>
      </c>
      <c r="L42" s="67">
        <v>1.4</v>
      </c>
      <c r="M42" s="68" t="s">
        <v>120</v>
      </c>
      <c r="N42" s="65"/>
      <c r="O42" s="70">
        <v>28.2</v>
      </c>
      <c r="P42" s="65">
        <f>IF([1]Main!$G$7="국가고유(17년)",29,IF([1]Main!$G$7="국가고유(22년)",28.6))</f>
        <v>29</v>
      </c>
      <c r="Q42" s="67">
        <f>IF([1]Main!$G$7="국가고유(17년)",28.9,IF([1]Main!$G$7="국가고유(22년)",28.5))</f>
        <v>28.9</v>
      </c>
      <c r="R42" s="70" t="s">
        <v>122</v>
      </c>
      <c r="S42" s="71">
        <v>1</v>
      </c>
      <c r="T42" s="72" t="s">
        <v>51</v>
      </c>
      <c r="U42" s="73">
        <f>VLOOKUP($T42,매개변수기준!$J$1:$L$5,3)</f>
        <v>0.98</v>
      </c>
      <c r="V42" s="63"/>
      <c r="W42" s="63"/>
    </row>
    <row r="43" spans="1:23" s="64" customFormat="1" ht="15.4" customHeight="1" x14ac:dyDescent="0.6">
      <c r="A43" s="21" t="s">
        <v>153</v>
      </c>
      <c r="B43" s="53" t="s">
        <v>166</v>
      </c>
      <c r="C43" s="65">
        <v>29.2</v>
      </c>
      <c r="D43" s="66">
        <f t="shared" si="2"/>
        <v>107066.66666666667</v>
      </c>
      <c r="E43" s="67">
        <v>1</v>
      </c>
      <c r="F43" s="67">
        <v>0.1</v>
      </c>
      <c r="G43" s="68" t="s">
        <v>120</v>
      </c>
      <c r="H43" s="69" t="s">
        <v>155</v>
      </c>
      <c r="I43" s="67" t="s">
        <v>113</v>
      </c>
      <c r="J43" s="67" t="s">
        <v>113</v>
      </c>
      <c r="K43" s="67">
        <f>IF([1]Main!$H$3="상업용/공공",10,IF([1]Main!$H$3="주거용",300))</f>
        <v>300</v>
      </c>
      <c r="L43" s="67">
        <v>1.4</v>
      </c>
      <c r="M43" s="68" t="s">
        <v>120</v>
      </c>
      <c r="N43" s="65"/>
      <c r="O43" s="70">
        <v>28.2</v>
      </c>
      <c r="P43" s="56" t="s">
        <v>113</v>
      </c>
      <c r="Q43" s="56" t="s">
        <v>113</v>
      </c>
      <c r="R43" s="70"/>
      <c r="S43" s="71">
        <v>1</v>
      </c>
      <c r="T43" s="72" t="s">
        <v>51</v>
      </c>
      <c r="U43" s="73">
        <f>VLOOKUP($T43,매개변수기준!$J$1:$L$5,3)</f>
        <v>0.98</v>
      </c>
      <c r="V43" s="63"/>
      <c r="W43" s="63"/>
    </row>
    <row r="44" spans="1:23" s="64" customFormat="1" ht="15.4" customHeight="1" x14ac:dyDescent="0.6">
      <c r="A44" s="21" t="s">
        <v>153</v>
      </c>
      <c r="B44" s="53" t="s">
        <v>167</v>
      </c>
      <c r="C44" s="65">
        <v>22</v>
      </c>
      <c r="D44" s="66">
        <f t="shared" si="2"/>
        <v>80666.666666666672</v>
      </c>
      <c r="E44" s="67">
        <v>1</v>
      </c>
      <c r="F44" s="67">
        <v>1.5</v>
      </c>
      <c r="G44" s="68" t="s">
        <v>120</v>
      </c>
      <c r="H44" s="69" t="s">
        <v>155</v>
      </c>
      <c r="I44" s="67" t="s">
        <v>113</v>
      </c>
      <c r="J44" s="67" t="s">
        <v>113</v>
      </c>
      <c r="K44" s="67">
        <f>IF([1]Main!$H$3="상업용/공공",10,IF([1]Main!$H$3="주거용",300))</f>
        <v>300</v>
      </c>
      <c r="L44" s="67">
        <v>1.4</v>
      </c>
      <c r="M44" s="68" t="s">
        <v>120</v>
      </c>
      <c r="N44" s="65"/>
      <c r="O44" s="70">
        <v>28</v>
      </c>
      <c r="P44" s="56" t="s">
        <v>113</v>
      </c>
      <c r="Q44" s="56" t="s">
        <v>113</v>
      </c>
      <c r="R44" s="70"/>
      <c r="S44" s="71">
        <v>1</v>
      </c>
      <c r="T44" s="72" t="s">
        <v>54</v>
      </c>
      <c r="U44" s="73">
        <f>VLOOKUP($T44,매개변수기준!$J$1:$L$5,3)</f>
        <v>0.99</v>
      </c>
      <c r="V44" s="63"/>
      <c r="W44" s="63"/>
    </row>
    <row r="45" spans="1:23" s="64" customFormat="1" ht="15.4" customHeight="1" x14ac:dyDescent="0.6">
      <c r="A45" s="21" t="s">
        <v>168</v>
      </c>
      <c r="B45" s="53" t="s">
        <v>169</v>
      </c>
      <c r="C45" s="65">
        <v>12.1</v>
      </c>
      <c r="D45" s="66">
        <f t="shared" si="2"/>
        <v>44366.666666666664</v>
      </c>
      <c r="E45" s="67">
        <v>1</v>
      </c>
      <c r="F45" s="67">
        <v>0.1</v>
      </c>
      <c r="G45" s="68" t="s">
        <v>120</v>
      </c>
      <c r="H45" s="69" t="s">
        <v>155</v>
      </c>
      <c r="I45" s="67" t="s">
        <v>113</v>
      </c>
      <c r="J45" s="67" t="s">
        <v>113</v>
      </c>
      <c r="K45" s="67">
        <f>IF([1]Main!$H$3="상업용/공공",10,IF([1]Main!$H$3="주거용",300))</f>
        <v>300</v>
      </c>
      <c r="L45" s="67">
        <v>1.4</v>
      </c>
      <c r="M45" s="68" t="s">
        <v>120</v>
      </c>
      <c r="N45" s="65"/>
      <c r="O45" s="70">
        <v>38.700000000000003</v>
      </c>
      <c r="P45" s="56" t="s">
        <v>113</v>
      </c>
      <c r="Q45" s="56" t="s">
        <v>113</v>
      </c>
      <c r="R45" s="70"/>
      <c r="S45" s="71">
        <v>1</v>
      </c>
      <c r="T45" s="72" t="s">
        <v>57</v>
      </c>
      <c r="U45" s="73">
        <f>VLOOKUP($T45,매개변수기준!$J$1:$L$5,3)</f>
        <v>0.98</v>
      </c>
      <c r="V45" s="63"/>
      <c r="W45" s="63"/>
    </row>
    <row r="46" spans="1:23" s="64" customFormat="1" ht="15.4" customHeight="1" x14ac:dyDescent="0.6">
      <c r="A46" s="21" t="s">
        <v>168</v>
      </c>
      <c r="B46" s="53" t="s">
        <v>170</v>
      </c>
      <c r="C46" s="65">
        <v>12.1</v>
      </c>
      <c r="D46" s="66">
        <f t="shared" si="2"/>
        <v>44366.666666666664</v>
      </c>
      <c r="E46" s="67">
        <v>1</v>
      </c>
      <c r="F46" s="67">
        <v>0.1</v>
      </c>
      <c r="G46" s="68" t="s">
        <v>120</v>
      </c>
      <c r="H46" s="69" t="s">
        <v>155</v>
      </c>
      <c r="I46" s="67" t="s">
        <v>113</v>
      </c>
      <c r="J46" s="67" t="s">
        <v>113</v>
      </c>
      <c r="K46" s="67">
        <f>IF([1]Main!$H$3="상업용/공공",10,IF([1]Main!$H$3="주거용",300))</f>
        <v>300</v>
      </c>
      <c r="L46" s="67">
        <v>1.4</v>
      </c>
      <c r="M46" s="68" t="s">
        <v>120</v>
      </c>
      <c r="N46" s="65"/>
      <c r="O46" s="70">
        <v>38.700000000000003</v>
      </c>
      <c r="P46" s="56" t="s">
        <v>113</v>
      </c>
      <c r="Q46" s="56" t="s">
        <v>113</v>
      </c>
      <c r="R46" s="70"/>
      <c r="S46" s="71">
        <v>1</v>
      </c>
      <c r="T46" s="72" t="s">
        <v>57</v>
      </c>
      <c r="U46" s="73">
        <f>VLOOKUP($T46,매개변수기준!$J$1:$L$5,3)</f>
        <v>0.98</v>
      </c>
      <c r="V46" s="63"/>
      <c r="W46" s="63"/>
    </row>
    <row r="47" spans="1:23" s="64" customFormat="1" ht="15.4" customHeight="1" x14ac:dyDescent="0.6">
      <c r="A47" s="21" t="s">
        <v>168</v>
      </c>
      <c r="B47" s="53" t="s">
        <v>171</v>
      </c>
      <c r="C47" s="65">
        <v>70.8</v>
      </c>
      <c r="D47" s="66">
        <f t="shared" si="2"/>
        <v>259600</v>
      </c>
      <c r="E47" s="67">
        <v>1</v>
      </c>
      <c r="F47" s="67">
        <v>0.1</v>
      </c>
      <c r="G47" s="68" t="s">
        <v>120</v>
      </c>
      <c r="H47" s="69" t="s">
        <v>172</v>
      </c>
      <c r="I47" s="67" t="s">
        <v>113</v>
      </c>
      <c r="J47" s="67" t="s">
        <v>113</v>
      </c>
      <c r="K47" s="67">
        <v>300</v>
      </c>
      <c r="L47" s="67">
        <v>4</v>
      </c>
      <c r="M47" s="68" t="s">
        <v>120</v>
      </c>
      <c r="N47" s="65"/>
      <c r="O47" s="70">
        <v>2.4700000000000002</v>
      </c>
      <c r="P47" s="56" t="s">
        <v>113</v>
      </c>
      <c r="Q47" s="56" t="s">
        <v>113</v>
      </c>
      <c r="R47" s="70"/>
      <c r="S47" s="71">
        <v>1</v>
      </c>
      <c r="T47" s="72" t="s">
        <v>57</v>
      </c>
      <c r="U47" s="73">
        <f>VLOOKUP($T47,매개변수기준!$J$1:$L$5,3)</f>
        <v>0.98</v>
      </c>
      <c r="V47" s="63"/>
      <c r="W47" s="63"/>
    </row>
    <row r="48" spans="1:23" s="64" customFormat="1" ht="15.4" customHeight="1" x14ac:dyDescent="0.6">
      <c r="A48" s="21" t="s">
        <v>168</v>
      </c>
      <c r="B48" s="53" t="s">
        <v>173</v>
      </c>
      <c r="C48" s="65">
        <v>49.6</v>
      </c>
      <c r="D48" s="66">
        <f t="shared" si="2"/>
        <v>181866.66666666666</v>
      </c>
      <c r="E48" s="67">
        <v>1</v>
      </c>
      <c r="F48" s="67">
        <v>0.1</v>
      </c>
      <c r="G48" s="68" t="s">
        <v>120</v>
      </c>
      <c r="H48" s="69" t="s">
        <v>172</v>
      </c>
      <c r="I48" s="67" t="s">
        <v>113</v>
      </c>
      <c r="J48" s="67" t="s">
        <v>113</v>
      </c>
      <c r="K48" s="67">
        <v>300</v>
      </c>
      <c r="L48" s="67">
        <v>4</v>
      </c>
      <c r="M48" s="68" t="s">
        <v>120</v>
      </c>
      <c r="N48" s="65"/>
      <c r="O48" s="70">
        <v>7.06</v>
      </c>
      <c r="P48" s="56" t="s">
        <v>113</v>
      </c>
      <c r="Q48" s="56" t="s">
        <v>113</v>
      </c>
      <c r="R48" s="70"/>
      <c r="S48" s="71">
        <v>1</v>
      </c>
      <c r="T48" s="72" t="s">
        <v>57</v>
      </c>
      <c r="U48" s="73">
        <f>VLOOKUP($T48,매개변수기준!$J$1:$L$5,3)</f>
        <v>0.98</v>
      </c>
      <c r="V48" s="63"/>
      <c r="W48" s="63"/>
    </row>
    <row r="49" spans="1:23" s="64" customFormat="1" ht="15.4" customHeight="1" x14ac:dyDescent="0.6">
      <c r="A49" s="21" t="s">
        <v>168</v>
      </c>
      <c r="B49" s="53" t="s">
        <v>174</v>
      </c>
      <c r="C49" s="65">
        <v>15.3</v>
      </c>
      <c r="D49" s="66">
        <f t="shared" si="2"/>
        <v>56100</v>
      </c>
      <c r="E49" s="67">
        <v>1</v>
      </c>
      <c r="F49" s="67">
        <v>0.1</v>
      </c>
      <c r="G49" s="68" t="s">
        <v>120</v>
      </c>
      <c r="H49" s="69" t="s">
        <v>125</v>
      </c>
      <c r="I49" s="67">
        <f>IF([1]Main!$F$7="국가고유(17년)",15.312,IF([1]Main!$F$7="국가고유(22년)",15.281))</f>
        <v>15.311999999999999</v>
      </c>
      <c r="J49" s="67">
        <f>$I49*44*1000/12</f>
        <v>56144</v>
      </c>
      <c r="K49" s="67">
        <v>5</v>
      </c>
      <c r="L49" s="67">
        <v>0.1</v>
      </c>
      <c r="M49" s="68" t="s">
        <v>120</v>
      </c>
      <c r="N49" s="65"/>
      <c r="O49" s="70">
        <v>48</v>
      </c>
      <c r="P49" s="65">
        <f>IF([1]Main!$G$7="국가고유(17년)",54.7,IF([1]Main!$G$7="국가고유(22년)",54.7))</f>
        <v>54.7</v>
      </c>
      <c r="Q49" s="67">
        <f>IF([1]Main!$G$7="국가고유(17년)",49.4,IF([1]Main!$G$7="국가고유(22년)",49.4))</f>
        <v>49.4</v>
      </c>
      <c r="R49" s="70" t="s">
        <v>127</v>
      </c>
      <c r="S49" s="71">
        <v>1</v>
      </c>
      <c r="T49" s="72" t="s">
        <v>57</v>
      </c>
      <c r="U49" s="73">
        <f>VLOOKUP($T49,매개변수기준!$J$1:$L$5,3)</f>
        <v>0.98</v>
      </c>
      <c r="V49" s="63"/>
      <c r="W49" s="63"/>
    </row>
    <row r="50" spans="1:23" s="64" customFormat="1" ht="15.4" customHeight="1" x14ac:dyDescent="0.6">
      <c r="A50" s="21" t="s">
        <v>168</v>
      </c>
      <c r="B50" s="53" t="s">
        <v>175</v>
      </c>
      <c r="C50" s="65" t="s">
        <v>113</v>
      </c>
      <c r="D50" s="67" t="s">
        <v>113</v>
      </c>
      <c r="E50" s="67" t="s">
        <v>113</v>
      </c>
      <c r="F50" s="67" t="s">
        <v>113</v>
      </c>
      <c r="G50" s="68" t="s">
        <v>120</v>
      </c>
      <c r="H50" s="69" t="s">
        <v>175</v>
      </c>
      <c r="I50" s="67">
        <f>IF([1]Main!$F$7="국가고유(17년)",15.272,IF([1]Main!$F$7="국가고유(22년)",15.236))</f>
        <v>15.272</v>
      </c>
      <c r="J50" s="67">
        <f>$I50*44*1000/12</f>
        <v>55997.333333333336</v>
      </c>
      <c r="K50" s="67">
        <v>5</v>
      </c>
      <c r="L50" s="67">
        <v>0.1</v>
      </c>
      <c r="M50" s="68" t="s">
        <v>120</v>
      </c>
      <c r="N50" s="65"/>
      <c r="O50" s="70"/>
      <c r="P50" s="65">
        <f>IF([1]Main!$G$7="국가고유(17년)",43.1,IF([1]Main!$G$7="국가고유(22년)",42.7))</f>
        <v>43.1</v>
      </c>
      <c r="Q50" s="67">
        <f>IF([1]Main!$G$7="국가고유(17년)",38.9,IF([1]Main!$G$7="국가고유(22년)",38.5))</f>
        <v>38.9</v>
      </c>
      <c r="R50" s="70" t="s">
        <v>176</v>
      </c>
      <c r="S50" s="71">
        <v>1</v>
      </c>
      <c r="T50" s="72" t="s">
        <v>57</v>
      </c>
      <c r="U50" s="73">
        <f>VLOOKUP($T50,매개변수기준!$J$1:$L$5,3)</f>
        <v>0.98</v>
      </c>
      <c r="V50" s="63"/>
      <c r="W50" s="63"/>
    </row>
    <row r="51" spans="1:23" s="64" customFormat="1" ht="15.4" customHeight="1" x14ac:dyDescent="0.6">
      <c r="A51" s="21" t="s">
        <v>168</v>
      </c>
      <c r="B51" s="53" t="s">
        <v>177</v>
      </c>
      <c r="C51" s="65" t="s">
        <v>113</v>
      </c>
      <c r="D51" s="67" t="s">
        <v>113</v>
      </c>
      <c r="E51" s="67" t="s">
        <v>113</v>
      </c>
      <c r="F51" s="67" t="s">
        <v>113</v>
      </c>
      <c r="G51" s="68" t="s">
        <v>120</v>
      </c>
      <c r="H51" s="69" t="s">
        <v>140</v>
      </c>
      <c r="I51" s="67">
        <f>IF([1]Main!$F$7="국가고유(17년)",17.454,IF([1]Main!$F$7="국가고유(22년)",17.453))</f>
        <v>17.454000000000001</v>
      </c>
      <c r="J51" s="67">
        <f>$I51*44*1000/12</f>
        <v>63998</v>
      </c>
      <c r="K51" s="67">
        <v>5</v>
      </c>
      <c r="L51" s="67">
        <v>0.1</v>
      </c>
      <c r="M51" s="68" t="s">
        <v>120</v>
      </c>
      <c r="N51" s="65"/>
      <c r="O51" s="70"/>
      <c r="P51" s="65">
        <f>IF([1]Main!$G$7="국가고유(17년)",63.6,IF([1]Main!$G$7="국가고유(22년)",63.4))</f>
        <v>63.6</v>
      </c>
      <c r="Q51" s="67">
        <f>IF([1]Main!$G$7="국가고유(17년)",58.4,IF([1]Main!$G$7="국가고유(22년)",58.3))</f>
        <v>58.4</v>
      </c>
      <c r="R51" s="70" t="s">
        <v>176</v>
      </c>
      <c r="S51" s="71">
        <v>1</v>
      </c>
      <c r="T51" s="72" t="s">
        <v>57</v>
      </c>
      <c r="U51" s="73">
        <f>VLOOKUP($T51,매개변수기준!$J$1:$L$5,3)</f>
        <v>0.98</v>
      </c>
      <c r="V51" s="63"/>
      <c r="W51" s="63"/>
    </row>
    <row r="52" spans="1:23" s="64" customFormat="1" ht="15.4" customHeight="1" x14ac:dyDescent="0.6">
      <c r="A52" s="21" t="s">
        <v>178</v>
      </c>
      <c r="B52" s="53" t="s">
        <v>179</v>
      </c>
      <c r="C52" s="65">
        <v>25</v>
      </c>
      <c r="D52" s="66">
        <f t="shared" ref="D52:D66" si="4">$C52*44*1000/12</f>
        <v>91666.666666666672</v>
      </c>
      <c r="E52" s="67">
        <v>30</v>
      </c>
      <c r="F52" s="67">
        <v>4</v>
      </c>
      <c r="G52" s="68" t="s">
        <v>120</v>
      </c>
      <c r="H52" s="69" t="s">
        <v>172</v>
      </c>
      <c r="I52" s="67" t="s">
        <v>113</v>
      </c>
      <c r="J52" s="67" t="s">
        <v>113</v>
      </c>
      <c r="K52" s="67">
        <v>300</v>
      </c>
      <c r="L52" s="67">
        <v>4</v>
      </c>
      <c r="M52" s="68" t="s">
        <v>120</v>
      </c>
      <c r="N52" s="65"/>
      <c r="O52" s="70">
        <v>10</v>
      </c>
      <c r="P52" s="56" t="s">
        <v>113</v>
      </c>
      <c r="Q52" s="56" t="s">
        <v>113</v>
      </c>
      <c r="R52" s="70"/>
      <c r="S52" s="71">
        <v>1</v>
      </c>
      <c r="T52" s="72" t="s">
        <v>51</v>
      </c>
      <c r="U52" s="73">
        <f>VLOOKUP($T52,매개변수기준!$J$1:$L$5,3)</f>
        <v>0.98</v>
      </c>
      <c r="V52" s="63"/>
      <c r="W52" s="63"/>
    </row>
    <row r="53" spans="1:23" s="64" customFormat="1" ht="15.4" customHeight="1" x14ac:dyDescent="0.6">
      <c r="A53" s="21" t="s">
        <v>178</v>
      </c>
      <c r="B53" s="53" t="s">
        <v>180</v>
      </c>
      <c r="C53" s="65">
        <v>39</v>
      </c>
      <c r="D53" s="66">
        <f t="shared" si="4"/>
        <v>143000</v>
      </c>
      <c r="E53" s="67">
        <v>30</v>
      </c>
      <c r="F53" s="67">
        <v>4</v>
      </c>
      <c r="G53" s="68" t="s">
        <v>120</v>
      </c>
      <c r="H53" s="69" t="s">
        <v>172</v>
      </c>
      <c r="I53" s="67" t="s">
        <v>113</v>
      </c>
      <c r="J53" s="67" t="s">
        <v>113</v>
      </c>
      <c r="K53" s="67">
        <v>300</v>
      </c>
      <c r="L53" s="67">
        <v>4</v>
      </c>
      <c r="M53" s="68" t="s">
        <v>120</v>
      </c>
      <c r="N53" s="65"/>
      <c r="O53" s="70" t="s">
        <v>113</v>
      </c>
      <c r="P53" s="56" t="s">
        <v>113</v>
      </c>
      <c r="Q53" s="56" t="s">
        <v>113</v>
      </c>
      <c r="R53" s="70"/>
      <c r="S53" s="71">
        <v>1</v>
      </c>
      <c r="T53" s="72" t="s">
        <v>51</v>
      </c>
      <c r="U53" s="73">
        <f>VLOOKUP($T53,매개변수기준!$J$1:$L$5,3)</f>
        <v>0.98</v>
      </c>
      <c r="V53" s="63"/>
      <c r="W53" s="63"/>
    </row>
    <row r="54" spans="1:23" s="64" customFormat="1" ht="15.4" customHeight="1" x14ac:dyDescent="0.6">
      <c r="A54" s="21" t="s">
        <v>178</v>
      </c>
      <c r="B54" s="53" t="s">
        <v>181</v>
      </c>
      <c r="C54" s="65">
        <v>20</v>
      </c>
      <c r="D54" s="66">
        <f t="shared" si="4"/>
        <v>73333.333333333328</v>
      </c>
      <c r="E54" s="67">
        <v>30</v>
      </c>
      <c r="F54" s="67">
        <v>4</v>
      </c>
      <c r="G54" s="68" t="s">
        <v>120</v>
      </c>
      <c r="H54" s="69" t="s">
        <v>172</v>
      </c>
      <c r="I54" s="67" t="s">
        <v>113</v>
      </c>
      <c r="J54" s="67" t="s">
        <v>113</v>
      </c>
      <c r="K54" s="67">
        <v>300</v>
      </c>
      <c r="L54" s="67">
        <v>4</v>
      </c>
      <c r="M54" s="68" t="s">
        <v>120</v>
      </c>
      <c r="N54" s="65"/>
      <c r="O54" s="70">
        <v>40.200000000000003</v>
      </c>
      <c r="P54" s="56" t="s">
        <v>113</v>
      </c>
      <c r="Q54" s="56" t="s">
        <v>113</v>
      </c>
      <c r="R54" s="70"/>
      <c r="S54" s="71">
        <v>1</v>
      </c>
      <c r="T54" s="72" t="s">
        <v>54</v>
      </c>
      <c r="U54" s="73">
        <f>VLOOKUP($T54,매개변수기준!$J$1:$L$5,3)</f>
        <v>0.99</v>
      </c>
      <c r="V54" s="63"/>
      <c r="W54" s="63"/>
    </row>
    <row r="55" spans="1:23" s="64" customFormat="1" ht="15.4" customHeight="1" x14ac:dyDescent="0.6">
      <c r="A55" s="21" t="s">
        <v>178</v>
      </c>
      <c r="B55" s="53" t="s">
        <v>182</v>
      </c>
      <c r="C55" s="65">
        <v>28.9</v>
      </c>
      <c r="D55" s="66">
        <f t="shared" si="4"/>
        <v>105966.66666666667</v>
      </c>
      <c r="E55" s="67">
        <v>1</v>
      </c>
      <c r="F55" s="67">
        <v>1.5</v>
      </c>
      <c r="G55" s="68" t="s">
        <v>120</v>
      </c>
      <c r="H55" s="69" t="s">
        <v>155</v>
      </c>
      <c r="I55" s="67" t="s">
        <v>113</v>
      </c>
      <c r="J55" s="67" t="s">
        <v>113</v>
      </c>
      <c r="K55" s="67">
        <f>IF([1]Main!$H$3="상업용/공공",10,IF([1]Main!$H$3="주거용",300))</f>
        <v>300</v>
      </c>
      <c r="L55" s="67">
        <v>1.4</v>
      </c>
      <c r="M55" s="68" t="s">
        <v>120</v>
      </c>
      <c r="N55" s="65"/>
      <c r="O55" s="70">
        <v>9.76</v>
      </c>
      <c r="P55" s="56" t="s">
        <v>113</v>
      </c>
      <c r="Q55" s="56" t="s">
        <v>113</v>
      </c>
      <c r="R55" s="70"/>
      <c r="S55" s="71">
        <v>1</v>
      </c>
      <c r="T55" s="72" t="s">
        <v>51</v>
      </c>
      <c r="U55" s="73">
        <f>VLOOKUP($T55,매개변수기준!$J$1:$L$5,3)</f>
        <v>0.98</v>
      </c>
      <c r="V55" s="63"/>
      <c r="W55" s="63"/>
    </row>
    <row r="56" spans="1:23" s="64" customFormat="1" ht="15.4" customHeight="1" x14ac:dyDescent="0.6">
      <c r="A56" s="21" t="s">
        <v>183</v>
      </c>
      <c r="B56" s="53" t="s">
        <v>184</v>
      </c>
      <c r="C56" s="65">
        <v>30.5</v>
      </c>
      <c r="D56" s="66">
        <f t="shared" si="4"/>
        <v>111833.33333333333</v>
      </c>
      <c r="E56" s="67">
        <v>30</v>
      </c>
      <c r="F56" s="67">
        <v>4</v>
      </c>
      <c r="G56" s="68" t="s">
        <v>120</v>
      </c>
      <c r="H56" s="69" t="s">
        <v>185</v>
      </c>
      <c r="I56" s="67" t="s">
        <v>113</v>
      </c>
      <c r="J56" s="67" t="s">
        <v>113</v>
      </c>
      <c r="K56" s="67">
        <v>300</v>
      </c>
      <c r="L56" s="67">
        <v>4</v>
      </c>
      <c r="M56" s="68" t="s">
        <v>120</v>
      </c>
      <c r="N56" s="65"/>
      <c r="O56" s="70">
        <v>15.6</v>
      </c>
      <c r="P56" s="56" t="s">
        <v>113</v>
      </c>
      <c r="Q56" s="56" t="s">
        <v>113</v>
      </c>
      <c r="R56" s="70"/>
      <c r="S56" s="71">
        <v>1</v>
      </c>
      <c r="T56" s="72" t="s">
        <v>51</v>
      </c>
      <c r="U56" s="73">
        <f>VLOOKUP($T56,매개변수기준!$J$1:$L$5,3)</f>
        <v>0.98</v>
      </c>
      <c r="V56" s="63"/>
      <c r="W56" s="63"/>
    </row>
    <row r="57" spans="1:23" s="64" customFormat="1" ht="15.4" customHeight="1" x14ac:dyDescent="0.6">
      <c r="A57" s="21" t="s">
        <v>183</v>
      </c>
      <c r="B57" s="53" t="s">
        <v>186</v>
      </c>
      <c r="C57" s="65">
        <v>26</v>
      </c>
      <c r="D57" s="66">
        <f t="shared" si="4"/>
        <v>95333.333333333328</v>
      </c>
      <c r="E57" s="67">
        <v>3</v>
      </c>
      <c r="F57" s="67">
        <v>2</v>
      </c>
      <c r="G57" s="68" t="s">
        <v>120</v>
      </c>
      <c r="H57" s="69" t="s">
        <v>172</v>
      </c>
      <c r="I57" s="67" t="s">
        <v>113</v>
      </c>
      <c r="J57" s="67" t="s">
        <v>113</v>
      </c>
      <c r="K57" s="67">
        <v>300</v>
      </c>
      <c r="L57" s="67">
        <v>4</v>
      </c>
      <c r="M57" s="68" t="s">
        <v>120</v>
      </c>
      <c r="N57" s="65"/>
      <c r="O57" s="70">
        <v>11.8</v>
      </c>
      <c r="P57" s="56" t="s">
        <v>113</v>
      </c>
      <c r="Q57" s="56" t="s">
        <v>113</v>
      </c>
      <c r="R57" s="70"/>
      <c r="S57" s="71">
        <v>1</v>
      </c>
      <c r="T57" s="72" t="s">
        <v>54</v>
      </c>
      <c r="U57" s="73">
        <f>VLOOKUP($T57,매개변수기준!$J$1:$L$5,3)</f>
        <v>0.99</v>
      </c>
      <c r="V57" s="63"/>
      <c r="W57" s="63"/>
    </row>
    <row r="58" spans="1:23" s="64" customFormat="1" ht="15.4" customHeight="1" x14ac:dyDescent="0.6">
      <c r="A58" s="21" t="s">
        <v>183</v>
      </c>
      <c r="B58" s="53" t="s">
        <v>187</v>
      </c>
      <c r="C58" s="65">
        <v>27.3</v>
      </c>
      <c r="D58" s="66">
        <f t="shared" si="4"/>
        <v>100100</v>
      </c>
      <c r="E58" s="67">
        <v>30</v>
      </c>
      <c r="F58" s="67">
        <v>4</v>
      </c>
      <c r="G58" s="68" t="s">
        <v>120</v>
      </c>
      <c r="H58" s="69" t="s">
        <v>185</v>
      </c>
      <c r="I58" s="67" t="s">
        <v>113</v>
      </c>
      <c r="J58" s="67" t="s">
        <v>113</v>
      </c>
      <c r="K58" s="67">
        <v>300</v>
      </c>
      <c r="L58" s="67">
        <v>4</v>
      </c>
      <c r="M58" s="68" t="s">
        <v>120</v>
      </c>
      <c r="N58" s="65"/>
      <c r="O58" s="70">
        <v>11.6</v>
      </c>
      <c r="P58" s="56" t="s">
        <v>113</v>
      </c>
      <c r="Q58" s="56" t="s">
        <v>113</v>
      </c>
      <c r="R58" s="70"/>
      <c r="S58" s="71">
        <v>1</v>
      </c>
      <c r="T58" s="72" t="s">
        <v>51</v>
      </c>
      <c r="U58" s="73">
        <f>VLOOKUP($T58,매개변수기준!$J$1:$L$5,3)</f>
        <v>0.98</v>
      </c>
      <c r="V58" s="63"/>
      <c r="W58" s="63"/>
    </row>
    <row r="59" spans="1:23" s="64" customFormat="1" ht="15.4" customHeight="1" x14ac:dyDescent="0.6">
      <c r="A59" s="21" t="s">
        <v>183</v>
      </c>
      <c r="B59" s="53" t="s">
        <v>188</v>
      </c>
      <c r="C59" s="65">
        <v>30.5</v>
      </c>
      <c r="D59" s="66">
        <f t="shared" si="4"/>
        <v>111833.33333333333</v>
      </c>
      <c r="E59" s="67">
        <v>30</v>
      </c>
      <c r="F59" s="67">
        <v>4</v>
      </c>
      <c r="G59" s="68" t="s">
        <v>120</v>
      </c>
      <c r="H59" s="69" t="s">
        <v>189</v>
      </c>
      <c r="I59" s="67" t="s">
        <v>113</v>
      </c>
      <c r="J59" s="67" t="s">
        <v>113</v>
      </c>
      <c r="K59" s="67">
        <v>200</v>
      </c>
      <c r="L59" s="67">
        <v>1</v>
      </c>
      <c r="M59" s="68" t="s">
        <v>120</v>
      </c>
      <c r="N59" s="65"/>
      <c r="O59" s="70">
        <v>29.5</v>
      </c>
      <c r="P59" s="56" t="s">
        <v>113</v>
      </c>
      <c r="Q59" s="56" t="s">
        <v>113</v>
      </c>
      <c r="R59" s="70"/>
      <c r="S59" s="71">
        <v>1</v>
      </c>
      <c r="T59" s="72" t="s">
        <v>51</v>
      </c>
      <c r="U59" s="73">
        <f>VLOOKUP($T59,매개변수기준!$J$1:$L$5,3)</f>
        <v>0.98</v>
      </c>
      <c r="V59" s="63"/>
      <c r="W59" s="63"/>
    </row>
    <row r="60" spans="1:23" s="64" customFormat="1" ht="15.4" customHeight="1" x14ac:dyDescent="0.6">
      <c r="A60" s="21" t="s">
        <v>183</v>
      </c>
      <c r="B60" s="53" t="s">
        <v>190</v>
      </c>
      <c r="C60" s="65">
        <v>19.3</v>
      </c>
      <c r="D60" s="66">
        <f t="shared" si="4"/>
        <v>70766.666666666672</v>
      </c>
      <c r="E60" s="67">
        <v>3</v>
      </c>
      <c r="F60" s="67">
        <v>0.6</v>
      </c>
      <c r="G60" s="68" t="s">
        <v>120</v>
      </c>
      <c r="H60" s="69" t="s">
        <v>121</v>
      </c>
      <c r="I60" s="67" t="s">
        <v>113</v>
      </c>
      <c r="J60" s="67" t="s">
        <v>113</v>
      </c>
      <c r="K60" s="67">
        <v>10</v>
      </c>
      <c r="L60" s="67">
        <v>0.6</v>
      </c>
      <c r="M60" s="68" t="s">
        <v>120</v>
      </c>
      <c r="N60" s="65"/>
      <c r="O60" s="70">
        <v>27</v>
      </c>
      <c r="P60" s="56" t="s">
        <v>113</v>
      </c>
      <c r="Q60" s="56" t="s">
        <v>113</v>
      </c>
      <c r="R60" s="70"/>
      <c r="S60" s="71">
        <v>1</v>
      </c>
      <c r="T60" s="72" t="s">
        <v>54</v>
      </c>
      <c r="U60" s="73">
        <f>VLOOKUP($T60,매개변수기준!$J$1:$L$5,3)</f>
        <v>0.99</v>
      </c>
      <c r="V60" s="63"/>
      <c r="W60" s="63"/>
    </row>
    <row r="61" spans="1:23" s="64" customFormat="1" ht="15.4" customHeight="1" x14ac:dyDescent="0.6">
      <c r="A61" s="21" t="s">
        <v>183</v>
      </c>
      <c r="B61" s="53" t="s">
        <v>191</v>
      </c>
      <c r="C61" s="65">
        <v>19.3</v>
      </c>
      <c r="D61" s="66">
        <f t="shared" si="4"/>
        <v>70766.666666666672</v>
      </c>
      <c r="E61" s="67">
        <v>3</v>
      </c>
      <c r="F61" s="67">
        <v>0.6</v>
      </c>
      <c r="G61" s="68" t="s">
        <v>120</v>
      </c>
      <c r="H61" s="69" t="s">
        <v>121</v>
      </c>
      <c r="I61" s="67" t="s">
        <v>113</v>
      </c>
      <c r="J61" s="67" t="s">
        <v>113</v>
      </c>
      <c r="K61" s="67">
        <v>10</v>
      </c>
      <c r="L61" s="67">
        <v>0.6</v>
      </c>
      <c r="M61" s="68" t="s">
        <v>120</v>
      </c>
      <c r="N61" s="65"/>
      <c r="O61" s="70">
        <v>27</v>
      </c>
      <c r="P61" s="65" t="str">
        <f>IF([1]Main!$G$7="국가고유(17년)","-",IF([1]Main!$G$7="국가고유(22년)",34.7))</f>
        <v>-</v>
      </c>
      <c r="Q61" s="67" t="str">
        <f>IF([1]Main!$G$7="국가고유(17년)","-",IF([1]Main!$G$7="국가고유(22년)",32.3))</f>
        <v>-</v>
      </c>
      <c r="R61" s="70"/>
      <c r="S61" s="71">
        <v>1</v>
      </c>
      <c r="T61" s="72" t="s">
        <v>54</v>
      </c>
      <c r="U61" s="73">
        <f>VLOOKUP($T61,매개변수기준!$J$1:$L$5,3)</f>
        <v>0.99</v>
      </c>
      <c r="V61" s="63"/>
      <c r="W61" s="63"/>
    </row>
    <row r="62" spans="1:23" s="64" customFormat="1" ht="15.4" customHeight="1" x14ac:dyDescent="0.6">
      <c r="A62" s="21" t="s">
        <v>183</v>
      </c>
      <c r="B62" s="53" t="s">
        <v>192</v>
      </c>
      <c r="C62" s="65">
        <v>21.7</v>
      </c>
      <c r="D62" s="66">
        <f t="shared" si="4"/>
        <v>79566.666666666672</v>
      </c>
      <c r="E62" s="67">
        <v>3</v>
      </c>
      <c r="F62" s="67">
        <v>0.6</v>
      </c>
      <c r="G62" s="68" t="s">
        <v>120</v>
      </c>
      <c r="H62" s="69" t="s">
        <v>172</v>
      </c>
      <c r="I62" s="67" t="s">
        <v>113</v>
      </c>
      <c r="J62" s="67" t="s">
        <v>113</v>
      </c>
      <c r="K62" s="67">
        <v>300</v>
      </c>
      <c r="L62" s="67">
        <v>4</v>
      </c>
      <c r="M62" s="68" t="s">
        <v>120</v>
      </c>
      <c r="N62" s="65"/>
      <c r="O62" s="70">
        <v>27.4</v>
      </c>
      <c r="P62" s="56" t="s">
        <v>113</v>
      </c>
      <c r="Q62" s="56" t="s">
        <v>113</v>
      </c>
      <c r="R62" s="70"/>
      <c r="S62" s="71">
        <v>1</v>
      </c>
      <c r="T62" s="72" t="s">
        <v>54</v>
      </c>
      <c r="U62" s="73">
        <f>VLOOKUP($T62,매개변수기준!$J$1:$L$5,3)</f>
        <v>0.99</v>
      </c>
      <c r="V62" s="63"/>
      <c r="W62" s="63"/>
    </row>
    <row r="63" spans="1:23" s="64" customFormat="1" ht="15.4" customHeight="1" x14ac:dyDescent="0.6">
      <c r="A63" s="21" t="s">
        <v>183</v>
      </c>
      <c r="B63" s="53" t="s">
        <v>193</v>
      </c>
      <c r="C63" s="65">
        <v>14.9</v>
      </c>
      <c r="D63" s="66">
        <f t="shared" si="4"/>
        <v>54633.333333333336</v>
      </c>
      <c r="E63" s="67">
        <v>1</v>
      </c>
      <c r="F63" s="67">
        <v>0.1</v>
      </c>
      <c r="G63" s="68" t="s">
        <v>120</v>
      </c>
      <c r="H63" s="69" t="s">
        <v>172</v>
      </c>
      <c r="I63" s="67" t="s">
        <v>113</v>
      </c>
      <c r="J63" s="67" t="s">
        <v>113</v>
      </c>
      <c r="K63" s="67">
        <v>300</v>
      </c>
      <c r="L63" s="67">
        <v>4</v>
      </c>
      <c r="M63" s="68" t="s">
        <v>120</v>
      </c>
      <c r="N63" s="65"/>
      <c r="O63" s="70">
        <v>50.4</v>
      </c>
      <c r="P63" s="56" t="s">
        <v>113</v>
      </c>
      <c r="Q63" s="56" t="s">
        <v>113</v>
      </c>
      <c r="R63" s="70"/>
      <c r="S63" s="71">
        <v>1</v>
      </c>
      <c r="T63" s="72" t="s">
        <v>57</v>
      </c>
      <c r="U63" s="73">
        <f>VLOOKUP($T63,매개변수기준!$J$1:$L$5,3)</f>
        <v>0.98</v>
      </c>
      <c r="V63" s="63"/>
      <c r="W63" s="63"/>
    </row>
    <row r="64" spans="1:23" s="64" customFormat="1" ht="15.4" customHeight="1" x14ac:dyDescent="0.6">
      <c r="A64" s="21" t="s">
        <v>183</v>
      </c>
      <c r="B64" s="53" t="s">
        <v>194</v>
      </c>
      <c r="C64" s="65">
        <v>14.9</v>
      </c>
      <c r="D64" s="66">
        <f t="shared" si="4"/>
        <v>54633.333333333336</v>
      </c>
      <c r="E64" s="67">
        <v>1</v>
      </c>
      <c r="F64" s="67">
        <v>0.1</v>
      </c>
      <c r="G64" s="68" t="s">
        <v>120</v>
      </c>
      <c r="H64" s="69" t="s">
        <v>172</v>
      </c>
      <c r="I64" s="67" t="s">
        <v>113</v>
      </c>
      <c r="J64" s="67" t="s">
        <v>113</v>
      </c>
      <c r="K64" s="67">
        <v>300</v>
      </c>
      <c r="L64" s="67">
        <v>4</v>
      </c>
      <c r="M64" s="68" t="s">
        <v>120</v>
      </c>
      <c r="N64" s="65"/>
      <c r="O64" s="70">
        <v>50.4</v>
      </c>
      <c r="P64" s="56" t="s">
        <v>113</v>
      </c>
      <c r="Q64" s="56" t="s">
        <v>113</v>
      </c>
      <c r="R64" s="70"/>
      <c r="S64" s="71">
        <v>1</v>
      </c>
      <c r="T64" s="72" t="s">
        <v>57</v>
      </c>
      <c r="U64" s="73">
        <f>VLOOKUP($T64,매개변수기준!$J$1:$L$5,3)</f>
        <v>0.98</v>
      </c>
      <c r="V64" s="63"/>
      <c r="W64" s="63"/>
    </row>
    <row r="65" spans="1:23" s="64" customFormat="1" ht="15.4" customHeight="1" x14ac:dyDescent="0.6">
      <c r="A65" s="21" t="s">
        <v>183</v>
      </c>
      <c r="B65" s="53" t="s">
        <v>195</v>
      </c>
      <c r="C65" s="65">
        <v>14.9</v>
      </c>
      <c r="D65" s="66">
        <f t="shared" si="4"/>
        <v>54633.333333333336</v>
      </c>
      <c r="E65" s="67">
        <v>1</v>
      </c>
      <c r="F65" s="67">
        <v>0.1</v>
      </c>
      <c r="G65" s="68" t="s">
        <v>120</v>
      </c>
      <c r="H65" s="75" t="s">
        <v>172</v>
      </c>
      <c r="I65" s="67" t="s">
        <v>113</v>
      </c>
      <c r="J65" s="67" t="s">
        <v>113</v>
      </c>
      <c r="K65" s="67">
        <v>300</v>
      </c>
      <c r="L65" s="67">
        <v>4</v>
      </c>
      <c r="M65" s="68" t="s">
        <v>120</v>
      </c>
      <c r="N65" s="65"/>
      <c r="O65" s="70">
        <v>50.4</v>
      </c>
      <c r="P65" s="56" t="s">
        <v>113</v>
      </c>
      <c r="Q65" s="56" t="s">
        <v>113</v>
      </c>
      <c r="R65" s="70"/>
      <c r="S65" s="71">
        <v>1</v>
      </c>
      <c r="T65" s="72" t="s">
        <v>57</v>
      </c>
      <c r="U65" s="73">
        <f>VLOOKUP($T65,매개변수기준!$J$1:$L$5,3)</f>
        <v>0.98</v>
      </c>
      <c r="V65" s="63"/>
      <c r="W65" s="63"/>
    </row>
    <row r="66" spans="1:23" s="64" customFormat="1" ht="15.4" customHeight="1" x14ac:dyDescent="0.6">
      <c r="A66" s="21" t="s">
        <v>183</v>
      </c>
      <c r="B66" s="53" t="s">
        <v>196</v>
      </c>
      <c r="C66" s="65">
        <v>27.3</v>
      </c>
      <c r="D66" s="66">
        <f t="shared" si="4"/>
        <v>100100</v>
      </c>
      <c r="E66" s="67">
        <v>30</v>
      </c>
      <c r="F66" s="67">
        <v>4</v>
      </c>
      <c r="G66" s="68" t="s">
        <v>120</v>
      </c>
      <c r="H66" s="75" t="s">
        <v>172</v>
      </c>
      <c r="I66" s="67" t="s">
        <v>113</v>
      </c>
      <c r="J66" s="67" t="s">
        <v>113</v>
      </c>
      <c r="K66" s="67">
        <v>300</v>
      </c>
      <c r="L66" s="67">
        <v>4</v>
      </c>
      <c r="M66" s="68" t="s">
        <v>120</v>
      </c>
      <c r="N66" s="65"/>
      <c r="O66" s="70">
        <v>11.6</v>
      </c>
      <c r="P66" s="56" t="s">
        <v>113</v>
      </c>
      <c r="Q66" s="56" t="s">
        <v>113</v>
      </c>
      <c r="R66" s="70"/>
      <c r="S66" s="71">
        <v>1</v>
      </c>
      <c r="T66" s="72" t="s">
        <v>51</v>
      </c>
      <c r="U66" s="73">
        <f>VLOOKUP($T66,매개변수기준!$J$1:$L$5,3)</f>
        <v>0.98</v>
      </c>
      <c r="V66" s="63"/>
      <c r="W66" s="63"/>
    </row>
    <row r="67" spans="1:23" s="2" customFormat="1" ht="15.4" customHeight="1" x14ac:dyDescent="0.6">
      <c r="A67" s="21" t="s">
        <v>197</v>
      </c>
      <c r="B67" s="53" t="s">
        <v>198</v>
      </c>
      <c r="C67" s="65"/>
      <c r="D67" s="67"/>
      <c r="E67" s="67"/>
      <c r="F67" s="67"/>
      <c r="G67" s="68" t="s">
        <v>199</v>
      </c>
      <c r="H67" s="75" t="s">
        <v>197</v>
      </c>
      <c r="I67" s="67" t="s">
        <v>113</v>
      </c>
      <c r="J67" s="67">
        <f>IF([1]Main!$F$7="국가고유(17년)",0.4401*1000,IF([1]Main!$F$7="국가고유(22년)",0.4403*1000))</f>
        <v>440.09999999999997</v>
      </c>
      <c r="K67" s="67">
        <f>IF([1]Main!$F$7="국가고유(17년)",0.0034,IF([1]Main!$F$7="국가고유(22년)",0.0116))</f>
        <v>3.3999999999999998E-3</v>
      </c>
      <c r="L67" s="67">
        <f>IF([1]Main!$F$7="국가고유(17년)",0.0082,IF([1]Main!$F$7="국가고유(22년)",0.0093))</f>
        <v>8.2000000000000007E-3</v>
      </c>
      <c r="M67" s="68" t="s">
        <v>199</v>
      </c>
      <c r="N67" s="65"/>
      <c r="O67" s="76" t="s">
        <v>113</v>
      </c>
      <c r="P67" s="65">
        <f>IF([1]Main!$G$7="국가고유(17년)",8.9,IF([1]Main!$G$7="국가고유(22년)",8.9))</f>
        <v>8.9</v>
      </c>
      <c r="Q67" s="67">
        <f>IF([1]Main!$G$7="국가고유(17년)",8.9,IF([1]Main!$G$7="국가고유(22년)",8.9))</f>
        <v>8.9</v>
      </c>
      <c r="R67" s="70" t="s">
        <v>200</v>
      </c>
      <c r="S67" s="71">
        <v>1</v>
      </c>
      <c r="T67" s="72"/>
      <c r="U67" s="77">
        <v>1</v>
      </c>
      <c r="V67" s="1"/>
      <c r="W67" s="1"/>
    </row>
    <row r="68" spans="1:23" s="2" customFormat="1" ht="15.4" customHeight="1" x14ac:dyDescent="0.6">
      <c r="A68" s="78" t="s">
        <v>197</v>
      </c>
      <c r="B68" s="79" t="s">
        <v>201</v>
      </c>
      <c r="C68" s="80"/>
      <c r="D68" s="81"/>
      <c r="E68" s="81"/>
      <c r="F68" s="81"/>
      <c r="G68" s="82" t="s">
        <v>199</v>
      </c>
      <c r="H68" s="83" t="s">
        <v>197</v>
      </c>
      <c r="I68" s="81" t="s">
        <v>113</v>
      </c>
      <c r="J68" s="81">
        <f>IF([1]Main!$F$7="국가고유(17년)",0.4567*1000,IF([1]Main!$F$7="국가고유(22년)",0.4747*1000))</f>
        <v>456.7</v>
      </c>
      <c r="K68" s="81">
        <f>IF([1]Main!$F$7="국가고유(17년)",0.0036,IF([1]Main!$F$7="국가고유(22년)",0.0125))</f>
        <v>3.5999999999999999E-3</v>
      </c>
      <c r="L68" s="81">
        <f>IF([1]Main!$F$7="국가고유(17년)",0.0085,IF([1]Main!$F$7="국가고유(22년)",0.01))</f>
        <v>8.5000000000000006E-3</v>
      </c>
      <c r="M68" s="82" t="s">
        <v>199</v>
      </c>
      <c r="N68" s="80"/>
      <c r="O68" s="84" t="s">
        <v>113</v>
      </c>
      <c r="P68" s="80">
        <f>IF([1]Main!$G$7="국가고유(17년)",9.6,IF([1]Main!$G$7="국가고유(22년)",9.6))</f>
        <v>9.6</v>
      </c>
      <c r="Q68" s="81">
        <f>IF([1]Main!$G$7="국가고유(17년)",9.6,IF([1]Main!$G$7="국가고유(22년)",9.6))</f>
        <v>9.6</v>
      </c>
      <c r="R68" s="85" t="s">
        <v>200</v>
      </c>
      <c r="S68" s="86"/>
      <c r="T68" s="87"/>
      <c r="U68" s="88"/>
      <c r="V68" s="1"/>
      <c r="W68" s="1"/>
    </row>
    <row r="69" spans="1:23" s="2" customFormat="1" ht="15.4" customHeight="1" thickBot="1" x14ac:dyDescent="0.65">
      <c r="A69" s="89" t="s">
        <v>202</v>
      </c>
      <c r="B69" s="53" t="s">
        <v>203</v>
      </c>
      <c r="C69" s="90"/>
      <c r="D69" s="91"/>
      <c r="E69" s="91"/>
      <c r="F69" s="91"/>
      <c r="G69" s="92"/>
      <c r="H69" s="93" t="s">
        <v>202</v>
      </c>
      <c r="I69" s="81" t="s">
        <v>113</v>
      </c>
      <c r="J69" s="56">
        <f>56373</f>
        <v>56373</v>
      </c>
      <c r="K69" s="56">
        <f>1.278</f>
        <v>1.278</v>
      </c>
      <c r="L69" s="56">
        <f>0.166</f>
        <v>0.16600000000000001</v>
      </c>
      <c r="M69" s="57" t="s">
        <v>120</v>
      </c>
      <c r="N69" s="94"/>
      <c r="O69" s="94"/>
      <c r="P69" s="94"/>
      <c r="Q69" s="94"/>
      <c r="R69" s="94"/>
      <c r="S69" s="94"/>
      <c r="T69" s="94"/>
      <c r="U69" s="95"/>
    </row>
    <row r="70" spans="1:23" s="2" customFormat="1" ht="15.4" customHeight="1" thickBot="1" x14ac:dyDescent="0.65">
      <c r="A70" s="89" t="s">
        <v>202</v>
      </c>
      <c r="B70" s="53" t="s">
        <v>204</v>
      </c>
      <c r="C70" s="96"/>
      <c r="D70" s="97"/>
      <c r="E70" s="97"/>
      <c r="F70" s="97"/>
      <c r="G70" s="98"/>
      <c r="H70" s="75" t="s">
        <v>202</v>
      </c>
      <c r="I70" s="81" t="s">
        <v>113</v>
      </c>
      <c r="J70" s="67">
        <f>60760</f>
        <v>60760</v>
      </c>
      <c r="K70" s="67">
        <f>2.053</f>
        <v>2.0529999999999999</v>
      </c>
      <c r="L70" s="67">
        <f>0.549</f>
        <v>0.54900000000000004</v>
      </c>
      <c r="M70" s="57" t="s">
        <v>120</v>
      </c>
      <c r="U70" s="99"/>
    </row>
    <row r="71" spans="1:23" s="2" customFormat="1" ht="15.4" customHeight="1" thickBot="1" x14ac:dyDescent="0.65">
      <c r="A71" s="100" t="s">
        <v>202</v>
      </c>
      <c r="B71" s="101" t="s">
        <v>205</v>
      </c>
      <c r="C71" s="102"/>
      <c r="D71" s="103"/>
      <c r="E71" s="103"/>
      <c r="F71" s="103"/>
      <c r="G71" s="104"/>
      <c r="H71" s="105" t="s">
        <v>202</v>
      </c>
      <c r="I71" s="106" t="s">
        <v>113</v>
      </c>
      <c r="J71" s="106">
        <f>59510</f>
        <v>59510</v>
      </c>
      <c r="K71" s="106">
        <f>1.832</f>
        <v>1.8320000000000001</v>
      </c>
      <c r="L71" s="106">
        <f>0.44</f>
        <v>0.44</v>
      </c>
      <c r="M71" s="57" t="s">
        <v>120</v>
      </c>
      <c r="N71" s="107"/>
      <c r="O71" s="107"/>
      <c r="P71" s="107"/>
      <c r="Q71" s="107"/>
      <c r="R71" s="107"/>
      <c r="S71" s="107"/>
      <c r="T71" s="107"/>
      <c r="U71" s="108"/>
    </row>
    <row r="72" spans="1:23" ht="17.25" thickTop="1" x14ac:dyDescent="0.6"/>
  </sheetData>
  <phoneticPr fontId="1" type="noConversion"/>
  <conditionalFormatting sqref="A4:B10">
    <cfRule type="expression" dxfId="7" priority="2">
      <formula>A4=A3</formula>
    </cfRule>
  </conditionalFormatting>
  <conditionalFormatting sqref="B11">
    <cfRule type="expression" dxfId="6" priority="5">
      <formula>B11=#REF!</formula>
    </cfRule>
  </conditionalFormatting>
  <conditionalFormatting sqref="B14:B17 B19:B20 B22 G22 A52:B52">
    <cfRule type="expression" dxfId="5" priority="7">
      <formula>A14=A11</formula>
    </cfRule>
  </conditionalFormatting>
  <conditionalFormatting sqref="B18 B21 B23">
    <cfRule type="expression" dxfId="4" priority="8">
      <formula>B18=B14</formula>
    </cfRule>
  </conditionalFormatting>
  <conditionalFormatting sqref="B27 B35 B51">
    <cfRule type="expression" dxfId="3" priority="6">
      <formula>B27=B25</formula>
    </cfRule>
  </conditionalFormatting>
  <conditionalFormatting sqref="B67:B71">
    <cfRule type="expression" dxfId="2" priority="1">
      <formula>B67=B66</formula>
    </cfRule>
  </conditionalFormatting>
  <conditionalFormatting sqref="G4:G21 A11 A12:B12 B13 A13:A31 B24:B26 B28:B31 A32:B33 B34 A34:A36 B36 A37:B49 B50 A50:A51 A53:B66">
    <cfRule type="expression" dxfId="1" priority="4">
      <formula>A4=A3</formula>
    </cfRule>
  </conditionalFormatting>
  <conditionalFormatting sqref="H4:H71 M4:M71 G23:G68 A66:A71">
    <cfRule type="expression" dxfId="0" priority="3">
      <formula>A4=A3</formula>
    </cfRule>
  </conditionalFormatting>
  <dataValidations count="1">
    <dataValidation allowBlank="1" showInputMessage="1" showErrorMessage="1" promptTitle="국가 고유 온실가스 배출계수" prompt="1. 국가고유(17년) : 제 7차 개정('11~'15년 유통 시료)_x000a_2. 국가고유(22년) : 제 8차 개정('16~'20년 유통 시료)" sqref="I2:M2" xr:uid="{141BCD49-6436-4620-99F1-51213A5DBEB8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분류</vt:lpstr>
      <vt:lpstr>관리기준</vt:lpstr>
      <vt:lpstr>매개변수기준</vt:lpstr>
      <vt:lpstr>연료별 매개변수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jungah lee</dc:creator>
  <cp:lastModifiedBy>jungah lee</cp:lastModifiedBy>
  <dcterms:created xsi:type="dcterms:W3CDTF">2025-03-23T02:26:43Z</dcterms:created>
  <dcterms:modified xsi:type="dcterms:W3CDTF">2025-03-23T05:40:27Z</dcterms:modified>
</cp:coreProperties>
</file>