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92AA79F-E43E-42C4-80AE-22581C6FC456}" xr6:coauthVersionLast="36" xr6:coauthVersionMax="47" xr10:uidLastSave="{00000000-0000-0000-0000-000000000000}"/>
  <bookViews>
    <workbookView xWindow="0" yWindow="0" windowWidth="13224" windowHeight="5508" xr2:uid="{555E149F-F4D5-4474-9DDD-D9413E067402}"/>
  </bookViews>
  <sheets>
    <sheet name="Details" sheetId="12" r:id="rId1"/>
    <sheet name="Financial Goals" sheetId="6" r:id="rId2"/>
    <sheet name="Income" sheetId="2" r:id="rId3"/>
    <sheet name="Expenses" sheetId="1" r:id="rId4"/>
    <sheet name="Amortisation Table - Car Loan" sheetId="7" r:id="rId5"/>
    <sheet name="Insurance Policies" sheetId="13" r:id="rId6"/>
    <sheet name="Investment Plan" sheetId="5" r:id="rId7"/>
    <sheet name="Cash Flow &amp; Balance Sheet" sheetId="3" r:id="rId8"/>
    <sheet name="Retirement Corpus" sheetId="14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3" i="3" l="1"/>
  <c r="E15" i="14" l="1"/>
  <c r="C23" i="3"/>
  <c r="C22" i="3"/>
  <c r="P13" i="5"/>
  <c r="D7" i="6"/>
  <c r="H7" i="6" s="1"/>
  <c r="O18" i="3" s="1"/>
  <c r="N18" i="3"/>
  <c r="N11" i="3"/>
  <c r="P7" i="5"/>
  <c r="D10" i="6"/>
  <c r="H10" i="6" s="1"/>
  <c r="P9" i="5"/>
  <c r="P10" i="5"/>
  <c r="E38" i="14" a="1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1" i="14"/>
  <c r="E9" i="14"/>
  <c r="E38" i="14" l="1"/>
  <c r="P8" i="5"/>
  <c r="C11" i="3"/>
  <c r="O59" i="3"/>
  <c r="L21" i="5" l="1"/>
  <c r="C16" i="1"/>
  <c r="B16" i="1"/>
  <c r="K29" i="3"/>
  <c r="K30" i="3"/>
  <c r="K31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14" i="3"/>
  <c r="C13" i="1"/>
  <c r="B14" i="1"/>
  <c r="N27" i="13"/>
  <c r="N28" i="13"/>
  <c r="N29" i="13"/>
  <c r="N30" i="13"/>
  <c r="N31" i="13"/>
  <c r="N32" i="13"/>
  <c r="N33" i="13"/>
  <c r="N34" i="13"/>
  <c r="N35" i="13"/>
  <c r="M27" i="13"/>
  <c r="M28" i="13"/>
  <c r="M29" i="13"/>
  <c r="M30" i="13"/>
  <c r="M31" i="13"/>
  <c r="M32" i="13"/>
  <c r="M33" i="13"/>
  <c r="M34" i="13"/>
  <c r="M35" i="13"/>
  <c r="N6" i="13"/>
  <c r="M10" i="13" s="1"/>
  <c r="H12" i="13"/>
  <c r="G16" i="13"/>
  <c r="G17" i="13"/>
  <c r="G18" i="13"/>
  <c r="G15" i="13"/>
  <c r="G19" i="13" s="1"/>
  <c r="D6" i="13"/>
  <c r="C12" i="13" s="1"/>
  <c r="H15" i="13" l="1"/>
  <c r="H18" i="13"/>
  <c r="M25" i="13"/>
  <c r="M21" i="13"/>
  <c r="M17" i="13"/>
  <c r="M13" i="13"/>
  <c r="C23" i="13"/>
  <c r="H17" i="13"/>
  <c r="M24" i="13"/>
  <c r="M20" i="13"/>
  <c r="M16" i="13"/>
  <c r="M12" i="13"/>
  <c r="H16" i="13"/>
  <c r="M9" i="13"/>
  <c r="M23" i="13"/>
  <c r="M19" i="13"/>
  <c r="M15" i="13"/>
  <c r="M11" i="13"/>
  <c r="M26" i="13"/>
  <c r="M22" i="13"/>
  <c r="M18" i="13"/>
  <c r="M14" i="13"/>
  <c r="N9" i="13"/>
  <c r="C19" i="13"/>
  <c r="C9" i="13"/>
  <c r="C15" i="13"/>
  <c r="C25" i="13"/>
  <c r="C11" i="13"/>
  <c r="C26" i="13"/>
  <c r="C22" i="13"/>
  <c r="C18" i="13"/>
  <c r="C14" i="13"/>
  <c r="C10" i="13"/>
  <c r="D11" i="13" s="1"/>
  <c r="D14" i="13"/>
  <c r="C21" i="13"/>
  <c r="C17" i="13"/>
  <c r="C13" i="13"/>
  <c r="D9" i="13"/>
  <c r="C24" i="13"/>
  <c r="C20" i="13"/>
  <c r="C16" i="13"/>
  <c r="D16" i="13" s="1"/>
  <c r="D19" i="13" l="1"/>
  <c r="N17" i="13"/>
  <c r="N16" i="13"/>
  <c r="H19" i="13"/>
  <c r="N19" i="13" s="1"/>
  <c r="D23" i="13"/>
  <c r="D26" i="13"/>
  <c r="D12" i="13"/>
  <c r="D25" i="13"/>
  <c r="D13" i="13"/>
  <c r="D10" i="13"/>
  <c r="N22" i="13" s="1"/>
  <c r="D18" i="13"/>
  <c r="D20" i="13"/>
  <c r="D17" i="13"/>
  <c r="D22" i="13"/>
  <c r="D15" i="13"/>
  <c r="D24" i="13"/>
  <c r="D21" i="13"/>
  <c r="N26" i="13" l="1"/>
  <c r="N20" i="13"/>
  <c r="N11" i="13"/>
  <c r="N18" i="13"/>
  <c r="N13" i="13"/>
  <c r="N24" i="13"/>
  <c r="N14" i="13"/>
  <c r="N25" i="13"/>
  <c r="N12" i="13"/>
  <c r="N15" i="13"/>
  <c r="N21" i="13"/>
  <c r="N10" i="13"/>
  <c r="N23" i="13"/>
  <c r="N16" i="3" l="1"/>
  <c r="C30" i="3" l="1"/>
  <c r="S14" i="5"/>
  <c r="R14" i="5"/>
  <c r="S11" i="5"/>
  <c r="S12" i="5"/>
  <c r="Q7" i="5"/>
  <c r="R13" i="5"/>
  <c r="N59" i="3" s="1"/>
  <c r="S13" i="5" l="1"/>
  <c r="S15" i="5" s="1"/>
  <c r="R7" i="5"/>
  <c r="S7" i="5" l="1"/>
  <c r="D15" i="6"/>
  <c r="H15" i="6" s="1"/>
  <c r="O45" i="3" s="1"/>
  <c r="O9" i="5" l="1"/>
  <c r="Q10" i="5" l="1"/>
  <c r="H13" i="5"/>
  <c r="H15" i="5" s="1"/>
  <c r="E11" i="5"/>
  <c r="H10" i="5"/>
  <c r="H9" i="5"/>
  <c r="F9" i="5"/>
  <c r="F11" i="5" s="1"/>
  <c r="H8" i="5"/>
  <c r="L20" i="5" s="1"/>
  <c r="F8" i="5"/>
  <c r="R10" i="5" l="1"/>
  <c r="H11" i="5"/>
  <c r="S10" i="5" l="1"/>
  <c r="B10" i="1"/>
  <c r="C9" i="1"/>
  <c r="O12" i="3"/>
  <c r="Q9" i="5" l="1"/>
  <c r="Q8" i="5"/>
  <c r="R8" i="5" s="1"/>
  <c r="N37" i="3" s="1"/>
  <c r="N11" i="5"/>
  <c r="D5" i="6"/>
  <c r="H5" i="6" s="1"/>
  <c r="O13" i="3" s="1"/>
  <c r="D4" i="6"/>
  <c r="H4" i="6" s="1"/>
  <c r="C8" i="2"/>
  <c r="I11" i="3" s="1"/>
  <c r="I12" i="3" s="1"/>
  <c r="I13" i="3" s="1"/>
  <c r="I14" i="3" s="1"/>
  <c r="I15" i="3" s="1"/>
  <c r="I16" i="3" s="1"/>
  <c r="I17" i="3" s="1"/>
  <c r="I18" i="3" s="1"/>
  <c r="I19" i="3" s="1"/>
  <c r="I20" i="3" s="1"/>
  <c r="I21" i="3" s="1"/>
  <c r="I22" i="3" s="1"/>
  <c r="I23" i="3" s="1"/>
  <c r="I24" i="3" s="1"/>
  <c r="I25" i="3" s="1"/>
  <c r="I26" i="3" s="1"/>
  <c r="I27" i="3" s="1"/>
  <c r="I28" i="3" s="1"/>
  <c r="I29" i="3" s="1"/>
  <c r="I30" i="3" s="1"/>
  <c r="I31" i="3" s="1"/>
  <c r="I32" i="3" s="1"/>
  <c r="I33" i="3" s="1"/>
  <c r="I34" i="3" s="1"/>
  <c r="I35" i="3" s="1"/>
  <c r="I36" i="3" s="1"/>
  <c r="I37" i="3" s="1"/>
  <c r="R9" i="5" l="1"/>
  <c r="N45" i="3" s="1"/>
  <c r="S8" i="5"/>
  <c r="R15" i="5"/>
  <c r="D35" i="5" s="1"/>
  <c r="Q11" i="5"/>
  <c r="D34" i="5" s="1"/>
  <c r="S9" i="5" l="1"/>
  <c r="C14" i="1" l="1"/>
  <c r="K11" i="3" s="1"/>
  <c r="D6" i="6"/>
  <c r="H6" i="6" s="1"/>
  <c r="O16" i="3" s="1"/>
  <c r="D8" i="6"/>
  <c r="D9" i="6"/>
  <c r="D11" i="6"/>
  <c r="D12" i="6"/>
  <c r="H12" i="6" s="1"/>
  <c r="O14" i="3" s="1"/>
  <c r="D13" i="6"/>
  <c r="D14" i="6"/>
  <c r="H14" i="6" s="1"/>
  <c r="O29" i="3" s="1"/>
  <c r="K34" i="3" l="1"/>
  <c r="K36" i="3"/>
  <c r="K37" i="3"/>
  <c r="K35" i="3"/>
  <c r="K32" i="3"/>
  <c r="K33" i="3"/>
  <c r="H7" i="7"/>
  <c r="E6" i="7" s="1"/>
  <c r="H8" i="7"/>
  <c r="H10" i="7"/>
  <c r="B9" i="2"/>
  <c r="C7" i="2"/>
  <c r="G11" i="3" s="1"/>
  <c r="H13" i="6"/>
  <c r="O25" i="3" s="1"/>
  <c r="H11" i="6"/>
  <c r="O43" i="3" s="1"/>
  <c r="H9" i="6"/>
  <c r="O38" i="3" s="1"/>
  <c r="H8" i="6"/>
  <c r="O35" i="3" s="1"/>
  <c r="O8" i="5"/>
  <c r="G12" i="3" l="1"/>
  <c r="J11" i="3"/>
  <c r="F21" i="5"/>
  <c r="F24" i="5"/>
  <c r="F22" i="5"/>
  <c r="F23" i="5"/>
  <c r="H11" i="7"/>
  <c r="B15" i="1" s="1"/>
  <c r="C9" i="2"/>
  <c r="O7" i="5"/>
  <c r="O11" i="5" s="1"/>
  <c r="C13" i="3" s="1"/>
  <c r="C6" i="1"/>
  <c r="C7" i="1"/>
  <c r="C8" i="1"/>
  <c r="C5" i="1"/>
  <c r="F28" i="5" l="1"/>
  <c r="C27" i="5"/>
  <c r="C23" i="5"/>
  <c r="C22" i="5"/>
  <c r="C26" i="5"/>
  <c r="C24" i="5"/>
  <c r="C29" i="5"/>
  <c r="C25" i="5"/>
  <c r="C21" i="5"/>
  <c r="C28" i="5"/>
  <c r="C10" i="3"/>
  <c r="G13" i="3"/>
  <c r="J12" i="3"/>
  <c r="C10" i="1"/>
  <c r="F27" i="5"/>
  <c r="F25" i="5"/>
  <c r="F29" i="5"/>
  <c r="F26" i="5"/>
  <c r="C15" i="1"/>
  <c r="H12" i="7"/>
  <c r="H13" i="7" s="1"/>
  <c r="C7" i="7"/>
  <c r="J13" i="3" l="1"/>
  <c r="G14" i="3"/>
  <c r="K12" i="3"/>
  <c r="B10" i="7"/>
  <c r="B14" i="7"/>
  <c r="B18" i="7"/>
  <c r="B22" i="7"/>
  <c r="B26" i="7"/>
  <c r="B30" i="7"/>
  <c r="B34" i="7"/>
  <c r="B38" i="7"/>
  <c r="B42" i="7"/>
  <c r="B46" i="7"/>
  <c r="B50" i="7"/>
  <c r="B54" i="7"/>
  <c r="B58" i="7"/>
  <c r="B62" i="7"/>
  <c r="B66" i="7"/>
  <c r="B12" i="7"/>
  <c r="B16" i="7"/>
  <c r="B24" i="7"/>
  <c r="B32" i="7"/>
  <c r="B40" i="7"/>
  <c r="B52" i="7"/>
  <c r="B60" i="7"/>
  <c r="B13" i="7"/>
  <c r="B21" i="7"/>
  <c r="B29" i="7"/>
  <c r="B37" i="7"/>
  <c r="B45" i="7"/>
  <c r="B53" i="7"/>
  <c r="B61" i="7"/>
  <c r="B11" i="7"/>
  <c r="B15" i="7"/>
  <c r="B19" i="7"/>
  <c r="B23" i="7"/>
  <c r="B27" i="7"/>
  <c r="B31" i="7"/>
  <c r="B35" i="7"/>
  <c r="B39" i="7"/>
  <c r="B43" i="7"/>
  <c r="B47" i="7"/>
  <c r="B51" i="7"/>
  <c r="B55" i="7"/>
  <c r="B59" i="7"/>
  <c r="B63" i="7"/>
  <c r="B7" i="7"/>
  <c r="D7" i="7" s="1"/>
  <c r="E7" i="7" s="1"/>
  <c r="B8" i="7"/>
  <c r="B20" i="7"/>
  <c r="B28" i="7"/>
  <c r="B36" i="7"/>
  <c r="B44" i="7"/>
  <c r="B48" i="7"/>
  <c r="B56" i="7"/>
  <c r="B64" i="7"/>
  <c r="B9" i="7"/>
  <c r="B17" i="7"/>
  <c r="B25" i="7"/>
  <c r="B33" i="7"/>
  <c r="B41" i="7"/>
  <c r="B49" i="7"/>
  <c r="B57" i="7"/>
  <c r="B65" i="7"/>
  <c r="J14" i="3" l="1"/>
  <c r="G15" i="3"/>
  <c r="C8" i="7"/>
  <c r="D8" i="7" s="1"/>
  <c r="E8" i="7" s="1"/>
  <c r="C9" i="7" s="1"/>
  <c r="D9" i="7" s="1"/>
  <c r="E9" i="7" s="1"/>
  <c r="G16" i="3" l="1"/>
  <c r="J15" i="3"/>
  <c r="C10" i="7"/>
  <c r="D10" i="7" s="1"/>
  <c r="E10" i="7" s="1"/>
  <c r="C11" i="7" s="1"/>
  <c r="D11" i="7" s="1"/>
  <c r="E11" i="7" s="1"/>
  <c r="C12" i="7" s="1"/>
  <c r="D12" i="7" s="1"/>
  <c r="E12" i="7" s="1"/>
  <c r="C13" i="7" s="1"/>
  <c r="D13" i="7" s="1"/>
  <c r="E13" i="7" s="1"/>
  <c r="G17" i="3" l="1"/>
  <c r="J16" i="3"/>
  <c r="C14" i="7"/>
  <c r="D14" i="7" s="1"/>
  <c r="E14" i="7" s="1"/>
  <c r="J17" i="3" l="1"/>
  <c r="G18" i="3"/>
  <c r="C15" i="7"/>
  <c r="D15" i="7" s="1"/>
  <c r="E15" i="7" s="1"/>
  <c r="G19" i="3" l="1"/>
  <c r="J18" i="3"/>
  <c r="C16" i="7"/>
  <c r="D16" i="7" s="1"/>
  <c r="E16" i="7" s="1"/>
  <c r="G20" i="3" l="1"/>
  <c r="J19" i="3"/>
  <c r="C17" i="7"/>
  <c r="D17" i="7" s="1"/>
  <c r="E17" i="7" s="1"/>
  <c r="G21" i="3" l="1"/>
  <c r="J20" i="3"/>
  <c r="C18" i="7"/>
  <c r="D18" i="7" s="1"/>
  <c r="E18" i="7" s="1"/>
  <c r="J21" i="3" l="1"/>
  <c r="G22" i="3"/>
  <c r="C19" i="7"/>
  <c r="D19" i="7" s="1"/>
  <c r="E19" i="7" s="1"/>
  <c r="J22" i="3" l="1"/>
  <c r="G23" i="3"/>
  <c r="C20" i="7"/>
  <c r="D20" i="7" s="1"/>
  <c r="E20" i="7" s="1"/>
  <c r="J23" i="3" l="1"/>
  <c r="G24" i="3"/>
  <c r="C21" i="7"/>
  <c r="D21" i="7" s="1"/>
  <c r="E21" i="7" s="1"/>
  <c r="J24" i="3" l="1"/>
  <c r="G25" i="3"/>
  <c r="C22" i="7"/>
  <c r="D22" i="7" s="1"/>
  <c r="E22" i="7" s="1"/>
  <c r="G26" i="3" l="1"/>
  <c r="J25" i="3"/>
  <c r="C23" i="7"/>
  <c r="D23" i="7" s="1"/>
  <c r="E23" i="7" s="1"/>
  <c r="G27" i="3" l="1"/>
  <c r="J26" i="3"/>
  <c r="C24" i="7"/>
  <c r="D24" i="7" s="1"/>
  <c r="E24" i="7" s="1"/>
  <c r="G28" i="3" l="1"/>
  <c r="J27" i="3"/>
  <c r="C25" i="7"/>
  <c r="D25" i="7" s="1"/>
  <c r="E25" i="7" s="1"/>
  <c r="J28" i="3" l="1"/>
  <c r="G29" i="3"/>
  <c r="C26" i="7"/>
  <c r="D26" i="7" s="1"/>
  <c r="E26" i="7" s="1"/>
  <c r="J29" i="3" l="1"/>
  <c r="G30" i="3"/>
  <c r="C27" i="7"/>
  <c r="D27" i="7" s="1"/>
  <c r="E27" i="7" s="1"/>
  <c r="J30" i="3" l="1"/>
  <c r="G31" i="3"/>
  <c r="C28" i="7"/>
  <c r="D28" i="7" s="1"/>
  <c r="E28" i="7" s="1"/>
  <c r="G32" i="3" l="1"/>
  <c r="J31" i="3"/>
  <c r="C29" i="7"/>
  <c r="D29" i="7" s="1"/>
  <c r="E29" i="7" s="1"/>
  <c r="G33" i="3" l="1"/>
  <c r="J32" i="3"/>
  <c r="C30" i="7"/>
  <c r="D30" i="7" s="1"/>
  <c r="E30" i="7" s="1"/>
  <c r="J33" i="3" l="1"/>
  <c r="G34" i="3"/>
  <c r="C31" i="7"/>
  <c r="D31" i="7" s="1"/>
  <c r="E31" i="7" s="1"/>
  <c r="G35" i="3" l="1"/>
  <c r="J34" i="3"/>
  <c r="C32" i="7"/>
  <c r="D32" i="7" s="1"/>
  <c r="E32" i="7" s="1"/>
  <c r="G36" i="3" l="1"/>
  <c r="J35" i="3"/>
  <c r="C33" i="7"/>
  <c r="D33" i="7" s="1"/>
  <c r="E33" i="7" s="1"/>
  <c r="G37" i="3" l="1"/>
  <c r="J37" i="3" s="1"/>
  <c r="J36" i="3"/>
  <c r="C34" i="7"/>
  <c r="D34" i="7" s="1"/>
  <c r="E34" i="7" s="1"/>
  <c r="C35" i="7" l="1"/>
  <c r="D35" i="7" s="1"/>
  <c r="E35" i="7" s="1"/>
  <c r="C36" i="7" l="1"/>
  <c r="D36" i="7" s="1"/>
  <c r="E36" i="7" s="1"/>
  <c r="C37" i="7" l="1"/>
  <c r="D37" i="7" s="1"/>
  <c r="E37" i="7" s="1"/>
  <c r="C38" i="7" l="1"/>
  <c r="D38" i="7" s="1"/>
  <c r="E38" i="7" s="1"/>
  <c r="C39" i="7" l="1"/>
  <c r="D39" i="7" s="1"/>
  <c r="E39" i="7"/>
  <c r="C40" i="7" l="1"/>
  <c r="D40" i="7" s="1"/>
  <c r="E40" i="7" s="1"/>
  <c r="C41" i="7" l="1"/>
  <c r="D41" i="7" s="1"/>
  <c r="E41" i="7" s="1"/>
  <c r="C42" i="7" l="1"/>
  <c r="D42" i="7" s="1"/>
  <c r="E42" i="7" s="1"/>
  <c r="C43" i="7" l="1"/>
  <c r="D43" i="7" s="1"/>
  <c r="E43" i="7" s="1"/>
  <c r="C44" i="7" l="1"/>
  <c r="D44" i="7" s="1"/>
  <c r="E44" i="7" s="1"/>
  <c r="C45" i="7" l="1"/>
  <c r="D45" i="7" s="1"/>
  <c r="E45" i="7" s="1"/>
  <c r="C46" i="7" l="1"/>
  <c r="D46" i="7" s="1"/>
  <c r="E46" i="7" s="1"/>
  <c r="C47" i="7" l="1"/>
  <c r="D47" i="7" s="1"/>
  <c r="E47" i="7" s="1"/>
  <c r="C48" i="7" l="1"/>
  <c r="D48" i="7" s="1"/>
  <c r="E48" i="7" s="1"/>
  <c r="C49" i="7" l="1"/>
  <c r="D49" i="7" s="1"/>
  <c r="E49" i="7" s="1"/>
  <c r="C50" i="7" l="1"/>
  <c r="D50" i="7" s="1"/>
  <c r="E50" i="7" s="1"/>
  <c r="C51" i="7" l="1"/>
  <c r="D51" i="7" s="1"/>
  <c r="E51" i="7" s="1"/>
  <c r="C52" i="7" l="1"/>
  <c r="D52" i="7" s="1"/>
  <c r="E52" i="7" s="1"/>
  <c r="C53" i="7" l="1"/>
  <c r="D53" i="7" s="1"/>
  <c r="E53" i="7" s="1"/>
  <c r="C54" i="7" l="1"/>
  <c r="D54" i="7" s="1"/>
  <c r="E54" i="7" s="1"/>
  <c r="C55" i="7" l="1"/>
  <c r="D55" i="7" s="1"/>
  <c r="E55" i="7"/>
  <c r="C56" i="7" l="1"/>
  <c r="D56" i="7" s="1"/>
  <c r="E56" i="7" s="1"/>
  <c r="C57" i="7" l="1"/>
  <c r="D57" i="7" s="1"/>
  <c r="E57" i="7" s="1"/>
  <c r="C58" i="7" l="1"/>
  <c r="D58" i="7" s="1"/>
  <c r="E58" i="7" s="1"/>
  <c r="C59" i="7" l="1"/>
  <c r="D59" i="7" s="1"/>
  <c r="E59" i="7"/>
  <c r="C60" i="7" l="1"/>
  <c r="D60" i="7" s="1"/>
  <c r="E60" i="7" s="1"/>
  <c r="C61" i="7" l="1"/>
  <c r="D61" i="7" s="1"/>
  <c r="E61" i="7" s="1"/>
  <c r="C62" i="7" l="1"/>
  <c r="D62" i="7" s="1"/>
  <c r="E62" i="7" s="1"/>
  <c r="C63" i="7" l="1"/>
  <c r="D63" i="7" s="1"/>
  <c r="E63" i="7" s="1"/>
  <c r="C64" i="7" l="1"/>
  <c r="D64" i="7" s="1"/>
  <c r="E64" i="7" s="1"/>
  <c r="C65" i="7" l="1"/>
  <c r="D65" i="7" s="1"/>
  <c r="E65" i="7" s="1"/>
  <c r="C66" i="7" l="1"/>
  <c r="D66" i="7" s="1"/>
  <c r="E66" i="7" s="1"/>
  <c r="B18" i="1" l="1"/>
  <c r="C18" i="1"/>
  <c r="D28" i="5" l="1"/>
  <c r="E28" i="5" s="1"/>
  <c r="G28" i="5" s="1"/>
  <c r="D29" i="5"/>
  <c r="E29" i="5" s="1"/>
  <c r="G29" i="5" s="1"/>
  <c r="D27" i="5"/>
  <c r="E27" i="5" s="1"/>
  <c r="G27" i="5" s="1"/>
  <c r="D23" i="5"/>
  <c r="E23" i="5" s="1"/>
  <c r="G23" i="5" s="1"/>
  <c r="D22" i="5"/>
  <c r="E22" i="5" s="1"/>
  <c r="G22" i="5" s="1"/>
  <c r="D25" i="5"/>
  <c r="E25" i="5" s="1"/>
  <c r="G25" i="5" s="1"/>
  <c r="D26" i="5"/>
  <c r="E26" i="5" s="1"/>
  <c r="G26" i="5" s="1"/>
  <c r="D24" i="5"/>
  <c r="E24" i="5" s="1"/>
  <c r="G24" i="5" s="1"/>
  <c r="D21" i="5"/>
  <c r="E21" i="5" s="1"/>
  <c r="G21" i="5" s="1"/>
  <c r="F5" i="3" l="1"/>
  <c r="F6" i="3" s="1"/>
  <c r="F7" i="3" s="1"/>
  <c r="C12" i="3"/>
  <c r="C14" i="3" s="1"/>
  <c r="G30" i="5"/>
  <c r="L22" i="5" s="1"/>
  <c r="L11" i="3"/>
  <c r="L36" i="3" s="1"/>
  <c r="M36" i="3" s="1"/>
  <c r="P36" i="3" s="1"/>
  <c r="M22" i="5" l="1"/>
  <c r="M20" i="5"/>
  <c r="M21" i="5"/>
  <c r="D36" i="5"/>
  <c r="D37" i="5" s="1"/>
  <c r="L35" i="3"/>
  <c r="M35" i="3" s="1"/>
  <c r="P35" i="3" s="1"/>
  <c r="Q11" i="3"/>
  <c r="C24" i="3"/>
  <c r="C25" i="3" s="1"/>
  <c r="C32" i="3" s="1"/>
  <c r="L14" i="3"/>
  <c r="M14" i="3" s="1"/>
  <c r="P14" i="3" s="1"/>
  <c r="L13" i="3"/>
  <c r="M13" i="3" s="1"/>
  <c r="P13" i="3" s="1"/>
  <c r="L15" i="3"/>
  <c r="M15" i="3" s="1"/>
  <c r="P15" i="3" s="1"/>
  <c r="M11" i="3"/>
  <c r="P11" i="3" s="1"/>
  <c r="L37" i="3"/>
  <c r="M37" i="3" s="1"/>
  <c r="P37" i="3" s="1"/>
  <c r="L12" i="3"/>
  <c r="M12" i="3" s="1"/>
  <c r="P12" i="3" s="1"/>
  <c r="L40" i="3"/>
  <c r="M40" i="3" s="1"/>
  <c r="P40" i="3" s="1"/>
  <c r="L44" i="3"/>
  <c r="M44" i="3" s="1"/>
  <c r="P44" i="3" s="1"/>
  <c r="L48" i="3"/>
  <c r="M48" i="3" s="1"/>
  <c r="P48" i="3" s="1"/>
  <c r="L52" i="3"/>
  <c r="M52" i="3" s="1"/>
  <c r="P52" i="3" s="1"/>
  <c r="L56" i="3"/>
  <c r="M56" i="3" s="1"/>
  <c r="P56" i="3" s="1"/>
  <c r="L38" i="3"/>
  <c r="L42" i="3"/>
  <c r="M42" i="3" s="1"/>
  <c r="P42" i="3" s="1"/>
  <c r="L50" i="3"/>
  <c r="M50" i="3" s="1"/>
  <c r="P50" i="3" s="1"/>
  <c r="L54" i="3"/>
  <c r="M54" i="3" s="1"/>
  <c r="P54" i="3" s="1"/>
  <c r="L41" i="3"/>
  <c r="M41" i="3" s="1"/>
  <c r="P41" i="3" s="1"/>
  <c r="L45" i="3"/>
  <c r="M45" i="3" s="1"/>
  <c r="P45" i="3" s="1"/>
  <c r="L49" i="3"/>
  <c r="M49" i="3" s="1"/>
  <c r="P49" i="3" s="1"/>
  <c r="L53" i="3"/>
  <c r="M53" i="3" s="1"/>
  <c r="P53" i="3" s="1"/>
  <c r="L57" i="3"/>
  <c r="M57" i="3" s="1"/>
  <c r="P57" i="3" s="1"/>
  <c r="L46" i="3"/>
  <c r="M46" i="3" s="1"/>
  <c r="P46" i="3" s="1"/>
  <c r="L58" i="3"/>
  <c r="M58" i="3" s="1"/>
  <c r="P58" i="3" s="1"/>
  <c r="L39" i="3"/>
  <c r="M39" i="3" s="1"/>
  <c r="P39" i="3" s="1"/>
  <c r="L43" i="3"/>
  <c r="M43" i="3" s="1"/>
  <c r="L47" i="3"/>
  <c r="M47" i="3" s="1"/>
  <c r="P47" i="3" s="1"/>
  <c r="L51" i="3"/>
  <c r="M51" i="3" s="1"/>
  <c r="P51" i="3" s="1"/>
  <c r="L55" i="3"/>
  <c r="M55" i="3" s="1"/>
  <c r="P55" i="3" s="1"/>
  <c r="L59" i="3"/>
  <c r="M59" i="3" s="1"/>
  <c r="P59" i="3" s="1"/>
  <c r="L33" i="3"/>
  <c r="M33" i="3" s="1"/>
  <c r="P33" i="3" s="1"/>
  <c r="L34" i="3"/>
  <c r="M34" i="3" s="1"/>
  <c r="P34" i="3" s="1"/>
  <c r="L25" i="3"/>
  <c r="M25" i="3" s="1"/>
  <c r="P25" i="3" s="1"/>
  <c r="L29" i="3"/>
  <c r="M29" i="3" s="1"/>
  <c r="P29" i="3" s="1"/>
  <c r="L17" i="3"/>
  <c r="M17" i="3" s="1"/>
  <c r="P17" i="3" s="1"/>
  <c r="L31" i="3"/>
  <c r="M31" i="3" s="1"/>
  <c r="P31" i="3" s="1"/>
  <c r="L22" i="3"/>
  <c r="M22" i="3" s="1"/>
  <c r="P22" i="3" s="1"/>
  <c r="L26" i="3"/>
  <c r="M26" i="3" s="1"/>
  <c r="P26" i="3" s="1"/>
  <c r="L21" i="3"/>
  <c r="M21" i="3" s="1"/>
  <c r="P21" i="3" s="1"/>
  <c r="L16" i="3"/>
  <c r="M16" i="3" s="1"/>
  <c r="P16" i="3" s="1"/>
  <c r="L30" i="3"/>
  <c r="M30" i="3" s="1"/>
  <c r="P30" i="3" s="1"/>
  <c r="L18" i="3"/>
  <c r="M18" i="3" s="1"/>
  <c r="P18" i="3" s="1"/>
  <c r="L32" i="3"/>
  <c r="M32" i="3" s="1"/>
  <c r="P32" i="3" s="1"/>
  <c r="L23" i="3"/>
  <c r="M23" i="3" s="1"/>
  <c r="P23" i="3" s="1"/>
  <c r="L27" i="3"/>
  <c r="M27" i="3" s="1"/>
  <c r="P27" i="3" s="1"/>
  <c r="L20" i="3"/>
  <c r="M20" i="3" s="1"/>
  <c r="P20" i="3" s="1"/>
  <c r="L19" i="3"/>
  <c r="M19" i="3" s="1"/>
  <c r="P19" i="3" s="1"/>
  <c r="L24" i="3"/>
  <c r="M24" i="3" s="1"/>
  <c r="P24" i="3" s="1"/>
  <c r="L28" i="3"/>
  <c r="M28" i="3" s="1"/>
  <c r="P28" i="3" s="1"/>
  <c r="Q12" i="3" l="1"/>
  <c r="Q13" i="3" s="1"/>
  <c r="Q14" i="3" s="1"/>
  <c r="Q15" i="3" s="1"/>
  <c r="Q16" i="3" s="1"/>
  <c r="Q17" i="3" s="1"/>
  <c r="Q18" i="3" s="1"/>
  <c r="Q19" i="3" s="1"/>
  <c r="Q20" i="3" s="1"/>
  <c r="Q21" i="3" s="1"/>
  <c r="Q22" i="3" s="1"/>
  <c r="Q23" i="3" s="1"/>
  <c r="Q24" i="3" s="1"/>
  <c r="Q25" i="3" s="1"/>
  <c r="Q26" i="3" s="1"/>
  <c r="Q27" i="3" s="1"/>
  <c r="Q28" i="3" s="1"/>
  <c r="Q29" i="3" s="1"/>
  <c r="Q30" i="3" s="1"/>
  <c r="Q31" i="3" s="1"/>
  <c r="Q32" i="3" s="1"/>
  <c r="Q33" i="3" s="1"/>
  <c r="Q34" i="3" s="1"/>
  <c r="Q35" i="3" s="1"/>
  <c r="Q36" i="3" s="1"/>
  <c r="Q37" i="3" s="1"/>
  <c r="M38" i="3"/>
  <c r="P38" i="3" s="1"/>
  <c r="Q38" i="3" l="1"/>
  <c r="Q39" i="3" s="1"/>
  <c r="Q40" i="3" s="1"/>
  <c r="Q41" i="3" s="1"/>
  <c r="Q42" i="3" s="1"/>
  <c r="P43" i="3"/>
  <c r="Q43" i="3" l="1"/>
  <c r="Q44" i="3" s="1"/>
  <c r="Q45" i="3" s="1"/>
  <c r="Q46" i="3" s="1"/>
  <c r="Q47" i="3" s="1"/>
  <c r="Q48" i="3" s="1"/>
  <c r="Q49" i="3" s="1"/>
  <c r="Q50" i="3" s="1"/>
  <c r="Q51" i="3" s="1"/>
  <c r="Q52" i="3" s="1"/>
  <c r="Q53" i="3" s="1"/>
  <c r="Q54" i="3" s="1"/>
  <c r="Q55" i="3" s="1"/>
  <c r="Q56" i="3" s="1"/>
  <c r="Q57" i="3" s="1"/>
  <c r="Q58" i="3" s="1"/>
  <c r="Q59" i="3" s="1"/>
</calcChain>
</file>

<file path=xl/sharedStrings.xml><?xml version="1.0" encoding="utf-8"?>
<sst xmlns="http://schemas.openxmlformats.org/spreadsheetml/2006/main" count="257" uniqueCount="211">
  <si>
    <t>Total</t>
  </si>
  <si>
    <t>Other Expenses</t>
  </si>
  <si>
    <t>Medical</t>
  </si>
  <si>
    <t>Entertainment</t>
  </si>
  <si>
    <t>Household</t>
  </si>
  <si>
    <t>Yearly</t>
  </si>
  <si>
    <t>Monthly</t>
  </si>
  <si>
    <t>Source of Income</t>
  </si>
  <si>
    <t>Salary of Self</t>
  </si>
  <si>
    <t>Salary of Spouse</t>
  </si>
  <si>
    <t>Total Savings Accumulated</t>
  </si>
  <si>
    <t xml:space="preserve">Part of Savings Currently Invested on Market Value  </t>
  </si>
  <si>
    <t xml:space="preserve">Breakup of Assets </t>
  </si>
  <si>
    <t xml:space="preserve">Home Value </t>
  </si>
  <si>
    <t xml:space="preserve">Home Content </t>
  </si>
  <si>
    <t xml:space="preserve">Gold </t>
  </si>
  <si>
    <t xml:space="preserve">Provident Fund </t>
  </si>
  <si>
    <t xml:space="preserve">Savings Bank Balance </t>
  </si>
  <si>
    <t xml:space="preserve">Breakup Of Liabilities </t>
  </si>
  <si>
    <t xml:space="preserve">Net Worth </t>
  </si>
  <si>
    <t xml:space="preserve">Part of Savings Available to invest </t>
  </si>
  <si>
    <t>Annual Income</t>
  </si>
  <si>
    <t>Annual Expense</t>
  </si>
  <si>
    <t>Amount</t>
  </si>
  <si>
    <t>Annually</t>
  </si>
  <si>
    <t>Pre-retirement expenses</t>
  </si>
  <si>
    <t>Expenses at retirement</t>
  </si>
  <si>
    <t>Post-retirement expenses</t>
  </si>
  <si>
    <t>Total Assets</t>
  </si>
  <si>
    <t>Total Liabilities</t>
  </si>
  <si>
    <t>Amount (Rs.)</t>
  </si>
  <si>
    <t>Particulars</t>
  </si>
  <si>
    <t>Year</t>
  </si>
  <si>
    <t>Age of self</t>
  </si>
  <si>
    <t>Income (self)</t>
  </si>
  <si>
    <t>Age of Spouse</t>
  </si>
  <si>
    <t>Income (spouse)</t>
  </si>
  <si>
    <t>Total Income</t>
  </si>
  <si>
    <t>Annual Expenses</t>
  </si>
  <si>
    <t>Lumpsum Inflows</t>
  </si>
  <si>
    <t>Lumpsum Outflows</t>
  </si>
  <si>
    <t>Goal Name</t>
  </si>
  <si>
    <t>Years to Goal</t>
  </si>
  <si>
    <t>Present Cost of Goal (Rs.)</t>
  </si>
  <si>
    <t>Inflation Rate (%)</t>
  </si>
  <si>
    <t>Goal Priority</t>
  </si>
  <si>
    <t>Vacation 1</t>
  </si>
  <si>
    <t>Vacation 2</t>
  </si>
  <si>
    <t>Future Value of Goal</t>
  </si>
  <si>
    <t>Fixed expenses</t>
  </si>
  <si>
    <t>Variable expenses</t>
  </si>
  <si>
    <t>-</t>
  </si>
  <si>
    <t>Month</t>
  </si>
  <si>
    <t xml:space="preserve">EMI </t>
  </si>
  <si>
    <t>Interest</t>
  </si>
  <si>
    <t>Principal</t>
  </si>
  <si>
    <t>Balance</t>
  </si>
  <si>
    <t>Loan amount</t>
  </si>
  <si>
    <t>No. of EMIs</t>
  </si>
  <si>
    <t>Annual Interest Rate</t>
  </si>
  <si>
    <t>Monthly Interest Rate</t>
  </si>
  <si>
    <t>Monthly EMI payment</t>
  </si>
  <si>
    <t>Total loan amount payable</t>
  </si>
  <si>
    <t>Total Interest amount payable</t>
  </si>
  <si>
    <t>Current Age</t>
  </si>
  <si>
    <t>Current Value</t>
  </si>
  <si>
    <t>RBI Bonds</t>
  </si>
  <si>
    <t>First Child</t>
  </si>
  <si>
    <t>Second Child</t>
  </si>
  <si>
    <t>Rate of return (p.a.)</t>
  </si>
  <si>
    <t>Type of investment</t>
  </si>
  <si>
    <t>Commuting expenses</t>
  </si>
  <si>
    <t>First Child's graduation</t>
  </si>
  <si>
    <t>Second child's graduation</t>
  </si>
  <si>
    <t>Vacation 3</t>
  </si>
  <si>
    <t>Growth rate</t>
  </si>
  <si>
    <t xml:space="preserve">Name of Client </t>
  </si>
  <si>
    <t xml:space="preserve">No. of Depandants </t>
  </si>
  <si>
    <t>Mr. Samar Kapoor</t>
  </si>
  <si>
    <t xml:space="preserve">Assumptions: </t>
  </si>
  <si>
    <t xml:space="preserve">1) </t>
  </si>
  <si>
    <t>3 (after the birth of their children)</t>
  </si>
  <si>
    <t>2)</t>
  </si>
  <si>
    <t>3)</t>
  </si>
  <si>
    <t>Next year, they plan to buy a Honda City (costing Rs 20 Lakh) with a downpayment of Rs. 2 Lakh.</t>
  </si>
  <si>
    <t>4)</t>
  </si>
  <si>
    <t>5)</t>
  </si>
  <si>
    <t>6)</t>
  </si>
  <si>
    <t>7)</t>
  </si>
  <si>
    <t>8)</t>
  </si>
  <si>
    <t>9)</t>
  </si>
  <si>
    <t>They currently do not have children, but plan to have 2 children in the next 5 years.</t>
  </si>
  <si>
    <t>10)</t>
  </si>
  <si>
    <t>Samar started working at 24 years and his wife started working at 26 years.</t>
  </si>
  <si>
    <t>Fixed expenses:</t>
  </si>
  <si>
    <t>Variable expenses:</t>
  </si>
  <si>
    <t>Total fixed expenses</t>
  </si>
  <si>
    <t>Car Loan EMI</t>
  </si>
  <si>
    <t>Total variable expenses</t>
  </si>
  <si>
    <t>Total expenses</t>
  </si>
  <si>
    <t>Equity</t>
  </si>
  <si>
    <t>Car</t>
  </si>
  <si>
    <t xml:space="preserve">11) </t>
  </si>
  <si>
    <t xml:space="preserve">Amount </t>
  </si>
  <si>
    <t xml:space="preserve">Periodic investments - </t>
  </si>
  <si>
    <t xml:space="preserve">Lumpsum investments - </t>
  </si>
  <si>
    <t>Provident Fund</t>
  </si>
  <si>
    <t xml:space="preserve">Mutual Fund </t>
  </si>
  <si>
    <t>SIP (Mutual Fund)</t>
  </si>
  <si>
    <t>Public Provident Fund</t>
  </si>
  <si>
    <t>Equity portfolio</t>
  </si>
  <si>
    <t>Total periodic investments</t>
  </si>
  <si>
    <t>Investment period until now (Years)</t>
  </si>
  <si>
    <t>Car Loan</t>
  </si>
  <si>
    <t>Surplus/Deficit impacting Savings A/C balance</t>
  </si>
  <si>
    <t>Savings A/c Balance</t>
  </si>
  <si>
    <t>Deficit</t>
  </si>
  <si>
    <t>Deficit met through MF withdrawal</t>
  </si>
  <si>
    <t>Note</t>
  </si>
  <si>
    <t xml:space="preserve"> </t>
  </si>
  <si>
    <t>12)</t>
  </si>
  <si>
    <t>Vacation 2: Maldives</t>
  </si>
  <si>
    <t>Vacation 3: Dubai</t>
  </si>
  <si>
    <t>Price of the car</t>
  </si>
  <si>
    <t>Down-payment</t>
  </si>
  <si>
    <t>Age</t>
  </si>
  <si>
    <t xml:space="preserve">Income </t>
  </si>
  <si>
    <t>Expense</t>
  </si>
  <si>
    <t>Savings</t>
  </si>
  <si>
    <t>Amount Invested</t>
  </si>
  <si>
    <t>Amount in Savings Bank A/C</t>
  </si>
  <si>
    <t>Bonds</t>
  </si>
  <si>
    <t xml:space="preserve">Total periodic investments </t>
  </si>
  <si>
    <t>Total lumpsum investments</t>
  </si>
  <si>
    <t>Savings account balance</t>
  </si>
  <si>
    <t xml:space="preserve">Value of present investments and savings - </t>
  </si>
  <si>
    <t>Land</t>
  </si>
  <si>
    <t>NEW INVESTMENT PLAN</t>
  </si>
  <si>
    <t>PRESENT INVESTMENT PLAN</t>
  </si>
  <si>
    <t>Value at maturity/ withdrawal</t>
  </si>
  <si>
    <t>Investment period</t>
  </si>
  <si>
    <t>First child born</t>
  </si>
  <si>
    <t>additional annual expense of 250000 on account of second child education</t>
  </si>
  <si>
    <t xml:space="preserve">Inflation rate is 7% p.a. and education expense will grow by the same % every year. </t>
  </si>
  <si>
    <t>Kotak Equity Hybrid Growth Direct Plan</t>
  </si>
  <si>
    <t xml:space="preserve">On an average, she has been making a return of 14% p.a. on her portfolio. </t>
  </si>
  <si>
    <t xml:space="preserve">From the past 3 years, his wife has been investing Rs. 50,000 per month in the stock market and currently has an equity portfolio of around Rs. 24,00,000. </t>
  </si>
  <si>
    <t>Both Samar's and his wife's life expectancy is 80 years.</t>
  </si>
  <si>
    <t>Buy a car; Car loan installments added to fixed expenses for the next 5 years</t>
  </si>
  <si>
    <t>Liquidates her equity portfolio and decides to decrease the investment in her portfolio</t>
  </si>
  <si>
    <t>Value at the end of investment period</t>
  </si>
  <si>
    <t>Farm House at Villa</t>
  </si>
  <si>
    <t xml:space="preserve">13) </t>
  </si>
  <si>
    <t>Both Samar and Sana plan to retire at 58.</t>
  </si>
  <si>
    <t>Both Samar and Sana retire; PPF returned and retirement corpus becomes available</t>
  </si>
  <si>
    <t>TATA Retirement Savings Fund Progressive Direct Plan Growth</t>
  </si>
  <si>
    <t>Buy a farm house for which they liquidated their equity portfolio</t>
  </si>
  <si>
    <t>SBI Nifty Index Fund Direct Plan Growth</t>
  </si>
  <si>
    <t>Retirement Age</t>
  </si>
  <si>
    <t>Investment Horizon</t>
  </si>
  <si>
    <t>Life Expectancy</t>
  </si>
  <si>
    <t>Post Retirment Period</t>
  </si>
  <si>
    <t>Present Value of the withdrawal amount</t>
  </si>
  <si>
    <t>14)</t>
  </si>
  <si>
    <t>He wishes to leave his son an estate with an estate of Rs. 50 Cr</t>
  </si>
  <si>
    <t xml:space="preserve">Wife </t>
  </si>
  <si>
    <t>Mrs. Sana Kapoor</t>
  </si>
  <si>
    <t>SAVINGS ACCOUNT</t>
  </si>
  <si>
    <t xml:space="preserve">CAR LOAN </t>
  </si>
  <si>
    <t>CASH FLOW STATEMENT</t>
  </si>
  <si>
    <t>BALANCE SHEET</t>
  </si>
  <si>
    <t>RETIREMENT CORPUS</t>
  </si>
  <si>
    <t>RBI Bonds mature; Second child born; additional annual expense of 250000 on account of first child education</t>
  </si>
  <si>
    <t>SBI Life -  Smart Champ Insurance</t>
  </si>
  <si>
    <t>Premium per year</t>
  </si>
  <si>
    <t>Total premiums  till date</t>
  </si>
  <si>
    <t>Benefits of SBI Life</t>
  </si>
  <si>
    <t>Total sum assured</t>
  </si>
  <si>
    <t>Age of child</t>
  </si>
  <si>
    <t>Sum Assured</t>
  </si>
  <si>
    <t>Simple Reversionary bonus</t>
  </si>
  <si>
    <t>Maturity benefit @ 4% p.a.</t>
  </si>
  <si>
    <t>Interest benefit</t>
  </si>
  <si>
    <t>Max Life Smart Total Elite Protection Term Plan</t>
  </si>
  <si>
    <t>Life cover</t>
  </si>
  <si>
    <t>Benefits of Max Life</t>
  </si>
  <si>
    <t>Insurance premium paid for 18 years</t>
  </si>
  <si>
    <t>Vacation 1: Singapore; Premium for child insurance starts for 18 years (added in fixed expenses)</t>
  </si>
  <si>
    <t>Insurance Premium till retirement</t>
  </si>
  <si>
    <t>Mr. Samar Kapoor and his wife are 32 years old, living in Mumbai.</t>
  </si>
  <si>
    <t>Expense Type</t>
  </si>
  <si>
    <t>ASSET ALLOCATION</t>
  </si>
  <si>
    <t>Debt</t>
  </si>
  <si>
    <t>Cash</t>
  </si>
  <si>
    <t>PV of future expenses</t>
  </si>
  <si>
    <t>Future Post retirement expenses</t>
  </si>
  <si>
    <t>Second Child's marriage</t>
  </si>
  <si>
    <t>Second child’s marriage</t>
  </si>
  <si>
    <t>First Child's marriage</t>
  </si>
  <si>
    <t>Second Child's graduation; First Child's marriage</t>
  </si>
  <si>
    <t>Invest in real estate</t>
  </si>
  <si>
    <t>Given his son an estate worth Rs. 50 Cr by liquidating the SBI Index Fund</t>
  </si>
  <si>
    <t>Invest in real estate by liquidating Kotak Equity Fund</t>
  </si>
  <si>
    <t>Samar Kapoor is currently earning Rs. 16.8 Lakh p.a. with a growth rate of 6% p.a. and his wife is earning Rs. 14.4 Lakh p.a. with a growth rate of 6% p.a.</t>
  </si>
  <si>
    <t xml:space="preserve">Their post-retirement expenses are 70% and they plan to live in a farm house after their chil'd marriage. </t>
  </si>
  <si>
    <t xml:space="preserve">He also plans to leave his son with an estate of Rs. 50 Crores. </t>
  </si>
  <si>
    <t xml:space="preserve">Premium per month  </t>
  </si>
  <si>
    <t>Sum of PV of expenses</t>
  </si>
  <si>
    <t xml:space="preserve">The estimated Present Value of the retirement corpus is Rs. 15.55 Crores. However, to be considerate, he wants to make a corpus of Rs. 17 Crores. </t>
  </si>
  <si>
    <t>4 years ago, Samar Kapoor received a piece of land in the form of inheritance on which they finished constructing their house last year.</t>
  </si>
  <si>
    <t xml:space="preserve">5 years ago, Samar Kapoor received Rs. 50,000 as a bonus which he invested in SBI Nifty 50 Index Fund.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</si>
</sst>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₹&quot;\ #,##0.00;[Red]&quot;₹&quot;\ \-#,##0.00"/>
    <numFmt numFmtId="165" formatCode="_ &quot;₹&quot;\ * #,##0.00_ ;_ &quot;₹&quot;\ * \-#,##0.00_ ;_ &quot;₹&quot;\ * &quot;-&quot;??_ ;_ @_ "/>
    <numFmt numFmtId="166" formatCode="_ &quot;₹&quot;\ * #,##0_ ;_ &quot;₹&quot;\ * \-#,##0_ ;_ &quot;₹&quot;\ * &quot;-&quot;??_ ;_ @_ "/>
    <numFmt numFmtId="167" formatCode="0.000%"/>
    <numFmt numFmtId="168" formatCode="_ &quot;₹&quot;\ * #,##0.00000_ ;_ &quot;₹&quot;\ * \-#,##0.00000_ ;_ &quot;₹&quot;\ * &quot;-&quot;??_ ;_ @_ "/>
    <numFmt numFmtId="169" formatCode="&quot;₹&quot;\ #,##0.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Times New Roman"/>
      <family val="1"/>
    </font>
    <font>
      <sz val="12"/>
      <color rgb="FF040C28"/>
      <name val="Times New Roman"/>
      <family val="1"/>
    </font>
    <font>
      <b/>
      <sz val="12"/>
      <color theme="0"/>
      <name val="Times New Roman"/>
      <family val="1"/>
    </font>
    <font>
      <b/>
      <sz val="16"/>
      <color theme="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u/>
      <sz val="16"/>
      <color theme="0"/>
      <name val="Times New Roman"/>
      <family val="1"/>
    </font>
    <font>
      <b/>
      <sz val="20"/>
      <color theme="0"/>
      <name val="Times New Roman"/>
      <family val="1"/>
    </font>
    <font>
      <b/>
      <sz val="14"/>
      <color theme="0"/>
      <name val="Times New Roman"/>
      <family val="1"/>
    </font>
    <font>
      <i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-0.249977111117893"/>
        <bgColor indexed="64"/>
      </patternFill>
    </fill>
  </fills>
  <borders count="5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6">
    <xf numFmtId="0" fontId="0" fillId="0" borderId="0" xfId="0"/>
    <xf numFmtId="0" fontId="0" fillId="0" borderId="7" xfId="0" applyBorder="1"/>
    <xf numFmtId="0" fontId="4" fillId="0" borderId="0" xfId="0" applyFont="1"/>
    <xf numFmtId="0" fontId="2" fillId="0" borderId="0" xfId="0" applyFont="1"/>
    <xf numFmtId="0" fontId="3" fillId="0" borderId="0" xfId="0" applyFont="1"/>
    <xf numFmtId="0" fontId="3" fillId="0" borderId="11" xfId="0" applyFont="1" applyBorder="1" applyAlignment="1">
      <alignment horizontal="center" vertical="center" wrapText="1"/>
    </xf>
    <xf numFmtId="9" fontId="2" fillId="0" borderId="11" xfId="0" applyNumberFormat="1" applyFont="1" applyBorder="1"/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9" fontId="2" fillId="0" borderId="12" xfId="0" applyNumberFormat="1" applyFont="1" applyBorder="1"/>
    <xf numFmtId="0" fontId="2" fillId="0" borderId="24" xfId="0" applyFont="1" applyBorder="1"/>
    <xf numFmtId="0" fontId="5" fillId="0" borderId="0" xfId="0" applyFont="1" applyAlignment="1">
      <alignment vertical="center" wrapText="1"/>
    </xf>
    <xf numFmtId="169" fontId="0" fillId="0" borderId="0" xfId="0" applyNumberFormat="1"/>
    <xf numFmtId="169" fontId="2" fillId="0" borderId="12" xfId="0" applyNumberFormat="1" applyFont="1" applyBorder="1" applyAlignment="1">
      <alignment horizontal="center" vertical="center" wrapText="1"/>
    </xf>
    <xf numFmtId="169" fontId="2" fillId="0" borderId="1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166" fontId="2" fillId="0" borderId="0" xfId="1" applyNumberFormat="1" applyFont="1" applyFill="1" applyBorder="1"/>
    <xf numFmtId="166" fontId="2" fillId="0" borderId="0" xfId="0" applyNumberFormat="1" applyFont="1"/>
    <xf numFmtId="0" fontId="5" fillId="0" borderId="0" xfId="0" applyFont="1"/>
    <xf numFmtId="0" fontId="2" fillId="0" borderId="21" xfId="0" applyFont="1" applyBorder="1"/>
    <xf numFmtId="0" fontId="2" fillId="0" borderId="14" xfId="0" applyFont="1" applyBorder="1"/>
    <xf numFmtId="0" fontId="2" fillId="0" borderId="12" xfId="0" applyFont="1" applyBorder="1"/>
    <xf numFmtId="165" fontId="2" fillId="0" borderId="16" xfId="1" applyFont="1" applyBorder="1"/>
    <xf numFmtId="0" fontId="2" fillId="0" borderId="23" xfId="0" applyFont="1" applyBorder="1"/>
    <xf numFmtId="0" fontId="2" fillId="0" borderId="7" xfId="0" applyFont="1" applyBorder="1"/>
    <xf numFmtId="165" fontId="2" fillId="0" borderId="11" xfId="0" applyNumberFormat="1" applyFont="1" applyBorder="1"/>
    <xf numFmtId="165" fontId="2" fillId="0" borderId="8" xfId="0" applyNumberFormat="1" applyFont="1" applyBorder="1"/>
    <xf numFmtId="10" fontId="2" fillId="0" borderId="24" xfId="0" applyNumberFormat="1" applyFont="1" applyBorder="1"/>
    <xf numFmtId="167" fontId="2" fillId="0" borderId="24" xfId="2" applyNumberFormat="1" applyFont="1" applyBorder="1"/>
    <xf numFmtId="165" fontId="2" fillId="0" borderId="24" xfId="0" applyNumberFormat="1" applyFont="1" applyBorder="1"/>
    <xf numFmtId="0" fontId="2" fillId="0" borderId="25" xfId="0" applyFont="1" applyBorder="1"/>
    <xf numFmtId="165" fontId="2" fillId="0" borderId="1" xfId="0" applyNumberFormat="1" applyFont="1" applyBorder="1"/>
    <xf numFmtId="165" fontId="2" fillId="0" borderId="0" xfId="0" applyNumberFormat="1" applyFont="1"/>
    <xf numFmtId="1" fontId="2" fillId="0" borderId="0" xfId="1" applyNumberFormat="1" applyFont="1" applyFill="1" applyBorder="1" applyAlignment="1">
      <alignment horizontal="center"/>
    </xf>
    <xf numFmtId="0" fontId="3" fillId="2" borderId="28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23" xfId="0" applyFont="1" applyBorder="1"/>
    <xf numFmtId="165" fontId="3" fillId="0" borderId="24" xfId="0" applyNumberFormat="1" applyFont="1" applyBorder="1"/>
    <xf numFmtId="169" fontId="2" fillId="0" borderId="22" xfId="0" applyNumberFormat="1" applyFont="1" applyBorder="1"/>
    <xf numFmtId="169" fontId="2" fillId="0" borderId="24" xfId="0" applyNumberFormat="1" applyFont="1" applyBorder="1"/>
    <xf numFmtId="165" fontId="2" fillId="0" borderId="24" xfId="1" applyFont="1" applyBorder="1"/>
    <xf numFmtId="164" fontId="2" fillId="0" borderId="11" xfId="0" applyNumberFormat="1" applyFont="1" applyBorder="1"/>
    <xf numFmtId="165" fontId="2" fillId="0" borderId="11" xfId="1" applyFont="1" applyBorder="1"/>
    <xf numFmtId="166" fontId="2" fillId="0" borderId="11" xfId="0" applyNumberFormat="1" applyFont="1" applyBorder="1"/>
    <xf numFmtId="164" fontId="2" fillId="0" borderId="8" xfId="0" applyNumberFormat="1" applyFont="1" applyBorder="1"/>
    <xf numFmtId="0" fontId="2" fillId="0" borderId="31" xfId="0" applyFont="1" applyBorder="1"/>
    <xf numFmtId="0" fontId="3" fillId="0" borderId="17" xfId="0" applyFont="1" applyBorder="1"/>
    <xf numFmtId="0" fontId="3" fillId="0" borderId="19" xfId="0" applyFont="1" applyBorder="1"/>
    <xf numFmtId="164" fontId="3" fillId="0" borderId="18" xfId="0" applyNumberFormat="1" applyFont="1" applyBorder="1"/>
    <xf numFmtId="0" fontId="2" fillId="0" borderId="5" xfId="0" applyFont="1" applyBorder="1"/>
    <xf numFmtId="166" fontId="2" fillId="0" borderId="6" xfId="0" applyNumberFormat="1" applyFont="1" applyBorder="1"/>
    <xf numFmtId="166" fontId="3" fillId="0" borderId="10" xfId="0" applyNumberFormat="1" applyFont="1" applyBorder="1"/>
    <xf numFmtId="0" fontId="2" fillId="0" borderId="11" xfId="0" applyFont="1" applyBorder="1"/>
    <xf numFmtId="0" fontId="2" fillId="0" borderId="11" xfId="0" applyFont="1" applyBorder="1" applyAlignment="1">
      <alignment wrapText="1"/>
    </xf>
    <xf numFmtId="10" fontId="2" fillId="0" borderId="11" xfId="0" applyNumberFormat="1" applyFont="1" applyBorder="1" applyAlignment="1">
      <alignment wrapText="1"/>
    </xf>
    <xf numFmtId="166" fontId="2" fillId="0" borderId="11" xfId="1" applyNumberFormat="1" applyFont="1" applyFill="1" applyBorder="1"/>
    <xf numFmtId="1" fontId="2" fillId="0" borderId="11" xfId="1" applyNumberFormat="1" applyFont="1" applyFill="1" applyBorder="1" applyAlignment="1">
      <alignment horizontal="center"/>
    </xf>
    <xf numFmtId="1" fontId="2" fillId="0" borderId="11" xfId="0" applyNumberFormat="1" applyFont="1" applyBorder="1" applyAlignment="1">
      <alignment horizontal="center"/>
    </xf>
    <xf numFmtId="10" fontId="2" fillId="0" borderId="11" xfId="0" applyNumberFormat="1" applyFont="1" applyBorder="1"/>
    <xf numFmtId="0" fontId="3" fillId="0" borderId="11" xfId="0" applyFont="1" applyBorder="1"/>
    <xf numFmtId="166" fontId="3" fillId="0" borderId="11" xfId="0" applyNumberFormat="1" applyFont="1" applyBorder="1"/>
    <xf numFmtId="166" fontId="2" fillId="0" borderId="8" xfId="1" applyNumberFormat="1" applyFont="1" applyFill="1" applyBorder="1"/>
    <xf numFmtId="166" fontId="2" fillId="0" borderId="8" xfId="0" applyNumberFormat="1" applyFont="1" applyBorder="1"/>
    <xf numFmtId="166" fontId="3" fillId="0" borderId="8" xfId="0" applyNumberFormat="1" applyFont="1" applyBorder="1"/>
    <xf numFmtId="165" fontId="6" fillId="0" borderId="8" xfId="0" applyNumberFormat="1" applyFont="1" applyBorder="1"/>
    <xf numFmtId="0" fontId="3" fillId="2" borderId="32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168" fontId="3" fillId="2" borderId="19" xfId="0" applyNumberFormat="1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right"/>
    </xf>
    <xf numFmtId="166" fontId="3" fillId="2" borderId="10" xfId="0" applyNumberFormat="1" applyFont="1" applyFill="1" applyBorder="1"/>
    <xf numFmtId="0" fontId="3" fillId="0" borderId="7" xfId="0" applyFont="1" applyBorder="1"/>
    <xf numFmtId="0" fontId="3" fillId="0" borderId="9" xfId="0" applyFont="1" applyBorder="1"/>
    <xf numFmtId="0" fontId="3" fillId="2" borderId="18" xfId="0" applyFont="1" applyFill="1" applyBorder="1" applyAlignment="1">
      <alignment horizontal="center" vertical="center"/>
    </xf>
    <xf numFmtId="164" fontId="2" fillId="0" borderId="0" xfId="0" applyNumberFormat="1" applyFont="1"/>
    <xf numFmtId="3" fontId="2" fillId="0" borderId="0" xfId="0" applyNumberFormat="1" applyFont="1"/>
    <xf numFmtId="9" fontId="2" fillId="0" borderId="11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165" fontId="2" fillId="0" borderId="8" xfId="1" applyFont="1" applyBorder="1"/>
    <xf numFmtId="0" fontId="2" fillId="0" borderId="9" xfId="0" applyFont="1" applyBorder="1"/>
    <xf numFmtId="0" fontId="2" fillId="0" borderId="15" xfId="0" applyFont="1" applyBorder="1"/>
    <xf numFmtId="0" fontId="2" fillId="0" borderId="15" xfId="0" applyFont="1" applyBorder="1" applyAlignment="1">
      <alignment horizontal="center"/>
    </xf>
    <xf numFmtId="3" fontId="2" fillId="0" borderId="15" xfId="0" applyNumberFormat="1" applyFont="1" applyBorder="1"/>
    <xf numFmtId="9" fontId="2" fillId="0" borderId="15" xfId="0" applyNumberFormat="1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165" fontId="2" fillId="0" borderId="10" xfId="1" applyFont="1" applyBorder="1"/>
    <xf numFmtId="9" fontId="2" fillId="0" borderId="0" xfId="0" applyNumberFormat="1" applyFont="1"/>
    <xf numFmtId="0" fontId="2" fillId="0" borderId="8" xfId="0" applyFont="1" applyBorder="1"/>
    <xf numFmtId="0" fontId="2" fillId="0" borderId="41" xfId="0" applyFont="1" applyBorder="1"/>
    <xf numFmtId="0" fontId="2" fillId="0" borderId="44" xfId="0" applyFont="1" applyBorder="1"/>
    <xf numFmtId="0" fontId="2" fillId="0" borderId="51" xfId="0" applyFont="1" applyBorder="1"/>
    <xf numFmtId="0" fontId="3" fillId="2" borderId="52" xfId="0" applyFont="1" applyFill="1" applyBorder="1"/>
    <xf numFmtId="0" fontId="3" fillId="2" borderId="53" xfId="0" applyFont="1" applyFill="1" applyBorder="1"/>
    <xf numFmtId="0" fontId="3" fillId="2" borderId="54" xfId="0" applyFont="1" applyFill="1" applyBorder="1"/>
    <xf numFmtId="169" fontId="3" fillId="0" borderId="11" xfId="0" applyNumberFormat="1" applyFont="1" applyBorder="1" applyAlignment="1">
      <alignment horizontal="center" vertical="center" wrapText="1"/>
    </xf>
    <xf numFmtId="169" fontId="0" fillId="0" borderId="11" xfId="0" applyNumberFormat="1" applyBorder="1"/>
    <xf numFmtId="169" fontId="3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 wrapText="1"/>
    </xf>
    <xf numFmtId="169" fontId="2" fillId="0" borderId="8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right" vertical="center" wrapText="1"/>
    </xf>
    <xf numFmtId="0" fontId="5" fillId="0" borderId="7" xfId="0" applyFont="1" applyBorder="1" applyAlignment="1">
      <alignment vertical="center" wrapText="1"/>
    </xf>
    <xf numFmtId="169" fontId="0" fillId="0" borderId="8" xfId="0" applyNumberFormat="1" applyBorder="1"/>
    <xf numFmtId="0" fontId="3" fillId="0" borderId="9" xfId="0" applyFont="1" applyBorder="1" applyAlignment="1">
      <alignment horizontal="center" vertical="center" wrapText="1"/>
    </xf>
    <xf numFmtId="169" fontId="2" fillId="0" borderId="15" xfId="0" applyNumberFormat="1" applyFont="1" applyBorder="1" applyAlignment="1">
      <alignment horizontal="center" vertical="center" wrapText="1"/>
    </xf>
    <xf numFmtId="169" fontId="2" fillId="0" borderId="10" xfId="0" applyNumberFormat="1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169" fontId="3" fillId="0" borderId="12" xfId="0" applyNumberFormat="1" applyFont="1" applyBorder="1" applyAlignment="1">
      <alignment horizontal="center" vertical="center" wrapText="1"/>
    </xf>
    <xf numFmtId="169" fontId="3" fillId="0" borderId="16" xfId="0" applyNumberFormat="1" applyFont="1" applyBorder="1" applyAlignment="1">
      <alignment horizontal="center" vertical="center" wrapText="1"/>
    </xf>
    <xf numFmtId="169" fontId="3" fillId="2" borderId="28" xfId="0" applyNumberFormat="1" applyFont="1" applyFill="1" applyBorder="1" applyAlignment="1">
      <alignment horizontal="center" vertical="center" wrapText="1"/>
    </xf>
    <xf numFmtId="169" fontId="3" fillId="2" borderId="1" xfId="0" applyNumberFormat="1" applyFont="1" applyFill="1" applyBorder="1" applyAlignment="1">
      <alignment horizontal="center" vertical="center" wrapText="1"/>
    </xf>
    <xf numFmtId="165" fontId="6" fillId="0" borderId="11" xfId="0" applyNumberFormat="1" applyFont="1" applyBorder="1"/>
    <xf numFmtId="10" fontId="2" fillId="0" borderId="0" xfId="0" applyNumberFormat="1" applyFont="1"/>
    <xf numFmtId="10" fontId="3" fillId="0" borderId="15" xfId="0" applyNumberFormat="1" applyFont="1" applyBorder="1" applyAlignment="1">
      <alignment horizontal="center"/>
    </xf>
    <xf numFmtId="166" fontId="3" fillId="0" borderId="15" xfId="0" applyNumberFormat="1" applyFont="1" applyBorder="1"/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2" fillId="0" borderId="16" xfId="0" applyFont="1" applyBorder="1"/>
    <xf numFmtId="165" fontId="2" fillId="0" borderId="0" xfId="1" applyFont="1"/>
    <xf numFmtId="3" fontId="2" fillId="0" borderId="8" xfId="0" applyNumberFormat="1" applyFont="1" applyBorder="1"/>
    <xf numFmtId="165" fontId="3" fillId="0" borderId="0" xfId="0" applyNumberFormat="1" applyFont="1"/>
    <xf numFmtId="0" fontId="9" fillId="0" borderId="0" xfId="0" applyFont="1"/>
    <xf numFmtId="0" fontId="10" fillId="0" borderId="0" xfId="0" applyFont="1"/>
    <xf numFmtId="0" fontId="9" fillId="2" borderId="27" xfId="0" applyFont="1" applyFill="1" applyBorder="1" applyAlignment="1">
      <alignment horizontal="center" vertical="center" wrapText="1"/>
    </xf>
    <xf numFmtId="0" fontId="9" fillId="2" borderId="50" xfId="0" applyFont="1" applyFill="1" applyBorder="1" applyAlignment="1">
      <alignment horizontal="center" vertical="center" wrapText="1"/>
    </xf>
    <xf numFmtId="0" fontId="10" fillId="0" borderId="5" xfId="0" applyFont="1" applyBorder="1"/>
    <xf numFmtId="0" fontId="10" fillId="0" borderId="13" xfId="0" applyFont="1" applyBorder="1"/>
    <xf numFmtId="165" fontId="10" fillId="0" borderId="13" xfId="1" applyFont="1" applyFill="1" applyBorder="1"/>
    <xf numFmtId="165" fontId="10" fillId="0" borderId="13" xfId="0" applyNumberFormat="1" applyFont="1" applyBorder="1"/>
    <xf numFmtId="164" fontId="10" fillId="0" borderId="13" xfId="0" applyNumberFormat="1" applyFont="1" applyBorder="1"/>
    <xf numFmtId="0" fontId="10" fillId="0" borderId="6" xfId="0" applyFont="1" applyBorder="1"/>
    <xf numFmtId="0" fontId="3" fillId="0" borderId="14" xfId="0" applyFont="1" applyBorder="1"/>
    <xf numFmtId="0" fontId="10" fillId="0" borderId="7" xfId="0" applyFont="1" applyBorder="1"/>
    <xf numFmtId="0" fontId="10" fillId="0" borderId="11" xfId="0" applyFont="1" applyBorder="1"/>
    <xf numFmtId="165" fontId="10" fillId="0" borderId="11" xfId="1" applyFont="1" applyFill="1" applyBorder="1"/>
    <xf numFmtId="164" fontId="10" fillId="0" borderId="11" xfId="0" applyNumberFormat="1" applyFont="1" applyBorder="1"/>
    <xf numFmtId="165" fontId="10" fillId="0" borderId="11" xfId="0" applyNumberFormat="1" applyFont="1" applyBorder="1"/>
    <xf numFmtId="0" fontId="10" fillId="0" borderId="8" xfId="0" applyFont="1" applyBorder="1"/>
    <xf numFmtId="165" fontId="2" fillId="0" borderId="8" xfId="1" applyFont="1" applyFill="1" applyBorder="1"/>
    <xf numFmtId="0" fontId="2" fillId="0" borderId="36" xfId="0" applyFont="1" applyBorder="1"/>
    <xf numFmtId="165" fontId="3" fillId="0" borderId="8" xfId="0" applyNumberFormat="1" applyFont="1" applyBorder="1"/>
    <xf numFmtId="0" fontId="10" fillId="0" borderId="8" xfId="0" applyFont="1" applyBorder="1" applyAlignment="1">
      <alignment wrapText="1"/>
    </xf>
    <xf numFmtId="165" fontId="3" fillId="0" borderId="10" xfId="1" applyFont="1" applyBorder="1"/>
    <xf numFmtId="0" fontId="3" fillId="0" borderId="0" xfId="0" applyFont="1" applyAlignment="1">
      <alignment horizontal="center"/>
    </xf>
    <xf numFmtId="0" fontId="10" fillId="0" borderId="31" xfId="0" applyFont="1" applyBorder="1"/>
    <xf numFmtId="0" fontId="10" fillId="0" borderId="32" xfId="0" applyFont="1" applyBorder="1"/>
    <xf numFmtId="165" fontId="10" fillId="0" borderId="32" xfId="1" applyFont="1" applyFill="1" applyBorder="1"/>
    <xf numFmtId="165" fontId="10" fillId="0" borderId="32" xfId="0" applyNumberFormat="1" applyFont="1" applyBorder="1"/>
    <xf numFmtId="0" fontId="10" fillId="0" borderId="33" xfId="0" applyFont="1" applyBorder="1"/>
    <xf numFmtId="164" fontId="10" fillId="0" borderId="11" xfId="1" applyNumberFormat="1" applyFont="1" applyFill="1" applyBorder="1"/>
    <xf numFmtId="0" fontId="10" fillId="0" borderId="11" xfId="0" applyFont="1" applyBorder="1" applyAlignment="1">
      <alignment horizontal="right"/>
    </xf>
    <xf numFmtId="0" fontId="9" fillId="0" borderId="8" xfId="0" applyFont="1" applyBorder="1"/>
    <xf numFmtId="0" fontId="10" fillId="0" borderId="9" xfId="0" applyFont="1" applyBorder="1"/>
    <xf numFmtId="0" fontId="10" fillId="0" borderId="15" xfId="0" applyFont="1" applyBorder="1"/>
    <xf numFmtId="0" fontId="10" fillId="0" borderId="15" xfId="0" applyFont="1" applyBorder="1" applyAlignment="1">
      <alignment horizontal="right"/>
    </xf>
    <xf numFmtId="165" fontId="10" fillId="0" borderId="15" xfId="1" applyFont="1" applyFill="1" applyBorder="1"/>
    <xf numFmtId="164" fontId="10" fillId="0" borderId="15" xfId="0" applyNumberFormat="1" applyFont="1" applyBorder="1"/>
    <xf numFmtId="165" fontId="10" fillId="0" borderId="15" xfId="0" applyNumberFormat="1" applyFont="1" applyBorder="1"/>
    <xf numFmtId="0" fontId="10" fillId="0" borderId="10" xfId="0" applyFont="1" applyBorder="1"/>
    <xf numFmtId="0" fontId="3" fillId="2" borderId="17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65" fontId="2" fillId="0" borderId="12" xfId="0" applyNumberFormat="1" applyFont="1" applyBorder="1"/>
    <xf numFmtId="165" fontId="2" fillId="0" borderId="16" xfId="0" applyNumberFormat="1" applyFont="1" applyBorder="1"/>
    <xf numFmtId="165" fontId="2" fillId="0" borderId="15" xfId="0" applyNumberFormat="1" applyFont="1" applyBorder="1"/>
    <xf numFmtId="165" fontId="2" fillId="0" borderId="10" xfId="0" applyNumberFormat="1" applyFont="1" applyBorder="1"/>
    <xf numFmtId="165" fontId="3" fillId="2" borderId="6" xfId="0" applyNumberFormat="1" applyFont="1" applyFill="1" applyBorder="1" applyAlignment="1">
      <alignment horizontal="center"/>
    </xf>
    <xf numFmtId="165" fontId="3" fillId="0" borderId="0" xfId="0" applyNumberFormat="1" applyFont="1" applyAlignment="1">
      <alignment horizontal="center"/>
    </xf>
    <xf numFmtId="165" fontId="3" fillId="0" borderId="11" xfId="0" applyNumberFormat="1" applyFont="1" applyBorder="1"/>
    <xf numFmtId="165" fontId="2" fillId="0" borderId="5" xfId="0" applyNumberFormat="1" applyFont="1" applyBorder="1"/>
    <xf numFmtId="165" fontId="2" fillId="0" borderId="6" xfId="0" applyNumberFormat="1" applyFont="1" applyBorder="1"/>
    <xf numFmtId="165" fontId="2" fillId="0" borderId="7" xfId="0" applyNumberFormat="1" applyFont="1" applyBorder="1"/>
    <xf numFmtId="165" fontId="3" fillId="0" borderId="7" xfId="0" applyNumberFormat="1" applyFont="1" applyBorder="1"/>
    <xf numFmtId="165" fontId="3" fillId="0" borderId="8" xfId="1" applyFont="1" applyBorder="1"/>
    <xf numFmtId="165" fontId="2" fillId="0" borderId="9" xfId="0" applyNumberFormat="1" applyFont="1" applyBorder="1"/>
    <xf numFmtId="165" fontId="2" fillId="0" borderId="13" xfId="0" applyNumberFormat="1" applyFont="1" applyBorder="1"/>
    <xf numFmtId="10" fontId="2" fillId="0" borderId="6" xfId="2" applyNumberFormat="1" applyFont="1" applyBorder="1"/>
    <xf numFmtId="10" fontId="2" fillId="0" borderId="8" xfId="2" applyNumberFormat="1" applyFont="1" applyBorder="1"/>
    <xf numFmtId="10" fontId="2" fillId="0" borderId="10" xfId="2" applyNumberFormat="1" applyFont="1" applyBorder="1"/>
    <xf numFmtId="0" fontId="2" fillId="0" borderId="6" xfId="0" applyFont="1" applyBorder="1"/>
    <xf numFmtId="0" fontId="3" fillId="2" borderId="13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164" fontId="2" fillId="0" borderId="10" xfId="0" applyNumberFormat="1" applyFont="1" applyBorder="1"/>
    <xf numFmtId="0" fontId="7" fillId="0" borderId="0" xfId="0" applyFont="1" applyAlignment="1">
      <alignment vertical="center"/>
    </xf>
    <xf numFmtId="164" fontId="3" fillId="0" borderId="10" xfId="0" applyNumberFormat="1" applyFont="1" applyBorder="1"/>
    <xf numFmtId="0" fontId="3" fillId="2" borderId="3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 wrapText="1"/>
    </xf>
    <xf numFmtId="165" fontId="2" fillId="0" borderId="0" xfId="1" applyFont="1" applyBorder="1"/>
    <xf numFmtId="0" fontId="2" fillId="0" borderId="13" xfId="0" applyFont="1" applyBorder="1" applyAlignment="1">
      <alignment horizontal="center" vertical="center" wrapText="1"/>
    </xf>
    <xf numFmtId="9" fontId="2" fillId="0" borderId="13" xfId="0" applyNumberFormat="1" applyFont="1" applyBorder="1" applyAlignment="1">
      <alignment horizontal="center" vertical="center" wrapText="1"/>
    </xf>
    <xf numFmtId="165" fontId="2" fillId="0" borderId="6" xfId="1" applyFont="1" applyBorder="1"/>
    <xf numFmtId="0" fontId="2" fillId="0" borderId="5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3" fontId="2" fillId="0" borderId="13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3" fontId="2" fillId="0" borderId="11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0" fontId="14" fillId="0" borderId="0" xfId="0" applyFont="1"/>
    <xf numFmtId="165" fontId="3" fillId="0" borderId="15" xfId="0" applyNumberFormat="1" applyFont="1" applyBorder="1"/>
    <xf numFmtId="165" fontId="3" fillId="0" borderId="10" xfId="0" applyNumberFormat="1" applyFont="1" applyBorder="1"/>
    <xf numFmtId="0" fontId="9" fillId="2" borderId="34" xfId="0" applyFont="1" applyFill="1" applyBorder="1" applyAlignment="1">
      <alignment horizontal="center" vertical="center" wrapText="1"/>
    </xf>
    <xf numFmtId="0" fontId="9" fillId="2" borderId="46" xfId="0" applyFont="1" applyFill="1" applyBorder="1" applyAlignment="1">
      <alignment horizontal="center" vertical="center" wrapText="1"/>
    </xf>
    <xf numFmtId="165" fontId="3" fillId="2" borderId="0" xfId="0" applyNumberFormat="1" applyFont="1" applyFill="1"/>
    <xf numFmtId="0" fontId="3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 wrapText="1"/>
    </xf>
    <xf numFmtId="0" fontId="3" fillId="2" borderId="55" xfId="0" applyFont="1" applyFill="1" applyBorder="1" applyAlignment="1">
      <alignment horizontal="center" vertical="center" wrapText="1"/>
    </xf>
    <xf numFmtId="169" fontId="3" fillId="2" borderId="17" xfId="0" applyNumberFormat="1" applyFont="1" applyFill="1" applyBorder="1" applyAlignment="1">
      <alignment horizontal="center" vertical="center" wrapText="1"/>
    </xf>
    <xf numFmtId="169" fontId="3" fillId="2" borderId="18" xfId="0" applyNumberFormat="1" applyFont="1" applyFill="1" applyBorder="1" applyAlignment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0" fontId="2" fillId="0" borderId="11" xfId="0" applyFont="1" applyBorder="1" applyAlignment="1">
      <alignment horizontal="left"/>
    </xf>
    <xf numFmtId="0" fontId="13" fillId="3" borderId="0" xfId="0" applyFont="1" applyFill="1" applyAlignment="1">
      <alignment horizontal="center" vertical="center"/>
    </xf>
    <xf numFmtId="0" fontId="3" fillId="2" borderId="56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left"/>
    </xf>
    <xf numFmtId="0" fontId="8" fillId="3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/>
    </xf>
    <xf numFmtId="0" fontId="8" fillId="4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3" fillId="2" borderId="41" xfId="0" applyFont="1" applyFill="1" applyBorder="1" applyAlignment="1">
      <alignment horizontal="center" vertical="center" wrapText="1"/>
    </xf>
    <xf numFmtId="0" fontId="3" fillId="2" borderId="51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2" borderId="52" xfId="0" applyFont="1" applyFill="1" applyBorder="1" applyAlignment="1">
      <alignment horizontal="center" vertical="center" wrapText="1"/>
    </xf>
    <xf numFmtId="0" fontId="3" fillId="2" borderId="54" xfId="0" applyFont="1" applyFill="1" applyBorder="1" applyAlignment="1">
      <alignment horizontal="center" vertical="center" wrapText="1"/>
    </xf>
    <xf numFmtId="10" fontId="3" fillId="0" borderId="30" xfId="0" applyNumberFormat="1" applyFont="1" applyBorder="1" applyAlignment="1">
      <alignment horizontal="center"/>
    </xf>
    <xf numFmtId="10" fontId="3" fillId="0" borderId="45" xfId="0" applyNumberFormat="1" applyFont="1" applyBorder="1" applyAlignment="1">
      <alignment horizontal="center"/>
    </xf>
    <xf numFmtId="10" fontId="3" fillId="0" borderId="20" xfId="0" applyNumberFormat="1" applyFont="1" applyBorder="1" applyAlignment="1">
      <alignment horizontal="center"/>
    </xf>
    <xf numFmtId="169" fontId="2" fillId="0" borderId="11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2" borderId="40" xfId="0" applyFont="1" applyFill="1" applyBorder="1" applyAlignment="1">
      <alignment horizontal="center" vertical="center" wrapText="1"/>
    </xf>
    <xf numFmtId="0" fontId="3" fillId="2" borderId="4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40" xfId="0" applyFont="1" applyFill="1" applyBorder="1" applyAlignment="1">
      <alignment horizontal="center" vertical="center"/>
    </xf>
    <xf numFmtId="0" fontId="3" fillId="2" borderId="45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21" xfId="0" applyFont="1" applyBorder="1" applyAlignment="1">
      <alignment horizontal="left" vertical="center" wrapText="1"/>
    </xf>
    <xf numFmtId="0" fontId="3" fillId="0" borderId="35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47" xfId="0" applyFont="1" applyBorder="1" applyAlignment="1">
      <alignment horizontal="left" vertical="center" wrapText="1"/>
    </xf>
    <xf numFmtId="0" fontId="3" fillId="0" borderId="48" xfId="0" applyFont="1" applyBorder="1" applyAlignment="1">
      <alignment horizontal="left" vertical="center" wrapText="1"/>
    </xf>
    <xf numFmtId="0" fontId="3" fillId="0" borderId="49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10" fontId="3" fillId="0" borderId="15" xfId="0" applyNumberFormat="1" applyFont="1" applyBorder="1" applyAlignment="1">
      <alignment horizontal="center"/>
    </xf>
    <xf numFmtId="0" fontId="3" fillId="2" borderId="34" xfId="0" applyFont="1" applyFill="1" applyBorder="1" applyAlignment="1">
      <alignment horizontal="center" vertical="center" wrapText="1"/>
    </xf>
    <xf numFmtId="0" fontId="3" fillId="2" borderId="36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 wrapText="1"/>
    </xf>
    <xf numFmtId="0" fontId="3" fillId="2" borderId="38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wrapText="1"/>
    </xf>
    <xf numFmtId="0" fontId="3" fillId="0" borderId="42" xfId="0" applyFont="1" applyBorder="1" applyAlignment="1">
      <alignment horizontal="left" vertical="center"/>
    </xf>
    <xf numFmtId="0" fontId="3" fillId="0" borderId="43" xfId="0" applyFont="1" applyBorder="1" applyAlignment="1">
      <alignment horizontal="left" vertical="center"/>
    </xf>
    <xf numFmtId="0" fontId="3" fillId="0" borderId="44" xfId="0" applyFont="1" applyBorder="1" applyAlignment="1">
      <alignment horizontal="left" vertical="center"/>
    </xf>
    <xf numFmtId="0" fontId="12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Income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B6C-4665-B6ED-CF3D56D6128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B6C-4665-B6ED-CF3D56D6128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Income!$A$7:$A$8</c:f>
              <c:strCache>
                <c:ptCount val="2"/>
                <c:pt idx="0">
                  <c:v>Salary of Self</c:v>
                </c:pt>
                <c:pt idx="1">
                  <c:v>Salary of Spouse</c:v>
                </c:pt>
              </c:strCache>
            </c:strRef>
          </c:cat>
          <c:val>
            <c:numRef>
              <c:f>Income!$B$7:$B$8</c:f>
              <c:numCache>
                <c:formatCode>"₹"\ #,##0.00</c:formatCode>
                <c:ptCount val="2"/>
                <c:pt idx="0">
                  <c:v>140000</c:v>
                </c:pt>
                <c:pt idx="1">
                  <c:v>120000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F3-4897-8629-43CF3DEF08A2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IN"/>
              <a:t>Expenses</a:t>
            </a:r>
          </a:p>
        </c:rich>
      </c:tx>
      <c:layout>
        <c:manualLayout>
          <c:xMode val="edge"/>
          <c:yMode val="edge"/>
          <c:x val="0.41876377952755905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D4F-4C3A-9AAE-0FC3C775105F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D4F-4C3A-9AAE-0FC3C775105F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D4F-4C3A-9AAE-0FC3C775105F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D4F-4C3A-9AAE-0FC3C775105F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D4F-4C3A-9AAE-0FC3C775105F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D4F-4C3A-9AAE-0FC3C775105F}"/>
              </c:ext>
            </c:extLst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D4F-4C3A-9AAE-0FC3C775105F}"/>
              </c:ext>
            </c:extLst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A371-418B-A905-F5A77C385656}"/>
              </c:ext>
            </c:extLst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9E06-4B83-BAB9-8B08936633A9}"/>
              </c:ext>
            </c:extLst>
          </c:dPt>
          <c:dPt>
            <c:idx val="9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79F1-47CD-A18F-40E21B5207C8}"/>
              </c:ext>
            </c:extLst>
          </c:dPt>
          <c:dPt>
            <c:idx val="10"/>
            <c:bubble3D val="0"/>
            <c:spPr>
              <a:gradFill>
                <a:gsLst>
                  <a:gs pos="100000">
                    <a:schemeClr val="accent5">
                      <a:lumMod val="6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09CB-47FC-BFC2-D55F5D2A152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Expenses!$A$5:$A$15</c:f>
              <c:strCache>
                <c:ptCount val="11"/>
                <c:pt idx="0">
                  <c:v>Household</c:v>
                </c:pt>
                <c:pt idx="1">
                  <c:v>Entertainment</c:v>
                </c:pt>
                <c:pt idx="2">
                  <c:v>Medical</c:v>
                </c:pt>
                <c:pt idx="3">
                  <c:v>Commuting expenses</c:v>
                </c:pt>
                <c:pt idx="4">
                  <c:v>Other Expenses</c:v>
                </c:pt>
                <c:pt idx="5">
                  <c:v>Total variable expenses</c:v>
                </c:pt>
                <c:pt idx="7">
                  <c:v>Fixed expenses:</c:v>
                </c:pt>
                <c:pt idx="8">
                  <c:v>Insurance premium paid for 18 years</c:v>
                </c:pt>
                <c:pt idx="9">
                  <c:v>Insurance Premium till retirement</c:v>
                </c:pt>
                <c:pt idx="10">
                  <c:v>Car Loan EMI</c:v>
                </c:pt>
              </c:strCache>
            </c:strRef>
          </c:cat>
          <c:val>
            <c:numRef>
              <c:f>Expenses!$B$5:$B$15</c:f>
              <c:numCache>
                <c:formatCode>"₹"\ #,##0.00</c:formatCode>
                <c:ptCount val="11"/>
                <c:pt idx="0">
                  <c:v>50000</c:v>
                </c:pt>
                <c:pt idx="1">
                  <c:v>20000</c:v>
                </c:pt>
                <c:pt idx="2">
                  <c:v>10000</c:v>
                </c:pt>
                <c:pt idx="3">
                  <c:v>8000</c:v>
                </c:pt>
                <c:pt idx="4">
                  <c:v>10000</c:v>
                </c:pt>
                <c:pt idx="5">
                  <c:v>98000</c:v>
                </c:pt>
                <c:pt idx="8">
                  <c:v>8847</c:v>
                </c:pt>
                <c:pt idx="9">
                  <c:v>11727</c:v>
                </c:pt>
                <c:pt idx="10">
                  <c:v>38067.786705035673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0B-4C30-9524-F24F700C2D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Asset Allocation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BA1-4842-AD0B-F9C7A052A97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BA1-4842-AD0B-F9C7A052A97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BA1-4842-AD0B-F9C7A052A97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'Investment Plan'!$K$20:$K$22</c:f>
              <c:strCache>
                <c:ptCount val="3"/>
                <c:pt idx="0">
                  <c:v>Equity</c:v>
                </c:pt>
                <c:pt idx="1">
                  <c:v>Debt</c:v>
                </c:pt>
                <c:pt idx="2">
                  <c:v>Cash</c:v>
                </c:pt>
              </c:strCache>
            </c:strRef>
          </c:cat>
          <c:val>
            <c:numRef>
              <c:f>'Investment Plan'!$M$20:$M$22</c:f>
              <c:numCache>
                <c:formatCode>0.00%</c:formatCode>
                <c:ptCount val="3"/>
                <c:pt idx="0">
                  <c:v>0.58903123083318176</c:v>
                </c:pt>
                <c:pt idx="1">
                  <c:v>0.19995064436639964</c:v>
                </c:pt>
                <c:pt idx="2">
                  <c:v>0.2110181248004184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07-4D18-BCD6-4D0ADE35DF8F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Savings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'Cash Flow &amp; Balance Sheet'!$B$10:$B$14</c:f>
              <c:strCache>
                <c:ptCount val="5"/>
                <c:pt idx="0">
                  <c:v> Annual Income </c:v>
                </c:pt>
                <c:pt idx="1">
                  <c:v> Annual Expense </c:v>
                </c:pt>
                <c:pt idx="2">
                  <c:v> Total Savings Accumulated </c:v>
                </c:pt>
                <c:pt idx="3">
                  <c:v> Part of Savings Currently Invested on Market Value   </c:v>
                </c:pt>
                <c:pt idx="4">
                  <c:v> Part of Savings Available to invest  </c:v>
                </c:pt>
              </c:strCache>
            </c:strRef>
          </c:cat>
          <c:val>
            <c:numRef>
              <c:f>'Cash Flow &amp; Balance Sheet'!$C$10:$C$14</c:f>
              <c:numCache>
                <c:formatCode>_ "₹"\ * #,##0.00_ ;_ "₹"\ * \-#,##0.00_ ;_ "₹"\ * "-"??_ ;_ @_ </c:formatCode>
                <c:ptCount val="5"/>
                <c:pt idx="0">
                  <c:v>3120000</c:v>
                </c:pt>
                <c:pt idx="1">
                  <c:v>1879701.4404604281</c:v>
                </c:pt>
                <c:pt idx="2">
                  <c:v>1240298.5595395719</c:v>
                </c:pt>
                <c:pt idx="3">
                  <c:v>1140000</c:v>
                </c:pt>
                <c:pt idx="4">
                  <c:v>100298.55953957187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7F-4E7F-8280-899090906C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89587632"/>
        <c:axId val="476121824"/>
      </c:barChart>
      <c:catAx>
        <c:axId val="9895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121824"/>
        <c:crosses val="autoZero"/>
        <c:auto val="1"/>
        <c:lblAlgn val="ctr"/>
        <c:lblOffset val="100"/>
        <c:noMultiLvlLbl val="0"/>
      </c:catAx>
      <c:valAx>
        <c:axId val="47612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 &quot;₹&quot;\ * #,##0.00_ ;_ &quot;₹&quot;\ * \-#,##0.00_ ;_ &quot;₹&quot;\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587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606283</xdr:colOff>
      <xdr:row>1</xdr:row>
      <xdr:rowOff>141911</xdr:rowOff>
    </xdr:from>
    <xdr:to>
      <xdr:col>9</xdr:col>
      <xdr:colOff>302381</xdr:colOff>
      <xdr:row>13</xdr:row>
      <xdr:rowOff>29053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927703-09D4-5D64-C42E-D1D4BD04E0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23808</xdr:colOff>
      <xdr:row>0</xdr:row>
      <xdr:rowOff>146799</xdr:rowOff>
    </xdr:from>
    <xdr:to>
      <xdr:col>12</xdr:col>
      <xdr:colOff>331328</xdr:colOff>
      <xdr:row>17</xdr:row>
      <xdr:rowOff>68438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4C30EB-BB55-31F3-24E8-CBC7323586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124046</xdr:colOff>
      <xdr:row>7</xdr:row>
      <xdr:rowOff>283535</xdr:rowOff>
    </xdr:from>
    <xdr:to>
      <xdr:col>9</xdr:col>
      <xdr:colOff>425302</xdr:colOff>
      <xdr:row>7</xdr:row>
      <xdr:rowOff>292395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F45A466-ECA7-BED2-7681-8389117C3891}"/>
            </a:ext>
          </a:extLst>
        </xdr:cNvPr>
        <xdr:cNvCxnSpPr/>
      </xdr:nvCxnSpPr>
      <xdr:spPr>
        <a:xfrm flipV="1">
          <a:off x="8692116" y="2321442"/>
          <a:ext cx="912628" cy="88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245807</xdr:colOff>
      <xdr:row>23</xdr:row>
      <xdr:rowOff>49980</xdr:rowOff>
    </xdr:from>
    <xdr:to>
      <xdr:col>12</xdr:col>
      <xdr:colOff>1056967</xdr:colOff>
      <xdr:row>40</xdr:row>
      <xdr:rowOff>24580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84890FC-EC9F-067D-777E-B4C745DDDA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501952</xdr:colOff>
      <xdr:row>35</xdr:row>
      <xdr:rowOff>43543</xdr:rowOff>
    </xdr:from>
    <xdr:to>
      <xdr:col>3</xdr:col>
      <xdr:colOff>42333</xdr:colOff>
      <xdr:row>49</xdr:row>
      <xdr:rowOff>65315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550E64-C0CE-5B04-02DC-B94AB727BF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7EE25-92EC-48C3-9901-2ED042192145}">
  <dimension ref="A2:C25"/>
  <sheetViews>
    <sheetView tabSelected="1" zoomScale="84" workbookViewId="0">
      <selection activeCell="H19" sqref="H19"/>
    </sheetView>
  </sheetViews>
  <sheetFormatPr defaultRowHeight="15.6" x14ac:dyDescent="0.3"/>
  <cols>
    <col min="1" max="1" width="8.88671875" style="3"/>
    <col min="2" max="2" width="20.77734375" style="3" customWidth="1"/>
    <col min="3" max="3" width="34.33203125" style="3" customWidth="1"/>
    <col min="4" max="4" width="9" style="3" bestFit="1" customWidth="1"/>
    <col min="5" max="5" width="15.21875" style="3" customWidth="1"/>
    <col min="6" max="7" width="11.77734375" style="3" customWidth="1"/>
    <col min="8" max="8" width="21.21875" style="3" bestFit="1" customWidth="1"/>
    <col min="9" max="16384" width="8.88671875" style="3"/>
  </cols>
  <sheetData>
    <row r="2" spans="1:3" ht="16.2" thickBot="1" x14ac:dyDescent="0.35"/>
    <row r="3" spans="1:3" x14ac:dyDescent="0.3">
      <c r="B3" s="94" t="s">
        <v>76</v>
      </c>
      <c r="C3" s="91" t="s">
        <v>78</v>
      </c>
    </row>
    <row r="4" spans="1:3" x14ac:dyDescent="0.3">
      <c r="B4" s="95" t="s">
        <v>165</v>
      </c>
      <c r="C4" s="92" t="s">
        <v>166</v>
      </c>
    </row>
    <row r="5" spans="1:3" ht="16.2" thickBot="1" x14ac:dyDescent="0.35">
      <c r="B5" s="96" t="s">
        <v>77</v>
      </c>
      <c r="C5" s="93" t="s">
        <v>81</v>
      </c>
    </row>
    <row r="7" spans="1:3" x14ac:dyDescent="0.3">
      <c r="B7" s="11" t="s">
        <v>79</v>
      </c>
    </row>
    <row r="8" spans="1:3" x14ac:dyDescent="0.3">
      <c r="A8" s="3" t="s">
        <v>80</v>
      </c>
      <c r="B8" s="3" t="s">
        <v>189</v>
      </c>
    </row>
    <row r="9" spans="1:3" x14ac:dyDescent="0.3">
      <c r="A9" s="3" t="s">
        <v>82</v>
      </c>
      <c r="B9" s="3" t="s">
        <v>91</v>
      </c>
    </row>
    <row r="10" spans="1:3" x14ac:dyDescent="0.3">
      <c r="A10" s="3" t="s">
        <v>83</v>
      </c>
      <c r="B10" s="3" t="s">
        <v>93</v>
      </c>
    </row>
    <row r="11" spans="1:3" x14ac:dyDescent="0.3">
      <c r="A11" s="3" t="s">
        <v>85</v>
      </c>
      <c r="B11" s="3" t="s">
        <v>203</v>
      </c>
    </row>
    <row r="12" spans="1:3" x14ac:dyDescent="0.3">
      <c r="A12" s="3" t="s">
        <v>86</v>
      </c>
      <c r="B12" s="3" t="s">
        <v>209</v>
      </c>
    </row>
    <row r="13" spans="1:3" x14ac:dyDescent="0.3">
      <c r="A13" s="3" t="s">
        <v>87</v>
      </c>
      <c r="B13" s="3" t="s">
        <v>84</v>
      </c>
    </row>
    <row r="14" spans="1:3" x14ac:dyDescent="0.3">
      <c r="A14" s="3" t="s">
        <v>88</v>
      </c>
      <c r="B14" s="3" t="s">
        <v>153</v>
      </c>
    </row>
    <row r="15" spans="1:3" x14ac:dyDescent="0.3">
      <c r="A15" s="3" t="s">
        <v>89</v>
      </c>
      <c r="B15" s="3" t="s">
        <v>147</v>
      </c>
    </row>
    <row r="16" spans="1:3" x14ac:dyDescent="0.3">
      <c r="A16" s="3" t="s">
        <v>90</v>
      </c>
      <c r="B16" s="3" t="s">
        <v>143</v>
      </c>
    </row>
    <row r="17" spans="1:3" x14ac:dyDescent="0.3">
      <c r="A17" s="3" t="s">
        <v>92</v>
      </c>
      <c r="B17" s="3" t="s">
        <v>210</v>
      </c>
    </row>
    <row r="18" spans="1:3" x14ac:dyDescent="0.3">
      <c r="A18" s="3" t="s">
        <v>102</v>
      </c>
      <c r="B18" s="3" t="s">
        <v>146</v>
      </c>
    </row>
    <row r="19" spans="1:3" x14ac:dyDescent="0.3">
      <c r="A19" s="3" t="s">
        <v>120</v>
      </c>
      <c r="B19" s="3" t="s">
        <v>145</v>
      </c>
    </row>
    <row r="20" spans="1:3" x14ac:dyDescent="0.3">
      <c r="A20" s="3" t="s">
        <v>152</v>
      </c>
      <c r="B20" s="3" t="s">
        <v>204</v>
      </c>
    </row>
    <row r="21" spans="1:3" x14ac:dyDescent="0.3">
      <c r="A21" s="3" t="s">
        <v>163</v>
      </c>
      <c r="B21" s="3" t="s">
        <v>164</v>
      </c>
    </row>
    <row r="24" spans="1:3" x14ac:dyDescent="0.3">
      <c r="C24" s="89"/>
    </row>
    <row r="25" spans="1:3" x14ac:dyDescent="0.3">
      <c r="C25" s="8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062D3-7B26-4BE5-BE63-E766F1325759}">
  <dimension ref="B2:H17"/>
  <sheetViews>
    <sheetView zoomScale="94" workbookViewId="0">
      <selection activeCell="F14" sqref="F14"/>
    </sheetView>
  </sheetViews>
  <sheetFormatPr defaultRowHeight="15.6" x14ac:dyDescent="0.3"/>
  <cols>
    <col min="1" max="1" width="8.88671875" style="3"/>
    <col min="2" max="2" width="28.6640625" style="3" customWidth="1"/>
    <col min="3" max="3" width="18.5546875" style="3" customWidth="1"/>
    <col min="4" max="4" width="9" style="3" bestFit="1" customWidth="1"/>
    <col min="5" max="5" width="15.21875" style="3" customWidth="1"/>
    <col min="6" max="7" width="11.77734375" style="3" customWidth="1"/>
    <col min="8" max="8" width="21.21875" style="3" bestFit="1" customWidth="1"/>
    <col min="9" max="16384" width="8.88671875" style="3"/>
  </cols>
  <sheetData>
    <row r="2" spans="2:8" ht="16.2" thickBot="1" x14ac:dyDescent="0.35"/>
    <row r="3" spans="2:8" ht="43.2" customHeight="1" thickBot="1" x14ac:dyDescent="0.35">
      <c r="B3" s="163" t="s">
        <v>41</v>
      </c>
      <c r="C3" s="190" t="s">
        <v>32</v>
      </c>
      <c r="D3" s="163" t="s">
        <v>42</v>
      </c>
      <c r="E3" s="190" t="s">
        <v>43</v>
      </c>
      <c r="F3" s="163" t="s">
        <v>44</v>
      </c>
      <c r="G3" s="190" t="s">
        <v>45</v>
      </c>
      <c r="H3" s="163" t="s">
        <v>48</v>
      </c>
    </row>
    <row r="4" spans="2:8" x14ac:dyDescent="0.3">
      <c r="B4" s="197" t="s">
        <v>101</v>
      </c>
      <c r="C4" s="198">
        <v>2025</v>
      </c>
      <c r="D4" s="194">
        <f>C4-2024</f>
        <v>1</v>
      </c>
      <c r="E4" s="199">
        <v>1869159</v>
      </c>
      <c r="F4" s="195">
        <v>7.0000000000000007E-2</v>
      </c>
      <c r="G4" s="194">
        <v>2</v>
      </c>
      <c r="H4" s="196">
        <f t="shared" ref="H4:H6" si="0">E4*(1+F4)^D4</f>
        <v>2000000.1300000001</v>
      </c>
    </row>
    <row r="5" spans="2:8" x14ac:dyDescent="0.3">
      <c r="B5" s="80" t="s">
        <v>67</v>
      </c>
      <c r="C5" s="200">
        <v>2026</v>
      </c>
      <c r="D5" s="7">
        <f>C5-2024</f>
        <v>2</v>
      </c>
      <c r="E5" s="201">
        <v>100000</v>
      </c>
      <c r="F5" s="79">
        <v>7.0000000000000007E-2</v>
      </c>
      <c r="G5" s="7">
        <v>1</v>
      </c>
      <c r="H5" s="81">
        <f t="shared" si="0"/>
        <v>114490</v>
      </c>
    </row>
    <row r="6" spans="2:8" x14ac:dyDescent="0.3">
      <c r="B6" s="80" t="s">
        <v>68</v>
      </c>
      <c r="C6" s="200">
        <v>2029</v>
      </c>
      <c r="D6" s="7">
        <f t="shared" ref="D6" si="1">C6-2024</f>
        <v>5</v>
      </c>
      <c r="E6" s="201">
        <v>100000</v>
      </c>
      <c r="F6" s="79">
        <v>7.0000000000000007E-2</v>
      </c>
      <c r="G6" s="7">
        <v>1</v>
      </c>
      <c r="H6" s="81">
        <f t="shared" si="0"/>
        <v>140255.17307000002</v>
      </c>
    </row>
    <row r="7" spans="2:8" x14ac:dyDescent="0.3">
      <c r="B7" s="80" t="s">
        <v>200</v>
      </c>
      <c r="C7" s="200">
        <v>2031</v>
      </c>
      <c r="D7" s="7">
        <f t="shared" ref="D7" si="2">C7-2024</f>
        <v>7</v>
      </c>
      <c r="E7" s="201">
        <v>22000000</v>
      </c>
      <c r="F7" s="79">
        <v>7.0000000000000007E-2</v>
      </c>
      <c r="G7" s="7">
        <v>1</v>
      </c>
      <c r="H7" s="81">
        <f t="shared" ref="H7" si="3">E7*(1+F7)^D7</f>
        <v>35327192.48252546</v>
      </c>
    </row>
    <row r="8" spans="2:8" x14ac:dyDescent="0.3">
      <c r="B8" s="80" t="s">
        <v>72</v>
      </c>
      <c r="C8" s="200">
        <v>2048</v>
      </c>
      <c r="D8" s="7">
        <f t="shared" ref="D8:D15" si="4">C8-2024</f>
        <v>24</v>
      </c>
      <c r="E8" s="201">
        <v>2800000</v>
      </c>
      <c r="F8" s="79">
        <v>7.0000000000000007E-2</v>
      </c>
      <c r="G8" s="7">
        <v>3</v>
      </c>
      <c r="H8" s="81">
        <f>E8*(1+F8)^D8</f>
        <v>14202627.469480462</v>
      </c>
    </row>
    <row r="9" spans="2:8" ht="17.399999999999999" customHeight="1" x14ac:dyDescent="0.3">
      <c r="B9" s="80" t="s">
        <v>73</v>
      </c>
      <c r="C9" s="200">
        <v>2051</v>
      </c>
      <c r="D9" s="7">
        <f t="shared" si="4"/>
        <v>27</v>
      </c>
      <c r="E9" s="201">
        <v>4000000</v>
      </c>
      <c r="F9" s="79">
        <v>7.0000000000000007E-2</v>
      </c>
      <c r="G9" s="7">
        <v>4</v>
      </c>
      <c r="H9" s="81">
        <f>E9*(1+F9)^D9</f>
        <v>24855470.518706795</v>
      </c>
    </row>
    <row r="10" spans="2:8" ht="17.399999999999999" customHeight="1" x14ac:dyDescent="0.3">
      <c r="B10" s="80" t="s">
        <v>198</v>
      </c>
      <c r="C10" s="200">
        <v>2051</v>
      </c>
      <c r="D10" s="7">
        <f t="shared" si="4"/>
        <v>27</v>
      </c>
      <c r="E10" s="201">
        <v>30000000</v>
      </c>
      <c r="F10" s="79">
        <v>7.0000000000000007E-2</v>
      </c>
      <c r="G10" s="7">
        <v>4</v>
      </c>
      <c r="H10" s="81">
        <f t="shared" ref="H10" si="5">E10*(1+F10)^D10</f>
        <v>186416028.89030096</v>
      </c>
    </row>
    <row r="11" spans="2:8" x14ac:dyDescent="0.3">
      <c r="B11" s="80" t="s">
        <v>197</v>
      </c>
      <c r="C11" s="200">
        <v>2056</v>
      </c>
      <c r="D11" s="7">
        <f t="shared" si="4"/>
        <v>32</v>
      </c>
      <c r="E11" s="201">
        <v>30000000</v>
      </c>
      <c r="F11" s="79">
        <v>7.0000000000000007E-2</v>
      </c>
      <c r="G11" s="7">
        <v>5</v>
      </c>
      <c r="H11" s="81">
        <f>E11*(1+F11)^D11</f>
        <v>261458123.95031279</v>
      </c>
    </row>
    <row r="12" spans="2:8" x14ac:dyDescent="0.3">
      <c r="B12" s="80" t="s">
        <v>46</v>
      </c>
      <c r="C12" s="200">
        <v>2027</v>
      </c>
      <c r="D12" s="7">
        <f t="shared" si="4"/>
        <v>3</v>
      </c>
      <c r="E12" s="201">
        <v>1500000</v>
      </c>
      <c r="F12" s="79">
        <v>7.0000000000000007E-2</v>
      </c>
      <c r="G12" s="7">
        <v>6</v>
      </c>
      <c r="H12" s="81">
        <f>E12*(1+F12)^D12</f>
        <v>1837564.5000000002</v>
      </c>
    </row>
    <row r="13" spans="2:8" x14ac:dyDescent="0.3">
      <c r="B13" s="80" t="s">
        <v>47</v>
      </c>
      <c r="C13" s="200">
        <v>2038</v>
      </c>
      <c r="D13" s="7">
        <f t="shared" si="4"/>
        <v>14</v>
      </c>
      <c r="E13" s="201">
        <v>1800000</v>
      </c>
      <c r="F13" s="79">
        <v>7.0000000000000007E-2</v>
      </c>
      <c r="G13" s="7">
        <v>7</v>
      </c>
      <c r="H13" s="81">
        <f>E13*(1+F13)^D13</f>
        <v>4641361.4703622442</v>
      </c>
    </row>
    <row r="14" spans="2:8" x14ac:dyDescent="0.3">
      <c r="B14" s="80" t="s">
        <v>74</v>
      </c>
      <c r="C14" s="200">
        <v>2042</v>
      </c>
      <c r="D14" s="202">
        <f t="shared" si="4"/>
        <v>18</v>
      </c>
      <c r="E14" s="203">
        <v>2500000</v>
      </c>
      <c r="F14" s="79">
        <v>7.0000000000000007E-2</v>
      </c>
      <c r="G14" s="7">
        <v>8</v>
      </c>
      <c r="H14" s="81">
        <f>E14*(1+F14)^D14</f>
        <v>8449830.6893313378</v>
      </c>
    </row>
    <row r="15" spans="2:8" ht="16.2" thickBot="1" x14ac:dyDescent="0.35">
      <c r="B15" s="82" t="s">
        <v>151</v>
      </c>
      <c r="C15" s="83">
        <v>2058</v>
      </c>
      <c r="D15" s="84">
        <f t="shared" si="4"/>
        <v>34</v>
      </c>
      <c r="E15" s="85">
        <v>18000000</v>
      </c>
      <c r="F15" s="86">
        <v>7.0000000000000007E-2</v>
      </c>
      <c r="G15" s="87">
        <v>9</v>
      </c>
      <c r="H15" s="88">
        <f>E15*(1+F15)^D15</f>
        <v>179606043.66642785</v>
      </c>
    </row>
    <row r="16" spans="2:8" x14ac:dyDescent="0.3">
      <c r="D16" s="166"/>
      <c r="E16" s="78"/>
      <c r="F16" s="192"/>
      <c r="G16" s="191"/>
      <c r="H16" s="193"/>
    </row>
    <row r="17" spans="2:4" x14ac:dyDescent="0.3">
      <c r="B17" s="204" t="s">
        <v>205</v>
      </c>
      <c r="C17" s="204"/>
      <c r="D17" s="20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5641D-FA16-4CCB-9A17-DDD5B21ABCD4}">
  <dimension ref="A4:I14"/>
  <sheetViews>
    <sheetView zoomScale="121" zoomScaleNormal="130" workbookViewId="0">
      <selection activeCell="E18" sqref="E18"/>
    </sheetView>
  </sheetViews>
  <sheetFormatPr defaultRowHeight="14.4" x14ac:dyDescent="0.3"/>
  <cols>
    <col min="1" max="1" width="17.33203125" customWidth="1"/>
    <col min="2" max="2" width="13.33203125" bestFit="1" customWidth="1"/>
    <col min="3" max="3" width="14.44140625" bestFit="1" customWidth="1"/>
    <col min="4" max="4" width="14.44140625" customWidth="1"/>
    <col min="8" max="8" width="13.44140625" bestFit="1" customWidth="1"/>
  </cols>
  <sheetData>
    <row r="4" spans="1:9" ht="15" thickBot="1" x14ac:dyDescent="0.35"/>
    <row r="5" spans="1:9" ht="16.2" thickBot="1" x14ac:dyDescent="0.35">
      <c r="A5" s="210" t="s">
        <v>7</v>
      </c>
      <c r="B5" s="212" t="s">
        <v>103</v>
      </c>
      <c r="C5" s="213"/>
      <c r="D5" s="214" t="s">
        <v>75</v>
      </c>
    </row>
    <row r="6" spans="1:9" ht="21" customHeight="1" thickBot="1" x14ac:dyDescent="0.35">
      <c r="A6" s="211"/>
      <c r="B6" s="34" t="s">
        <v>6</v>
      </c>
      <c r="C6" s="36" t="s">
        <v>5</v>
      </c>
      <c r="D6" s="215"/>
    </row>
    <row r="7" spans="1:9" ht="19.2" customHeight="1" x14ac:dyDescent="0.3">
      <c r="A7" s="8" t="s">
        <v>8</v>
      </c>
      <c r="B7" s="13">
        <v>140000</v>
      </c>
      <c r="C7" s="13">
        <f>B7*12</f>
        <v>1680000</v>
      </c>
      <c r="D7" s="9">
        <v>7.0000000000000007E-2</v>
      </c>
      <c r="I7" s="2"/>
    </row>
    <row r="8" spans="1:9" ht="22.8" customHeight="1" x14ac:dyDescent="0.3">
      <c r="A8" s="7" t="s">
        <v>9</v>
      </c>
      <c r="B8" s="14">
        <v>120000</v>
      </c>
      <c r="C8" s="14">
        <f>B8*12</f>
        <v>1440000</v>
      </c>
      <c r="D8" s="6">
        <v>7.0000000000000007E-2</v>
      </c>
    </row>
    <row r="9" spans="1:9" ht="22.8" customHeight="1" x14ac:dyDescent="0.3">
      <c r="A9" s="5" t="s">
        <v>0</v>
      </c>
      <c r="B9" s="14">
        <f>SUM(B7:B8)</f>
        <v>260000</v>
      </c>
      <c r="C9" s="14">
        <f>SUM(C7:C8)</f>
        <v>3120000</v>
      </c>
    </row>
    <row r="11" spans="1:9" x14ac:dyDescent="0.3">
      <c r="G11" t="s">
        <v>119</v>
      </c>
    </row>
    <row r="14" spans="1:9" x14ac:dyDescent="0.3">
      <c r="H14" s="12"/>
    </row>
  </sheetData>
  <mergeCells count="3">
    <mergeCell ref="A5:A6"/>
    <mergeCell ref="B5:C5"/>
    <mergeCell ref="D5:D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A0AA4-44C7-42E9-89AC-054A4B08CAA7}">
  <dimension ref="A1:G20"/>
  <sheetViews>
    <sheetView zoomScale="102" workbookViewId="0">
      <selection activeCell="C19" sqref="C19"/>
    </sheetView>
  </sheetViews>
  <sheetFormatPr defaultRowHeight="14.4" x14ac:dyDescent="0.3"/>
  <cols>
    <col min="1" max="1" width="35.6640625" customWidth="1"/>
    <col min="2" max="2" width="13.33203125" bestFit="1" customWidth="1"/>
    <col min="3" max="3" width="14.44140625" bestFit="1" customWidth="1"/>
  </cols>
  <sheetData>
    <row r="1" spans="1:3" ht="16.2" customHeight="1" thickBot="1" x14ac:dyDescent="0.35">
      <c r="A1" s="216" t="s">
        <v>190</v>
      </c>
      <c r="B1" s="218" t="s">
        <v>23</v>
      </c>
      <c r="C1" s="219"/>
    </row>
    <row r="2" spans="1:3" ht="16.2" thickBot="1" x14ac:dyDescent="0.35">
      <c r="A2" s="217"/>
      <c r="B2" s="111" t="s">
        <v>6</v>
      </c>
      <c r="C2" s="112" t="s">
        <v>5</v>
      </c>
    </row>
    <row r="3" spans="1:3" ht="15.6" x14ac:dyDescent="0.3">
      <c r="A3" s="108"/>
      <c r="B3" s="109"/>
      <c r="C3" s="110"/>
    </row>
    <row r="4" spans="1:3" ht="15.6" x14ac:dyDescent="0.3">
      <c r="A4" s="100" t="s">
        <v>95</v>
      </c>
      <c r="B4" s="97"/>
      <c r="C4" s="99"/>
    </row>
    <row r="5" spans="1:3" ht="15.6" x14ac:dyDescent="0.3">
      <c r="A5" s="80" t="s">
        <v>4</v>
      </c>
      <c r="B5" s="14">
        <v>50000</v>
      </c>
      <c r="C5" s="101">
        <f>B5*12</f>
        <v>600000</v>
      </c>
    </row>
    <row r="6" spans="1:3" ht="15.6" x14ac:dyDescent="0.3">
      <c r="A6" s="80" t="s">
        <v>3</v>
      </c>
      <c r="B6" s="14">
        <v>20000</v>
      </c>
      <c r="C6" s="101">
        <f>B6*12</f>
        <v>240000</v>
      </c>
    </row>
    <row r="7" spans="1:3" ht="15.6" x14ac:dyDescent="0.3">
      <c r="A7" s="80" t="s">
        <v>2</v>
      </c>
      <c r="B7" s="14">
        <v>10000</v>
      </c>
      <c r="C7" s="101">
        <f>B7*12</f>
        <v>120000</v>
      </c>
    </row>
    <row r="8" spans="1:3" ht="15.6" x14ac:dyDescent="0.3">
      <c r="A8" s="80" t="s">
        <v>71</v>
      </c>
      <c r="B8" s="14">
        <v>8000</v>
      </c>
      <c r="C8" s="101">
        <f>B8*12</f>
        <v>96000</v>
      </c>
    </row>
    <row r="9" spans="1:3" ht="15.6" x14ac:dyDescent="0.3">
      <c r="A9" s="80" t="s">
        <v>1</v>
      </c>
      <c r="B9" s="14">
        <v>10000</v>
      </c>
      <c r="C9" s="101">
        <f t="shared" ref="C9" si="0">B9*12</f>
        <v>120000</v>
      </c>
    </row>
    <row r="10" spans="1:3" ht="15.6" x14ac:dyDescent="0.3">
      <c r="A10" s="102" t="s">
        <v>98</v>
      </c>
      <c r="B10" s="14">
        <f>SUM(B5:B9)</f>
        <v>98000</v>
      </c>
      <c r="C10" s="101">
        <f>SUM(C5:C9)</f>
        <v>1176000</v>
      </c>
    </row>
    <row r="11" spans="1:3" ht="15.6" x14ac:dyDescent="0.3">
      <c r="A11" s="80"/>
      <c r="B11" s="14"/>
      <c r="C11" s="101"/>
    </row>
    <row r="12" spans="1:3" ht="15.6" x14ac:dyDescent="0.3">
      <c r="A12" s="103" t="s">
        <v>94</v>
      </c>
      <c r="B12" s="14"/>
      <c r="C12" s="101"/>
    </row>
    <row r="13" spans="1:3" ht="15.6" x14ac:dyDescent="0.3">
      <c r="A13" s="80" t="s">
        <v>186</v>
      </c>
      <c r="B13" s="14">
        <v>8847</v>
      </c>
      <c r="C13" s="14">
        <f>B13*12</f>
        <v>106164</v>
      </c>
    </row>
    <row r="14" spans="1:3" ht="16.8" customHeight="1" x14ac:dyDescent="0.3">
      <c r="A14" s="80" t="s">
        <v>188</v>
      </c>
      <c r="B14" s="14">
        <f>'Insurance Policies'!N5</f>
        <v>11727</v>
      </c>
      <c r="C14" s="101">
        <f>B14*12</f>
        <v>140724</v>
      </c>
    </row>
    <row r="15" spans="1:3" ht="16.8" customHeight="1" x14ac:dyDescent="0.3">
      <c r="A15" s="80" t="s">
        <v>97</v>
      </c>
      <c r="B15" s="14">
        <f>'Amortisation Table - Car Loan'!H11</f>
        <v>38067.786705035673</v>
      </c>
      <c r="C15" s="101">
        <f>B15*12</f>
        <v>456813.44046042807</v>
      </c>
    </row>
    <row r="16" spans="1:3" ht="16.8" customHeight="1" x14ac:dyDescent="0.3">
      <c r="A16" s="102" t="s">
        <v>96</v>
      </c>
      <c r="B16" s="14">
        <f>SUM(B13:B15)</f>
        <v>58641.786705035673</v>
      </c>
      <c r="C16" s="14">
        <f>SUM(C13:C15)</f>
        <v>703701.44046042813</v>
      </c>
    </row>
    <row r="17" spans="1:7" x14ac:dyDescent="0.3">
      <c r="A17" s="1"/>
      <c r="B17" s="98"/>
      <c r="C17" s="104"/>
    </row>
    <row r="18" spans="1:7" ht="16.2" thickBot="1" x14ac:dyDescent="0.35">
      <c r="A18" s="105" t="s">
        <v>99</v>
      </c>
      <c r="B18" s="106">
        <f>SUM(B10,B16)</f>
        <v>156641.78670503566</v>
      </c>
      <c r="C18" s="107">
        <f>SUM(C10,C16)</f>
        <v>1879701.4404604281</v>
      </c>
    </row>
    <row r="19" spans="1:7" x14ac:dyDescent="0.3">
      <c r="B19" s="12"/>
      <c r="C19" s="12"/>
    </row>
    <row r="20" spans="1:7" x14ac:dyDescent="0.3">
      <c r="G20" s="2"/>
    </row>
  </sheetData>
  <mergeCells count="2">
    <mergeCell ref="A1:A2"/>
    <mergeCell ref="B1:C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EE498-941C-4A58-8E58-E5F41F8F9FBE}">
  <dimension ref="A2:H186"/>
  <sheetViews>
    <sheetView zoomScale="96" zoomScaleNormal="100" workbookViewId="0">
      <selection activeCell="H21" sqref="H21"/>
    </sheetView>
  </sheetViews>
  <sheetFormatPr defaultRowHeight="15.6" x14ac:dyDescent="0.3"/>
  <cols>
    <col min="1" max="1" width="9" style="3" bestFit="1" customWidth="1"/>
    <col min="2" max="4" width="12.88671875" style="3" bestFit="1" customWidth="1"/>
    <col min="5" max="5" width="15.77734375" style="3" bestFit="1" customWidth="1"/>
    <col min="6" max="6" width="8.88671875" style="3"/>
    <col min="7" max="7" width="26.21875" style="3" bestFit="1" customWidth="1"/>
    <col min="8" max="8" width="16" style="3" bestFit="1" customWidth="1"/>
    <col min="9" max="16384" width="8.88671875" style="3"/>
  </cols>
  <sheetData>
    <row r="2" spans="1:8" x14ac:dyDescent="0.3">
      <c r="A2" s="220" t="s">
        <v>168</v>
      </c>
      <c r="B2" s="220"/>
      <c r="C2" s="220"/>
      <c r="D2" s="220"/>
      <c r="E2" s="220"/>
      <c r="F2" s="220"/>
      <c r="G2" s="220"/>
      <c r="H2" s="220"/>
    </row>
    <row r="3" spans="1:8" ht="5.4" customHeight="1" x14ac:dyDescent="0.3">
      <c r="A3" s="220"/>
      <c r="B3" s="220"/>
      <c r="C3" s="220"/>
      <c r="D3" s="220"/>
      <c r="E3" s="220"/>
      <c r="F3" s="220"/>
      <c r="G3" s="220"/>
      <c r="H3" s="220"/>
    </row>
    <row r="4" spans="1:8" ht="16.2" thickBot="1" x14ac:dyDescent="0.35"/>
    <row r="5" spans="1:8" ht="19.8" customHeight="1" thickBot="1" x14ac:dyDescent="0.35">
      <c r="A5" s="67" t="s">
        <v>52</v>
      </c>
      <c r="B5" s="68" t="s">
        <v>53</v>
      </c>
      <c r="C5" s="68" t="s">
        <v>54</v>
      </c>
      <c r="D5" s="68" t="s">
        <v>55</v>
      </c>
      <c r="E5" s="76" t="s">
        <v>56</v>
      </c>
      <c r="G5" s="19" t="s">
        <v>123</v>
      </c>
      <c r="H5" s="39">
        <v>2000000</v>
      </c>
    </row>
    <row r="6" spans="1:8" x14ac:dyDescent="0.3">
      <c r="A6" s="20">
        <v>0</v>
      </c>
      <c r="B6" s="21"/>
      <c r="C6" s="21"/>
      <c r="D6" s="21"/>
      <c r="E6" s="22">
        <f>H7</f>
        <v>1800000</v>
      </c>
      <c r="G6" s="23" t="s">
        <v>124</v>
      </c>
      <c r="H6" s="40">
        <v>200000</v>
      </c>
    </row>
    <row r="7" spans="1:8" x14ac:dyDescent="0.3">
      <c r="A7" s="24">
        <v>1</v>
      </c>
      <c r="B7" s="25">
        <f t="shared" ref="B7:B38" si="0">$H$11</f>
        <v>38067.786705035673</v>
      </c>
      <c r="C7" s="25">
        <f t="shared" ref="C7:C38" si="1">$H$10*E6</f>
        <v>14700.000000000002</v>
      </c>
      <c r="D7" s="25">
        <f>B7-C7</f>
        <v>23367.786705035673</v>
      </c>
      <c r="E7" s="26">
        <f>E6-D7</f>
        <v>1776632.2132949643</v>
      </c>
      <c r="G7" s="23" t="s">
        <v>57</v>
      </c>
      <c r="H7" s="41">
        <f>2000000-200000</f>
        <v>1800000</v>
      </c>
    </row>
    <row r="8" spans="1:8" x14ac:dyDescent="0.3">
      <c r="A8" s="24">
        <v>2</v>
      </c>
      <c r="B8" s="25">
        <f t="shared" si="0"/>
        <v>38067.786705035673</v>
      </c>
      <c r="C8" s="25">
        <f t="shared" si="1"/>
        <v>14509.16307524221</v>
      </c>
      <c r="D8" s="25">
        <f t="shared" ref="D8:D66" si="2">B8-C8</f>
        <v>23558.623629793463</v>
      </c>
      <c r="E8" s="26">
        <f t="shared" ref="E8:E66" si="3">E7-D8</f>
        <v>1753073.5896651708</v>
      </c>
      <c r="G8" s="23" t="s">
        <v>58</v>
      </c>
      <c r="H8" s="10">
        <f>5*12</f>
        <v>60</v>
      </c>
    </row>
    <row r="9" spans="1:8" x14ac:dyDescent="0.3">
      <c r="A9" s="24">
        <v>3</v>
      </c>
      <c r="B9" s="25">
        <f t="shared" si="0"/>
        <v>38067.786705035673</v>
      </c>
      <c r="C9" s="25">
        <f t="shared" si="1"/>
        <v>14316.767648932229</v>
      </c>
      <c r="D9" s="25">
        <f t="shared" si="2"/>
        <v>23751.019056103443</v>
      </c>
      <c r="E9" s="26">
        <f t="shared" si="3"/>
        <v>1729322.5706090673</v>
      </c>
      <c r="G9" s="23" t="s">
        <v>59</v>
      </c>
      <c r="H9" s="27">
        <v>9.8000000000000004E-2</v>
      </c>
    </row>
    <row r="10" spans="1:8" x14ac:dyDescent="0.3">
      <c r="A10" s="24">
        <v>4</v>
      </c>
      <c r="B10" s="25">
        <f t="shared" si="0"/>
        <v>38067.786705035673</v>
      </c>
      <c r="C10" s="25">
        <f t="shared" si="1"/>
        <v>14122.800993307384</v>
      </c>
      <c r="D10" s="25">
        <f t="shared" si="2"/>
        <v>23944.985711728288</v>
      </c>
      <c r="E10" s="26">
        <f t="shared" si="3"/>
        <v>1705377.5848973391</v>
      </c>
      <c r="G10" s="23" t="s">
        <v>60</v>
      </c>
      <c r="H10" s="28">
        <f>H9/12</f>
        <v>8.1666666666666676E-3</v>
      </c>
    </row>
    <row r="11" spans="1:8" x14ac:dyDescent="0.3">
      <c r="A11" s="24">
        <v>5</v>
      </c>
      <c r="B11" s="25">
        <f t="shared" si="0"/>
        <v>38067.786705035673</v>
      </c>
      <c r="C11" s="25">
        <f t="shared" si="1"/>
        <v>13927.250276661603</v>
      </c>
      <c r="D11" s="25">
        <f t="shared" si="2"/>
        <v>24140.536428374071</v>
      </c>
      <c r="E11" s="26">
        <f t="shared" si="3"/>
        <v>1681237.0484689651</v>
      </c>
      <c r="G11" s="37" t="s">
        <v>61</v>
      </c>
      <c r="H11" s="38">
        <f>(H7*H10*(1+H10)^H8)/((1+H10)^60-1)</f>
        <v>38067.786705035673</v>
      </c>
    </row>
    <row r="12" spans="1:8" x14ac:dyDescent="0.3">
      <c r="A12" s="24">
        <v>6</v>
      </c>
      <c r="B12" s="25">
        <f t="shared" si="0"/>
        <v>38067.786705035673</v>
      </c>
      <c r="C12" s="25">
        <f t="shared" si="1"/>
        <v>13730.10256249655</v>
      </c>
      <c r="D12" s="25">
        <f t="shared" si="2"/>
        <v>24337.684142539125</v>
      </c>
      <c r="E12" s="26">
        <f t="shared" si="3"/>
        <v>1656899.3643264261</v>
      </c>
      <c r="G12" s="23" t="s">
        <v>62</v>
      </c>
      <c r="H12" s="29">
        <f>H11*H8</f>
        <v>2284067.2023021402</v>
      </c>
    </row>
    <row r="13" spans="1:8" ht="16.2" thickBot="1" x14ac:dyDescent="0.35">
      <c r="A13" s="24">
        <v>7</v>
      </c>
      <c r="B13" s="25">
        <f t="shared" si="0"/>
        <v>38067.786705035673</v>
      </c>
      <c r="C13" s="25">
        <f t="shared" si="1"/>
        <v>13531.344808665814</v>
      </c>
      <c r="D13" s="25">
        <f t="shared" si="2"/>
        <v>24536.441896369859</v>
      </c>
      <c r="E13" s="26">
        <f t="shared" si="3"/>
        <v>1632362.9224300561</v>
      </c>
      <c r="G13" s="30" t="s">
        <v>63</v>
      </c>
      <c r="H13" s="31">
        <f>H12-H7</f>
        <v>484067.20230214018</v>
      </c>
    </row>
    <row r="14" spans="1:8" x14ac:dyDescent="0.3">
      <c r="A14" s="24">
        <v>8</v>
      </c>
      <c r="B14" s="25">
        <f t="shared" si="0"/>
        <v>38067.786705035673</v>
      </c>
      <c r="C14" s="25">
        <f t="shared" si="1"/>
        <v>13330.963866512127</v>
      </c>
      <c r="D14" s="25">
        <f t="shared" si="2"/>
        <v>24736.822838523545</v>
      </c>
      <c r="E14" s="26">
        <f t="shared" si="3"/>
        <v>1607626.0995915325</v>
      </c>
    </row>
    <row r="15" spans="1:8" x14ac:dyDescent="0.3">
      <c r="A15" s="24">
        <v>9</v>
      </c>
      <c r="B15" s="25">
        <f t="shared" si="0"/>
        <v>38067.786705035673</v>
      </c>
      <c r="C15" s="25">
        <f t="shared" si="1"/>
        <v>13128.946479997518</v>
      </c>
      <c r="D15" s="25">
        <f t="shared" si="2"/>
        <v>24938.840225038155</v>
      </c>
      <c r="E15" s="26">
        <f t="shared" si="3"/>
        <v>1582687.2593664944</v>
      </c>
    </row>
    <row r="16" spans="1:8" x14ac:dyDescent="0.3">
      <c r="A16" s="24">
        <v>10</v>
      </c>
      <c r="B16" s="25">
        <f t="shared" si="0"/>
        <v>38067.786705035673</v>
      </c>
      <c r="C16" s="25">
        <f t="shared" si="1"/>
        <v>12925.279284826373</v>
      </c>
      <c r="D16" s="25">
        <f t="shared" si="2"/>
        <v>25142.507420209302</v>
      </c>
      <c r="E16" s="26">
        <f t="shared" si="3"/>
        <v>1557544.7519462851</v>
      </c>
    </row>
    <row r="17" spans="1:5" x14ac:dyDescent="0.3">
      <c r="A17" s="24">
        <v>11</v>
      </c>
      <c r="B17" s="25">
        <f t="shared" si="0"/>
        <v>38067.786705035673</v>
      </c>
      <c r="C17" s="25">
        <f t="shared" si="1"/>
        <v>12719.94880756133</v>
      </c>
      <c r="D17" s="25">
        <f t="shared" si="2"/>
        <v>25347.837897474343</v>
      </c>
      <c r="E17" s="26">
        <f t="shared" si="3"/>
        <v>1532196.9140488107</v>
      </c>
    </row>
    <row r="18" spans="1:5" x14ac:dyDescent="0.3">
      <c r="A18" s="24">
        <v>12</v>
      </c>
      <c r="B18" s="25">
        <f t="shared" si="0"/>
        <v>38067.786705035673</v>
      </c>
      <c r="C18" s="25">
        <f t="shared" si="1"/>
        <v>12512.941464731955</v>
      </c>
      <c r="D18" s="25">
        <f t="shared" si="2"/>
        <v>25554.845240303715</v>
      </c>
      <c r="E18" s="26">
        <f t="shared" si="3"/>
        <v>1506642.0688085069</v>
      </c>
    </row>
    <row r="19" spans="1:5" x14ac:dyDescent="0.3">
      <c r="A19" s="24">
        <v>13</v>
      </c>
      <c r="B19" s="25">
        <f t="shared" si="0"/>
        <v>38067.786705035673</v>
      </c>
      <c r="C19" s="25">
        <f t="shared" si="1"/>
        <v>12304.243561936142</v>
      </c>
      <c r="D19" s="25">
        <f t="shared" si="2"/>
        <v>25763.54314309953</v>
      </c>
      <c r="E19" s="26">
        <f t="shared" si="3"/>
        <v>1480878.5256654073</v>
      </c>
    </row>
    <row r="20" spans="1:5" x14ac:dyDescent="0.3">
      <c r="A20" s="24">
        <v>14</v>
      </c>
      <c r="B20" s="25">
        <f t="shared" si="0"/>
        <v>38067.786705035673</v>
      </c>
      <c r="C20" s="25">
        <f t="shared" si="1"/>
        <v>12093.841292934161</v>
      </c>
      <c r="D20" s="25">
        <f t="shared" si="2"/>
        <v>25973.945412101511</v>
      </c>
      <c r="E20" s="26">
        <f t="shared" si="3"/>
        <v>1454904.5802533058</v>
      </c>
    </row>
    <row r="21" spans="1:5" x14ac:dyDescent="0.3">
      <c r="A21" s="24">
        <v>15</v>
      </c>
      <c r="B21" s="25">
        <f t="shared" si="0"/>
        <v>38067.786705035673</v>
      </c>
      <c r="C21" s="25">
        <f t="shared" si="1"/>
        <v>11881.720738735332</v>
      </c>
      <c r="D21" s="25">
        <f t="shared" si="2"/>
        <v>26186.065966300339</v>
      </c>
      <c r="E21" s="26">
        <f t="shared" si="3"/>
        <v>1428718.5142870054</v>
      </c>
    </row>
    <row r="22" spans="1:5" x14ac:dyDescent="0.3">
      <c r="A22" s="24">
        <v>16</v>
      </c>
      <c r="B22" s="25">
        <f t="shared" si="0"/>
        <v>38067.786705035673</v>
      </c>
      <c r="C22" s="25">
        <f t="shared" si="1"/>
        <v>11667.867866677212</v>
      </c>
      <c r="D22" s="25">
        <f t="shared" si="2"/>
        <v>26399.918838358462</v>
      </c>
      <c r="E22" s="26">
        <f t="shared" si="3"/>
        <v>1402318.5954486469</v>
      </c>
    </row>
    <row r="23" spans="1:5" x14ac:dyDescent="0.3">
      <c r="A23" s="24">
        <v>17</v>
      </c>
      <c r="B23" s="25">
        <f t="shared" si="0"/>
        <v>38067.786705035673</v>
      </c>
      <c r="C23" s="25">
        <f t="shared" si="1"/>
        <v>11452.268529497285</v>
      </c>
      <c r="D23" s="25">
        <f t="shared" si="2"/>
        <v>26615.518175538389</v>
      </c>
      <c r="E23" s="26">
        <f t="shared" si="3"/>
        <v>1375703.0772731085</v>
      </c>
    </row>
    <row r="24" spans="1:5" x14ac:dyDescent="0.3">
      <c r="A24" s="24">
        <v>18</v>
      </c>
      <c r="B24" s="25">
        <f t="shared" si="0"/>
        <v>38067.786705035673</v>
      </c>
      <c r="C24" s="25">
        <f t="shared" si="1"/>
        <v>11234.908464397055</v>
      </c>
      <c r="D24" s="25">
        <f t="shared" si="2"/>
        <v>26832.878240638616</v>
      </c>
      <c r="E24" s="26">
        <f t="shared" si="3"/>
        <v>1348870.1990324699</v>
      </c>
    </row>
    <row r="25" spans="1:5" x14ac:dyDescent="0.3">
      <c r="A25" s="24">
        <v>19</v>
      </c>
      <c r="B25" s="25">
        <f t="shared" si="0"/>
        <v>38067.786705035673</v>
      </c>
      <c r="C25" s="25">
        <f t="shared" si="1"/>
        <v>11015.773292098505</v>
      </c>
      <c r="D25" s="25">
        <f t="shared" si="2"/>
        <v>27052.013412937165</v>
      </c>
      <c r="E25" s="26">
        <f t="shared" si="3"/>
        <v>1321818.1856195328</v>
      </c>
    </row>
    <row r="26" spans="1:5" x14ac:dyDescent="0.3">
      <c r="A26" s="24">
        <v>20</v>
      </c>
      <c r="B26" s="25">
        <f t="shared" si="0"/>
        <v>38067.786705035673</v>
      </c>
      <c r="C26" s="25">
        <f t="shared" si="1"/>
        <v>10794.848515892852</v>
      </c>
      <c r="D26" s="25">
        <f t="shared" si="2"/>
        <v>27272.93818914282</v>
      </c>
      <c r="E26" s="26">
        <f t="shared" si="3"/>
        <v>1294545.24743039</v>
      </c>
    </row>
    <row r="27" spans="1:5" x14ac:dyDescent="0.3">
      <c r="A27" s="24">
        <v>21</v>
      </c>
      <c r="B27" s="25">
        <f t="shared" si="0"/>
        <v>38067.786705035673</v>
      </c>
      <c r="C27" s="25">
        <f t="shared" si="1"/>
        <v>10572.119520681519</v>
      </c>
      <c r="D27" s="25">
        <f t="shared" si="2"/>
        <v>27495.667184354155</v>
      </c>
      <c r="E27" s="26">
        <f t="shared" si="3"/>
        <v>1267049.5802460359</v>
      </c>
    </row>
    <row r="28" spans="1:5" x14ac:dyDescent="0.3">
      <c r="A28" s="24">
        <v>22</v>
      </c>
      <c r="B28" s="25">
        <f t="shared" si="0"/>
        <v>38067.786705035673</v>
      </c>
      <c r="C28" s="25">
        <f t="shared" si="1"/>
        <v>10347.571572009294</v>
      </c>
      <c r="D28" s="25">
        <f t="shared" si="2"/>
        <v>27720.21513302638</v>
      </c>
      <c r="E28" s="26">
        <f t="shared" si="3"/>
        <v>1239329.3651130095</v>
      </c>
    </row>
    <row r="29" spans="1:5" x14ac:dyDescent="0.3">
      <c r="A29" s="24">
        <v>23</v>
      </c>
      <c r="B29" s="25">
        <f t="shared" si="0"/>
        <v>38067.786705035673</v>
      </c>
      <c r="C29" s="25">
        <f t="shared" si="1"/>
        <v>10121.189815089578</v>
      </c>
      <c r="D29" s="25">
        <f t="shared" si="2"/>
        <v>27946.596889946093</v>
      </c>
      <c r="E29" s="26">
        <f t="shared" si="3"/>
        <v>1211382.7682230633</v>
      </c>
    </row>
    <row r="30" spans="1:5" x14ac:dyDescent="0.3">
      <c r="A30" s="24">
        <v>24</v>
      </c>
      <c r="B30" s="25">
        <f t="shared" si="0"/>
        <v>38067.786705035673</v>
      </c>
      <c r="C30" s="25">
        <f t="shared" si="1"/>
        <v>9892.9592738216852</v>
      </c>
      <c r="D30" s="25">
        <f t="shared" si="2"/>
        <v>28174.827431213987</v>
      </c>
      <c r="E30" s="26">
        <f t="shared" si="3"/>
        <v>1183207.9407918493</v>
      </c>
    </row>
    <row r="31" spans="1:5" x14ac:dyDescent="0.3">
      <c r="A31" s="24">
        <v>25</v>
      </c>
      <c r="B31" s="25">
        <f t="shared" si="0"/>
        <v>38067.786705035673</v>
      </c>
      <c r="C31" s="25">
        <f t="shared" si="1"/>
        <v>9662.8648498001039</v>
      </c>
      <c r="D31" s="25">
        <f t="shared" si="2"/>
        <v>28404.921855235567</v>
      </c>
      <c r="E31" s="26">
        <f t="shared" si="3"/>
        <v>1154803.0189366138</v>
      </c>
    </row>
    <row r="32" spans="1:5" x14ac:dyDescent="0.3">
      <c r="A32" s="24">
        <v>26</v>
      </c>
      <c r="B32" s="25">
        <f t="shared" si="0"/>
        <v>38067.786705035673</v>
      </c>
      <c r="C32" s="25">
        <f t="shared" si="1"/>
        <v>9430.8913213156811</v>
      </c>
      <c r="D32" s="25">
        <f t="shared" si="2"/>
        <v>28636.895383719992</v>
      </c>
      <c r="E32" s="26">
        <f t="shared" si="3"/>
        <v>1126166.1235528938</v>
      </c>
    </row>
    <row r="33" spans="1:5" x14ac:dyDescent="0.3">
      <c r="A33" s="24">
        <v>27</v>
      </c>
      <c r="B33" s="25">
        <f t="shared" si="0"/>
        <v>38067.786705035673</v>
      </c>
      <c r="C33" s="25">
        <f t="shared" si="1"/>
        <v>9197.0233423486334</v>
      </c>
      <c r="D33" s="25">
        <f t="shared" si="2"/>
        <v>28870.763362687037</v>
      </c>
      <c r="E33" s="26">
        <f t="shared" si="3"/>
        <v>1097295.3601902067</v>
      </c>
    </row>
    <row r="34" spans="1:5" x14ac:dyDescent="0.3">
      <c r="A34" s="24">
        <v>28</v>
      </c>
      <c r="B34" s="25">
        <f t="shared" si="0"/>
        <v>38067.786705035673</v>
      </c>
      <c r="C34" s="25">
        <f t="shared" si="1"/>
        <v>8961.2454415533557</v>
      </c>
      <c r="D34" s="25">
        <f t="shared" si="2"/>
        <v>29106.541263482315</v>
      </c>
      <c r="E34" s="26">
        <f t="shared" si="3"/>
        <v>1068188.8189267244</v>
      </c>
    </row>
    <row r="35" spans="1:5" x14ac:dyDescent="0.3">
      <c r="A35" s="24">
        <v>29</v>
      </c>
      <c r="B35" s="25">
        <f t="shared" si="0"/>
        <v>38067.786705035673</v>
      </c>
      <c r="C35" s="25">
        <f t="shared" si="1"/>
        <v>8723.5420212349163</v>
      </c>
      <c r="D35" s="25">
        <f t="shared" si="2"/>
        <v>29344.244683800756</v>
      </c>
      <c r="E35" s="26">
        <f t="shared" si="3"/>
        <v>1038844.5742429236</v>
      </c>
    </row>
    <row r="36" spans="1:5" x14ac:dyDescent="0.3">
      <c r="A36" s="24">
        <v>30</v>
      </c>
      <c r="B36" s="25">
        <f t="shared" si="0"/>
        <v>38067.786705035673</v>
      </c>
      <c r="C36" s="25">
        <f t="shared" si="1"/>
        <v>8483.8973563172112</v>
      </c>
      <c r="D36" s="25">
        <f t="shared" si="2"/>
        <v>29583.889348718461</v>
      </c>
      <c r="E36" s="26">
        <f t="shared" si="3"/>
        <v>1009260.6848942052</v>
      </c>
    </row>
    <row r="37" spans="1:5" x14ac:dyDescent="0.3">
      <c r="A37" s="24">
        <v>31</v>
      </c>
      <c r="B37" s="25">
        <f t="shared" si="0"/>
        <v>38067.786705035673</v>
      </c>
      <c r="C37" s="25">
        <f t="shared" si="1"/>
        <v>8242.2955933026769</v>
      </c>
      <c r="D37" s="25">
        <f t="shared" si="2"/>
        <v>29825.491111732998</v>
      </c>
      <c r="E37" s="26">
        <f t="shared" si="3"/>
        <v>979435.19378247217</v>
      </c>
    </row>
    <row r="38" spans="1:5" x14ac:dyDescent="0.3">
      <c r="A38" s="24">
        <v>32</v>
      </c>
      <c r="B38" s="25">
        <f t="shared" si="0"/>
        <v>38067.786705035673</v>
      </c>
      <c r="C38" s="25">
        <f t="shared" si="1"/>
        <v>7998.7207492235239</v>
      </c>
      <c r="D38" s="25">
        <f t="shared" si="2"/>
        <v>30069.065955812148</v>
      </c>
      <c r="E38" s="26">
        <f t="shared" si="3"/>
        <v>949366.12782666006</v>
      </c>
    </row>
    <row r="39" spans="1:5" x14ac:dyDescent="0.3">
      <c r="A39" s="24">
        <v>33</v>
      </c>
      <c r="B39" s="25">
        <f t="shared" ref="B39:B66" si="4">$H$11</f>
        <v>38067.786705035673</v>
      </c>
      <c r="C39" s="25">
        <f t="shared" ref="C39:C66" si="5">$H$10*E38</f>
        <v>7753.1567105843915</v>
      </c>
      <c r="D39" s="25">
        <f t="shared" si="2"/>
        <v>30314.629994451279</v>
      </c>
      <c r="E39" s="26">
        <f t="shared" si="3"/>
        <v>919051.49783220876</v>
      </c>
    </row>
    <row r="40" spans="1:5" x14ac:dyDescent="0.3">
      <c r="A40" s="24">
        <v>34</v>
      </c>
      <c r="B40" s="25">
        <f t="shared" si="4"/>
        <v>38067.786705035673</v>
      </c>
      <c r="C40" s="25">
        <f t="shared" si="5"/>
        <v>7505.5872322963723</v>
      </c>
      <c r="D40" s="25">
        <f t="shared" si="2"/>
        <v>30562.199472739299</v>
      </c>
      <c r="E40" s="26">
        <f t="shared" si="3"/>
        <v>888489.29835946951</v>
      </c>
    </row>
    <row r="41" spans="1:5" x14ac:dyDescent="0.3">
      <c r="A41" s="24">
        <v>35</v>
      </c>
      <c r="B41" s="25">
        <f t="shared" si="4"/>
        <v>38067.786705035673</v>
      </c>
      <c r="C41" s="25">
        <f t="shared" si="5"/>
        <v>7255.995936602335</v>
      </c>
      <c r="D41" s="25">
        <f t="shared" si="2"/>
        <v>30811.790768433337</v>
      </c>
      <c r="E41" s="26">
        <f t="shared" si="3"/>
        <v>857677.50759103615</v>
      </c>
    </row>
    <row r="42" spans="1:5" x14ac:dyDescent="0.3">
      <c r="A42" s="24">
        <v>36</v>
      </c>
      <c r="B42" s="25">
        <f t="shared" si="4"/>
        <v>38067.786705035673</v>
      </c>
      <c r="C42" s="25">
        <f t="shared" si="5"/>
        <v>7004.3663119934627</v>
      </c>
      <c r="D42" s="25">
        <f t="shared" si="2"/>
        <v>31063.420393042208</v>
      </c>
      <c r="E42" s="26">
        <f t="shared" si="3"/>
        <v>826614.08719799388</v>
      </c>
    </row>
    <row r="43" spans="1:5" x14ac:dyDescent="0.3">
      <c r="A43" s="24">
        <v>37</v>
      </c>
      <c r="B43" s="25">
        <f t="shared" si="4"/>
        <v>38067.786705035673</v>
      </c>
      <c r="C43" s="25">
        <f t="shared" si="5"/>
        <v>6750.6817121169506</v>
      </c>
      <c r="D43" s="25">
        <f t="shared" si="2"/>
        <v>31317.104992918721</v>
      </c>
      <c r="E43" s="26">
        <f t="shared" si="3"/>
        <v>795296.98220507521</v>
      </c>
    </row>
    <row r="44" spans="1:5" x14ac:dyDescent="0.3">
      <c r="A44" s="24">
        <v>38</v>
      </c>
      <c r="B44" s="25">
        <f t="shared" si="4"/>
        <v>38067.786705035673</v>
      </c>
      <c r="C44" s="25">
        <f t="shared" si="5"/>
        <v>6494.9253546747814</v>
      </c>
      <c r="D44" s="25">
        <f t="shared" si="2"/>
        <v>31572.86135036089</v>
      </c>
      <c r="E44" s="26">
        <f t="shared" si="3"/>
        <v>763724.1208547143</v>
      </c>
    </row>
    <row r="45" spans="1:5" x14ac:dyDescent="0.3">
      <c r="A45" s="24">
        <v>39</v>
      </c>
      <c r="B45" s="25">
        <f t="shared" si="4"/>
        <v>38067.786705035673</v>
      </c>
      <c r="C45" s="25">
        <f t="shared" si="5"/>
        <v>6237.080320313501</v>
      </c>
      <c r="D45" s="25">
        <f t="shared" si="2"/>
        <v>31830.706384722173</v>
      </c>
      <c r="E45" s="26">
        <f t="shared" si="3"/>
        <v>731893.41446999216</v>
      </c>
    </row>
    <row r="46" spans="1:5" x14ac:dyDescent="0.3">
      <c r="A46" s="24">
        <v>40</v>
      </c>
      <c r="B46" s="25">
        <f t="shared" si="4"/>
        <v>38067.786705035673</v>
      </c>
      <c r="C46" s="25">
        <f t="shared" si="5"/>
        <v>5977.1295515049369</v>
      </c>
      <c r="D46" s="25">
        <f t="shared" si="2"/>
        <v>32090.657153530738</v>
      </c>
      <c r="E46" s="26">
        <f t="shared" si="3"/>
        <v>699802.75731646142</v>
      </c>
    </row>
    <row r="47" spans="1:5" x14ac:dyDescent="0.3">
      <c r="A47" s="24">
        <v>41</v>
      </c>
      <c r="B47" s="25">
        <f t="shared" si="4"/>
        <v>38067.786705035673</v>
      </c>
      <c r="C47" s="25">
        <f t="shared" si="5"/>
        <v>5715.0558514177692</v>
      </c>
      <c r="D47" s="25">
        <f t="shared" si="2"/>
        <v>32352.730853617904</v>
      </c>
      <c r="E47" s="26">
        <f t="shared" si="3"/>
        <v>667450.02646284353</v>
      </c>
    </row>
    <row r="48" spans="1:5" x14ac:dyDescent="0.3">
      <c r="A48" s="24">
        <v>42</v>
      </c>
      <c r="B48" s="25">
        <f t="shared" si="4"/>
        <v>38067.786705035673</v>
      </c>
      <c r="C48" s="25">
        <f t="shared" si="5"/>
        <v>5450.8418827798896</v>
      </c>
      <c r="D48" s="25">
        <f t="shared" si="2"/>
        <v>32616.944822255784</v>
      </c>
      <c r="E48" s="26">
        <f t="shared" si="3"/>
        <v>634833.08164058777</v>
      </c>
    </row>
    <row r="49" spans="1:5" x14ac:dyDescent="0.3">
      <c r="A49" s="24">
        <v>43</v>
      </c>
      <c r="B49" s="25">
        <f t="shared" si="4"/>
        <v>38067.786705035673</v>
      </c>
      <c r="C49" s="25">
        <f t="shared" si="5"/>
        <v>5184.4701667314675</v>
      </c>
      <c r="D49" s="25">
        <f t="shared" si="2"/>
        <v>32883.316538304207</v>
      </c>
      <c r="E49" s="26">
        <f t="shared" si="3"/>
        <v>601949.76510228356</v>
      </c>
    </row>
    <row r="50" spans="1:5" x14ac:dyDescent="0.3">
      <c r="A50" s="24">
        <v>44</v>
      </c>
      <c r="B50" s="25">
        <f t="shared" si="4"/>
        <v>38067.786705035673</v>
      </c>
      <c r="C50" s="25">
        <f t="shared" si="5"/>
        <v>4915.9230816686495</v>
      </c>
      <c r="D50" s="25">
        <f t="shared" si="2"/>
        <v>33151.863623367026</v>
      </c>
      <c r="E50" s="26">
        <f t="shared" si="3"/>
        <v>568797.90147891652</v>
      </c>
    </row>
    <row r="51" spans="1:5" x14ac:dyDescent="0.3">
      <c r="A51" s="24">
        <v>45</v>
      </c>
      <c r="B51" s="25">
        <f t="shared" si="4"/>
        <v>38067.786705035673</v>
      </c>
      <c r="C51" s="25">
        <f t="shared" si="5"/>
        <v>4645.1828620778188</v>
      </c>
      <c r="D51" s="25">
        <f t="shared" si="2"/>
        <v>33422.603842957855</v>
      </c>
      <c r="E51" s="26">
        <f t="shared" si="3"/>
        <v>535375.29763595865</v>
      </c>
    </row>
    <row r="52" spans="1:5" x14ac:dyDescent="0.3">
      <c r="A52" s="24">
        <v>46</v>
      </c>
      <c r="B52" s="25">
        <f t="shared" si="4"/>
        <v>38067.786705035673</v>
      </c>
      <c r="C52" s="25">
        <f t="shared" si="5"/>
        <v>4372.231597360329</v>
      </c>
      <c r="D52" s="25">
        <f t="shared" si="2"/>
        <v>33695.555107675347</v>
      </c>
      <c r="E52" s="26">
        <f t="shared" si="3"/>
        <v>501679.74252828327</v>
      </c>
    </row>
    <row r="53" spans="1:5" x14ac:dyDescent="0.3">
      <c r="A53" s="24">
        <v>47</v>
      </c>
      <c r="B53" s="25">
        <f t="shared" si="4"/>
        <v>38067.786705035673</v>
      </c>
      <c r="C53" s="25">
        <f t="shared" si="5"/>
        <v>4097.0512306476476</v>
      </c>
      <c r="D53" s="25">
        <f t="shared" si="2"/>
        <v>33970.735474388028</v>
      </c>
      <c r="E53" s="26">
        <f t="shared" si="3"/>
        <v>467709.00705389527</v>
      </c>
    </row>
    <row r="54" spans="1:5" x14ac:dyDescent="0.3">
      <c r="A54" s="24">
        <v>48</v>
      </c>
      <c r="B54" s="25">
        <f t="shared" si="4"/>
        <v>38067.786705035673</v>
      </c>
      <c r="C54" s="25">
        <f t="shared" si="5"/>
        <v>3819.6235576068116</v>
      </c>
      <c r="D54" s="25">
        <f t="shared" si="2"/>
        <v>34248.163147428859</v>
      </c>
      <c r="E54" s="26">
        <f t="shared" si="3"/>
        <v>433460.84390646638</v>
      </c>
    </row>
    <row r="55" spans="1:5" x14ac:dyDescent="0.3">
      <c r="A55" s="24">
        <v>49</v>
      </c>
      <c r="B55" s="25">
        <f t="shared" si="4"/>
        <v>38067.786705035673</v>
      </c>
      <c r="C55" s="25">
        <f t="shared" si="5"/>
        <v>3539.9302252361426</v>
      </c>
      <c r="D55" s="25">
        <f t="shared" si="2"/>
        <v>34527.856479799528</v>
      </c>
      <c r="E55" s="26">
        <f t="shared" si="3"/>
        <v>398932.98742666683</v>
      </c>
    </row>
    <row r="56" spans="1:5" x14ac:dyDescent="0.3">
      <c r="A56" s="24">
        <v>50</v>
      </c>
      <c r="B56" s="25">
        <f t="shared" si="4"/>
        <v>38067.786705035673</v>
      </c>
      <c r="C56" s="25">
        <f t="shared" si="5"/>
        <v>3257.9527306511127</v>
      </c>
      <c r="D56" s="25">
        <f t="shared" si="2"/>
        <v>34809.833974384557</v>
      </c>
      <c r="E56" s="26">
        <f t="shared" si="3"/>
        <v>364123.15345228231</v>
      </c>
    </row>
    <row r="57" spans="1:5" x14ac:dyDescent="0.3">
      <c r="A57" s="24">
        <v>51</v>
      </c>
      <c r="B57" s="25">
        <f t="shared" si="4"/>
        <v>38067.786705035673</v>
      </c>
      <c r="C57" s="25">
        <f t="shared" si="5"/>
        <v>2973.672419860306</v>
      </c>
      <c r="D57" s="25">
        <f t="shared" si="2"/>
        <v>35094.114285175368</v>
      </c>
      <c r="E57" s="26">
        <f t="shared" si="3"/>
        <v>329029.03916710697</v>
      </c>
    </row>
    <row r="58" spans="1:5" x14ac:dyDescent="0.3">
      <c r="A58" s="24">
        <v>52</v>
      </c>
      <c r="B58" s="25">
        <f t="shared" si="4"/>
        <v>38067.786705035673</v>
      </c>
      <c r="C58" s="25">
        <f t="shared" si="5"/>
        <v>2687.0704865313737</v>
      </c>
      <c r="D58" s="25">
        <f t="shared" si="2"/>
        <v>35380.716218504298</v>
      </c>
      <c r="E58" s="26">
        <f t="shared" si="3"/>
        <v>293648.32294860267</v>
      </c>
    </row>
    <row r="59" spans="1:5" x14ac:dyDescent="0.3">
      <c r="A59" s="24">
        <v>53</v>
      </c>
      <c r="B59" s="25">
        <f t="shared" si="4"/>
        <v>38067.786705035673</v>
      </c>
      <c r="C59" s="25">
        <f t="shared" si="5"/>
        <v>2398.1279707469221</v>
      </c>
      <c r="D59" s="25">
        <f t="shared" si="2"/>
        <v>35669.658734288751</v>
      </c>
      <c r="E59" s="26">
        <f t="shared" si="3"/>
        <v>257978.6642143139</v>
      </c>
    </row>
    <row r="60" spans="1:5" x14ac:dyDescent="0.3">
      <c r="A60" s="24">
        <v>54</v>
      </c>
      <c r="B60" s="25">
        <f t="shared" si="4"/>
        <v>38067.786705035673</v>
      </c>
      <c r="C60" s="25">
        <f t="shared" si="5"/>
        <v>2106.8257577502304</v>
      </c>
      <c r="D60" s="25">
        <f t="shared" si="2"/>
        <v>35960.960947285443</v>
      </c>
      <c r="E60" s="26">
        <f t="shared" si="3"/>
        <v>222017.70326702847</v>
      </c>
    </row>
    <row r="61" spans="1:5" x14ac:dyDescent="0.3">
      <c r="A61" s="24">
        <v>55</v>
      </c>
      <c r="B61" s="25">
        <f t="shared" si="4"/>
        <v>38067.786705035673</v>
      </c>
      <c r="C61" s="25">
        <f t="shared" si="5"/>
        <v>1813.1445766807326</v>
      </c>
      <c r="D61" s="25">
        <f t="shared" si="2"/>
        <v>36254.642128354943</v>
      </c>
      <c r="E61" s="26">
        <f t="shared" si="3"/>
        <v>185763.06113867351</v>
      </c>
    </row>
    <row r="62" spans="1:5" x14ac:dyDescent="0.3">
      <c r="A62" s="24">
        <v>56</v>
      </c>
      <c r="B62" s="25">
        <f t="shared" si="4"/>
        <v>38067.786705035673</v>
      </c>
      <c r="C62" s="25">
        <f t="shared" si="5"/>
        <v>1517.0649992991671</v>
      </c>
      <c r="D62" s="25">
        <f t="shared" si="2"/>
        <v>36550.721705736505</v>
      </c>
      <c r="E62" s="26">
        <f t="shared" si="3"/>
        <v>149212.33943293701</v>
      </c>
    </row>
    <row r="63" spans="1:5" x14ac:dyDescent="0.3">
      <c r="A63" s="24">
        <v>57</v>
      </c>
      <c r="B63" s="25">
        <f t="shared" si="4"/>
        <v>38067.786705035673</v>
      </c>
      <c r="C63" s="25">
        <f t="shared" si="5"/>
        <v>1218.5674387023191</v>
      </c>
      <c r="D63" s="25">
        <f t="shared" si="2"/>
        <v>36849.219266333355</v>
      </c>
      <c r="E63" s="26">
        <f t="shared" si="3"/>
        <v>112363.12016660365</v>
      </c>
    </row>
    <row r="64" spans="1:5" x14ac:dyDescent="0.3">
      <c r="A64" s="24">
        <v>58</v>
      </c>
      <c r="B64" s="25">
        <f t="shared" si="4"/>
        <v>38067.786705035673</v>
      </c>
      <c r="C64" s="25">
        <f t="shared" si="5"/>
        <v>917.63214802726327</v>
      </c>
      <c r="D64" s="25">
        <f t="shared" si="2"/>
        <v>37150.154557008413</v>
      </c>
      <c r="E64" s="26">
        <f t="shared" si="3"/>
        <v>75212.965609595238</v>
      </c>
    </row>
    <row r="65" spans="1:5" x14ac:dyDescent="0.3">
      <c r="A65" s="24">
        <v>59</v>
      </c>
      <c r="B65" s="25">
        <f t="shared" si="4"/>
        <v>38067.786705035673</v>
      </c>
      <c r="C65" s="25">
        <f t="shared" si="5"/>
        <v>614.23921914502785</v>
      </c>
      <c r="D65" s="25">
        <f t="shared" si="2"/>
        <v>37453.547485890645</v>
      </c>
      <c r="E65" s="26">
        <f t="shared" si="3"/>
        <v>37759.418123704592</v>
      </c>
    </row>
    <row r="66" spans="1:5" x14ac:dyDescent="0.3">
      <c r="A66" s="24">
        <v>60</v>
      </c>
      <c r="B66" s="25">
        <f t="shared" si="4"/>
        <v>38067.786705035673</v>
      </c>
      <c r="C66" s="25">
        <f t="shared" si="5"/>
        <v>308.36858134358755</v>
      </c>
      <c r="D66" s="25">
        <f t="shared" si="2"/>
        <v>37759.418123692085</v>
      </c>
      <c r="E66" s="26">
        <f t="shared" si="3"/>
        <v>1.2507371138781309E-8</v>
      </c>
    </row>
    <row r="67" spans="1:5" x14ac:dyDescent="0.3">
      <c r="B67" s="32"/>
      <c r="C67" s="32"/>
      <c r="D67" s="32"/>
      <c r="E67" s="32"/>
    </row>
    <row r="68" spans="1:5" x14ac:dyDescent="0.3">
      <c r="B68" s="32"/>
      <c r="C68" s="32"/>
      <c r="D68" s="32"/>
      <c r="E68" s="32"/>
    </row>
    <row r="69" spans="1:5" x14ac:dyDescent="0.3">
      <c r="B69" s="32"/>
      <c r="C69" s="32"/>
      <c r="D69" s="32"/>
      <c r="E69" s="32"/>
    </row>
    <row r="70" spans="1:5" x14ac:dyDescent="0.3">
      <c r="B70" s="32"/>
      <c r="C70" s="32"/>
      <c r="D70" s="32"/>
      <c r="E70" s="32"/>
    </row>
    <row r="71" spans="1:5" x14ac:dyDescent="0.3">
      <c r="B71" s="32"/>
      <c r="C71" s="32"/>
      <c r="D71" s="32"/>
      <c r="E71" s="32"/>
    </row>
    <row r="72" spans="1:5" x14ac:dyDescent="0.3">
      <c r="B72" s="32"/>
      <c r="C72" s="32"/>
      <c r="D72" s="32"/>
      <c r="E72" s="32"/>
    </row>
    <row r="73" spans="1:5" x14ac:dyDescent="0.3">
      <c r="B73" s="32"/>
      <c r="C73" s="32"/>
      <c r="D73" s="32"/>
      <c r="E73" s="32"/>
    </row>
    <row r="74" spans="1:5" x14ac:dyDescent="0.3">
      <c r="B74" s="32"/>
      <c r="C74" s="32"/>
      <c r="D74" s="32"/>
      <c r="E74" s="32"/>
    </row>
    <row r="75" spans="1:5" x14ac:dyDescent="0.3">
      <c r="B75" s="32"/>
      <c r="C75" s="32"/>
      <c r="D75" s="32"/>
      <c r="E75" s="32"/>
    </row>
    <row r="76" spans="1:5" x14ac:dyDescent="0.3">
      <c r="B76" s="32"/>
      <c r="C76" s="32"/>
      <c r="D76" s="32"/>
      <c r="E76" s="32"/>
    </row>
    <row r="77" spans="1:5" x14ac:dyDescent="0.3">
      <c r="B77" s="32"/>
      <c r="C77" s="32"/>
      <c r="D77" s="32"/>
      <c r="E77" s="32"/>
    </row>
    <row r="78" spans="1:5" x14ac:dyDescent="0.3">
      <c r="B78" s="32"/>
      <c r="C78" s="32"/>
      <c r="D78" s="32"/>
      <c r="E78" s="32"/>
    </row>
    <row r="79" spans="1:5" x14ac:dyDescent="0.3">
      <c r="B79" s="32"/>
      <c r="C79" s="32"/>
      <c r="D79" s="32"/>
      <c r="E79" s="32"/>
    </row>
    <row r="80" spans="1:5" x14ac:dyDescent="0.3">
      <c r="B80" s="32"/>
      <c r="C80" s="32"/>
      <c r="D80" s="32"/>
      <c r="E80" s="32"/>
    </row>
    <row r="81" spans="2:5" x14ac:dyDescent="0.3">
      <c r="B81" s="32"/>
      <c r="C81" s="32"/>
      <c r="D81" s="32"/>
      <c r="E81" s="32"/>
    </row>
    <row r="82" spans="2:5" x14ac:dyDescent="0.3">
      <c r="B82" s="32"/>
      <c r="C82" s="32"/>
      <c r="D82" s="32"/>
      <c r="E82" s="32"/>
    </row>
    <row r="83" spans="2:5" x14ac:dyDescent="0.3">
      <c r="B83" s="32"/>
      <c r="C83" s="32"/>
      <c r="D83" s="32"/>
      <c r="E83" s="32"/>
    </row>
    <row r="84" spans="2:5" x14ac:dyDescent="0.3">
      <c r="B84" s="32"/>
      <c r="C84" s="32"/>
      <c r="D84" s="32"/>
      <c r="E84" s="32"/>
    </row>
    <row r="85" spans="2:5" x14ac:dyDescent="0.3">
      <c r="B85" s="32"/>
      <c r="C85" s="32"/>
      <c r="D85" s="32"/>
      <c r="E85" s="32"/>
    </row>
    <row r="86" spans="2:5" x14ac:dyDescent="0.3">
      <c r="B86" s="32"/>
      <c r="C86" s="32"/>
      <c r="D86" s="32"/>
      <c r="E86" s="32"/>
    </row>
    <row r="87" spans="2:5" x14ac:dyDescent="0.3">
      <c r="B87" s="32"/>
      <c r="C87" s="32"/>
      <c r="D87" s="32"/>
      <c r="E87" s="32"/>
    </row>
    <row r="88" spans="2:5" x14ac:dyDescent="0.3">
      <c r="B88" s="32"/>
      <c r="C88" s="32"/>
      <c r="D88" s="32"/>
      <c r="E88" s="32"/>
    </row>
    <row r="89" spans="2:5" x14ac:dyDescent="0.3">
      <c r="B89" s="32"/>
      <c r="C89" s="32"/>
      <c r="D89" s="32"/>
      <c r="E89" s="32"/>
    </row>
    <row r="90" spans="2:5" x14ac:dyDescent="0.3">
      <c r="B90" s="32"/>
      <c r="C90" s="32"/>
      <c r="D90" s="32"/>
      <c r="E90" s="32"/>
    </row>
    <row r="91" spans="2:5" x14ac:dyDescent="0.3">
      <c r="B91" s="32"/>
      <c r="C91" s="32"/>
      <c r="D91" s="32"/>
      <c r="E91" s="32"/>
    </row>
    <row r="92" spans="2:5" x14ac:dyDescent="0.3">
      <c r="B92" s="32"/>
      <c r="C92" s="32"/>
      <c r="D92" s="32"/>
      <c r="E92" s="32"/>
    </row>
    <row r="93" spans="2:5" x14ac:dyDescent="0.3">
      <c r="B93" s="32"/>
      <c r="C93" s="32"/>
      <c r="D93" s="32"/>
      <c r="E93" s="32"/>
    </row>
    <row r="94" spans="2:5" x14ac:dyDescent="0.3">
      <c r="B94" s="32"/>
      <c r="C94" s="32"/>
      <c r="D94" s="32"/>
      <c r="E94" s="32"/>
    </row>
    <row r="95" spans="2:5" x14ac:dyDescent="0.3">
      <c r="B95" s="32"/>
      <c r="C95" s="32"/>
      <c r="D95" s="32"/>
      <c r="E95" s="32"/>
    </row>
    <row r="96" spans="2:5" x14ac:dyDescent="0.3">
      <c r="B96" s="32"/>
      <c r="C96" s="32"/>
      <c r="D96" s="32"/>
      <c r="E96" s="32"/>
    </row>
    <row r="97" spans="2:5" x14ac:dyDescent="0.3">
      <c r="B97" s="32"/>
      <c r="C97" s="32"/>
      <c r="D97" s="32"/>
      <c r="E97" s="32"/>
    </row>
    <row r="98" spans="2:5" x14ac:dyDescent="0.3">
      <c r="B98" s="32"/>
      <c r="C98" s="32"/>
      <c r="D98" s="32"/>
      <c r="E98" s="32"/>
    </row>
    <row r="99" spans="2:5" x14ac:dyDescent="0.3">
      <c r="B99" s="32"/>
      <c r="C99" s="32"/>
      <c r="D99" s="32"/>
      <c r="E99" s="32"/>
    </row>
    <row r="100" spans="2:5" x14ac:dyDescent="0.3">
      <c r="B100" s="32"/>
      <c r="C100" s="32"/>
      <c r="D100" s="32"/>
      <c r="E100" s="32"/>
    </row>
    <row r="101" spans="2:5" x14ac:dyDescent="0.3">
      <c r="B101" s="32"/>
      <c r="C101" s="32"/>
      <c r="D101" s="32"/>
      <c r="E101" s="32"/>
    </row>
    <row r="102" spans="2:5" x14ac:dyDescent="0.3">
      <c r="B102" s="32"/>
      <c r="C102" s="32"/>
      <c r="D102" s="32"/>
      <c r="E102" s="32"/>
    </row>
    <row r="103" spans="2:5" x14ac:dyDescent="0.3">
      <c r="B103" s="32"/>
      <c r="C103" s="32"/>
      <c r="D103" s="32"/>
      <c r="E103" s="32"/>
    </row>
    <row r="104" spans="2:5" x14ac:dyDescent="0.3">
      <c r="B104" s="32"/>
      <c r="C104" s="32"/>
      <c r="D104" s="32"/>
      <c r="E104" s="32"/>
    </row>
    <row r="105" spans="2:5" x14ac:dyDescent="0.3">
      <c r="B105" s="32"/>
      <c r="C105" s="32"/>
      <c r="D105" s="32"/>
      <c r="E105" s="32"/>
    </row>
    <row r="106" spans="2:5" x14ac:dyDescent="0.3">
      <c r="B106" s="32"/>
      <c r="C106" s="32"/>
      <c r="D106" s="32"/>
      <c r="E106" s="32"/>
    </row>
    <row r="107" spans="2:5" x14ac:dyDescent="0.3">
      <c r="B107" s="32"/>
      <c r="C107" s="32"/>
      <c r="D107" s="32"/>
      <c r="E107" s="32"/>
    </row>
    <row r="108" spans="2:5" x14ac:dyDescent="0.3">
      <c r="B108" s="32"/>
      <c r="C108" s="32"/>
      <c r="D108" s="32"/>
      <c r="E108" s="32"/>
    </row>
    <row r="109" spans="2:5" x14ac:dyDescent="0.3">
      <c r="B109" s="32"/>
      <c r="C109" s="32"/>
      <c r="D109" s="32"/>
      <c r="E109" s="32"/>
    </row>
    <row r="110" spans="2:5" x14ac:dyDescent="0.3">
      <c r="B110" s="32"/>
      <c r="C110" s="32"/>
      <c r="D110" s="32"/>
      <c r="E110" s="32"/>
    </row>
    <row r="111" spans="2:5" x14ac:dyDescent="0.3">
      <c r="B111" s="32"/>
      <c r="C111" s="32"/>
      <c r="D111" s="32"/>
      <c r="E111" s="32"/>
    </row>
    <row r="112" spans="2:5" x14ac:dyDescent="0.3">
      <c r="B112" s="32"/>
      <c r="C112" s="32"/>
      <c r="D112" s="32"/>
      <c r="E112" s="32"/>
    </row>
    <row r="113" spans="2:5" x14ac:dyDescent="0.3">
      <c r="B113" s="32"/>
      <c r="C113" s="32"/>
      <c r="D113" s="32"/>
      <c r="E113" s="32"/>
    </row>
    <row r="114" spans="2:5" x14ac:dyDescent="0.3">
      <c r="B114" s="32"/>
      <c r="C114" s="32"/>
      <c r="D114" s="32"/>
      <c r="E114" s="32"/>
    </row>
    <row r="115" spans="2:5" x14ac:dyDescent="0.3">
      <c r="B115" s="32"/>
      <c r="C115" s="32"/>
      <c r="D115" s="32"/>
      <c r="E115" s="32"/>
    </row>
    <row r="116" spans="2:5" x14ac:dyDescent="0.3">
      <c r="B116" s="32"/>
      <c r="C116" s="32"/>
      <c r="D116" s="32"/>
      <c r="E116" s="32"/>
    </row>
    <row r="117" spans="2:5" x14ac:dyDescent="0.3">
      <c r="B117" s="32"/>
      <c r="C117" s="32"/>
      <c r="D117" s="32"/>
      <c r="E117" s="32"/>
    </row>
    <row r="118" spans="2:5" x14ac:dyDescent="0.3">
      <c r="B118" s="32"/>
      <c r="C118" s="32"/>
      <c r="D118" s="32"/>
      <c r="E118" s="32"/>
    </row>
    <row r="119" spans="2:5" x14ac:dyDescent="0.3">
      <c r="B119" s="32"/>
      <c r="C119" s="32"/>
      <c r="D119" s="32"/>
      <c r="E119" s="32"/>
    </row>
    <row r="120" spans="2:5" x14ac:dyDescent="0.3">
      <c r="B120" s="32"/>
      <c r="C120" s="32"/>
      <c r="D120" s="32"/>
      <c r="E120" s="32"/>
    </row>
    <row r="121" spans="2:5" x14ac:dyDescent="0.3">
      <c r="B121" s="32"/>
      <c r="C121" s="32"/>
      <c r="D121" s="32"/>
      <c r="E121" s="32"/>
    </row>
    <row r="122" spans="2:5" x14ac:dyDescent="0.3">
      <c r="B122" s="32"/>
      <c r="C122" s="32"/>
      <c r="D122" s="32"/>
      <c r="E122" s="32"/>
    </row>
    <row r="123" spans="2:5" x14ac:dyDescent="0.3">
      <c r="B123" s="32"/>
      <c r="C123" s="32"/>
      <c r="D123" s="32"/>
      <c r="E123" s="32"/>
    </row>
    <row r="124" spans="2:5" x14ac:dyDescent="0.3">
      <c r="B124" s="32"/>
      <c r="C124" s="32"/>
      <c r="D124" s="32"/>
      <c r="E124" s="32"/>
    </row>
    <row r="125" spans="2:5" x14ac:dyDescent="0.3">
      <c r="B125" s="32"/>
      <c r="C125" s="32"/>
      <c r="D125" s="32"/>
      <c r="E125" s="32"/>
    </row>
    <row r="126" spans="2:5" x14ac:dyDescent="0.3">
      <c r="B126" s="32"/>
      <c r="C126" s="32"/>
      <c r="D126" s="32"/>
      <c r="E126" s="32"/>
    </row>
    <row r="127" spans="2:5" x14ac:dyDescent="0.3">
      <c r="B127" s="32"/>
      <c r="C127" s="32"/>
      <c r="D127" s="32"/>
      <c r="E127" s="32"/>
    </row>
    <row r="128" spans="2:5" x14ac:dyDescent="0.3">
      <c r="B128" s="32"/>
      <c r="C128" s="32"/>
      <c r="D128" s="32"/>
      <c r="E128" s="32"/>
    </row>
    <row r="129" spans="2:5" x14ac:dyDescent="0.3">
      <c r="B129" s="32"/>
      <c r="C129" s="32"/>
      <c r="D129" s="32"/>
      <c r="E129" s="32"/>
    </row>
    <row r="130" spans="2:5" x14ac:dyDescent="0.3">
      <c r="B130" s="32"/>
      <c r="C130" s="32"/>
      <c r="D130" s="32"/>
      <c r="E130" s="32"/>
    </row>
    <row r="131" spans="2:5" x14ac:dyDescent="0.3">
      <c r="B131" s="32"/>
      <c r="C131" s="32"/>
      <c r="D131" s="32"/>
      <c r="E131" s="32"/>
    </row>
    <row r="132" spans="2:5" x14ac:dyDescent="0.3">
      <c r="B132" s="32"/>
      <c r="C132" s="32"/>
      <c r="D132" s="32"/>
      <c r="E132" s="32"/>
    </row>
    <row r="133" spans="2:5" x14ac:dyDescent="0.3">
      <c r="B133" s="32"/>
      <c r="C133" s="32"/>
      <c r="D133" s="32"/>
      <c r="E133" s="32"/>
    </row>
    <row r="134" spans="2:5" x14ac:dyDescent="0.3">
      <c r="B134" s="32"/>
      <c r="C134" s="32"/>
      <c r="D134" s="32"/>
      <c r="E134" s="32"/>
    </row>
    <row r="135" spans="2:5" x14ac:dyDescent="0.3">
      <c r="B135" s="32"/>
      <c r="C135" s="32"/>
      <c r="D135" s="32"/>
      <c r="E135" s="32"/>
    </row>
    <row r="136" spans="2:5" x14ac:dyDescent="0.3">
      <c r="B136" s="32"/>
      <c r="C136" s="32"/>
      <c r="D136" s="32"/>
      <c r="E136" s="32"/>
    </row>
    <row r="137" spans="2:5" x14ac:dyDescent="0.3">
      <c r="B137" s="32"/>
      <c r="C137" s="32"/>
      <c r="D137" s="32"/>
      <c r="E137" s="32"/>
    </row>
    <row r="138" spans="2:5" x14ac:dyDescent="0.3">
      <c r="B138" s="32"/>
      <c r="C138" s="32"/>
      <c r="D138" s="32"/>
      <c r="E138" s="32"/>
    </row>
    <row r="139" spans="2:5" x14ac:dyDescent="0.3">
      <c r="B139" s="32"/>
      <c r="C139" s="32"/>
      <c r="D139" s="32"/>
      <c r="E139" s="32"/>
    </row>
    <row r="140" spans="2:5" x14ac:dyDescent="0.3">
      <c r="B140" s="32"/>
      <c r="C140" s="32"/>
      <c r="D140" s="32"/>
      <c r="E140" s="32"/>
    </row>
    <row r="141" spans="2:5" x14ac:dyDescent="0.3">
      <c r="B141" s="32"/>
      <c r="C141" s="32"/>
      <c r="D141" s="32"/>
      <c r="E141" s="32"/>
    </row>
    <row r="142" spans="2:5" x14ac:dyDescent="0.3">
      <c r="B142" s="32"/>
      <c r="C142" s="32"/>
      <c r="D142" s="32"/>
      <c r="E142" s="32"/>
    </row>
    <row r="143" spans="2:5" x14ac:dyDescent="0.3">
      <c r="B143" s="32"/>
      <c r="C143" s="32"/>
      <c r="D143" s="32"/>
      <c r="E143" s="32"/>
    </row>
    <row r="144" spans="2:5" x14ac:dyDescent="0.3">
      <c r="B144" s="32"/>
      <c r="C144" s="32"/>
      <c r="D144" s="32"/>
      <c r="E144" s="32"/>
    </row>
    <row r="145" spans="2:5" x14ac:dyDescent="0.3">
      <c r="B145" s="32"/>
      <c r="C145" s="32"/>
      <c r="D145" s="32"/>
      <c r="E145" s="32"/>
    </row>
    <row r="146" spans="2:5" x14ac:dyDescent="0.3">
      <c r="B146" s="32"/>
      <c r="C146" s="32"/>
      <c r="D146" s="32"/>
      <c r="E146" s="32"/>
    </row>
    <row r="147" spans="2:5" x14ac:dyDescent="0.3">
      <c r="B147" s="32"/>
      <c r="C147" s="32"/>
      <c r="D147" s="32"/>
      <c r="E147" s="32"/>
    </row>
    <row r="148" spans="2:5" x14ac:dyDescent="0.3">
      <c r="B148" s="32"/>
      <c r="C148" s="32"/>
      <c r="D148" s="32"/>
      <c r="E148" s="32"/>
    </row>
    <row r="149" spans="2:5" x14ac:dyDescent="0.3">
      <c r="B149" s="32"/>
      <c r="C149" s="32"/>
      <c r="D149" s="32"/>
      <c r="E149" s="32"/>
    </row>
    <row r="150" spans="2:5" x14ac:dyDescent="0.3">
      <c r="B150" s="32"/>
      <c r="C150" s="32"/>
      <c r="D150" s="32"/>
      <c r="E150" s="32"/>
    </row>
    <row r="151" spans="2:5" x14ac:dyDescent="0.3">
      <c r="B151" s="32"/>
      <c r="C151" s="32"/>
      <c r="D151" s="32"/>
      <c r="E151" s="32"/>
    </row>
    <row r="152" spans="2:5" x14ac:dyDescent="0.3">
      <c r="B152" s="32"/>
      <c r="C152" s="32"/>
      <c r="D152" s="32"/>
      <c r="E152" s="32"/>
    </row>
    <row r="153" spans="2:5" x14ac:dyDescent="0.3">
      <c r="B153" s="32"/>
      <c r="C153" s="32"/>
      <c r="D153" s="32"/>
      <c r="E153" s="32"/>
    </row>
    <row r="154" spans="2:5" x14ac:dyDescent="0.3">
      <c r="B154" s="32"/>
      <c r="C154" s="32"/>
      <c r="D154" s="32"/>
      <c r="E154" s="32"/>
    </row>
    <row r="155" spans="2:5" x14ac:dyDescent="0.3">
      <c r="B155" s="32"/>
      <c r="C155" s="32"/>
      <c r="D155" s="32"/>
      <c r="E155" s="32"/>
    </row>
    <row r="156" spans="2:5" x14ac:dyDescent="0.3">
      <c r="B156" s="32"/>
      <c r="C156" s="32"/>
      <c r="D156" s="32"/>
      <c r="E156" s="32"/>
    </row>
    <row r="157" spans="2:5" x14ac:dyDescent="0.3">
      <c r="B157" s="32"/>
      <c r="C157" s="32"/>
      <c r="D157" s="32"/>
      <c r="E157" s="32"/>
    </row>
    <row r="158" spans="2:5" x14ac:dyDescent="0.3">
      <c r="B158" s="32"/>
      <c r="C158" s="32"/>
      <c r="D158" s="32"/>
      <c r="E158" s="32"/>
    </row>
    <row r="159" spans="2:5" x14ac:dyDescent="0.3">
      <c r="B159" s="32"/>
      <c r="C159" s="32"/>
      <c r="D159" s="32"/>
      <c r="E159" s="32"/>
    </row>
    <row r="160" spans="2:5" x14ac:dyDescent="0.3">
      <c r="B160" s="32"/>
      <c r="C160" s="32"/>
      <c r="D160" s="32"/>
      <c r="E160" s="32"/>
    </row>
    <row r="161" spans="2:5" x14ac:dyDescent="0.3">
      <c r="B161" s="32"/>
      <c r="C161" s="32"/>
      <c r="D161" s="32"/>
      <c r="E161" s="32"/>
    </row>
    <row r="162" spans="2:5" x14ac:dyDescent="0.3">
      <c r="B162" s="32"/>
      <c r="C162" s="32"/>
      <c r="D162" s="32"/>
      <c r="E162" s="32"/>
    </row>
    <row r="163" spans="2:5" x14ac:dyDescent="0.3">
      <c r="B163" s="32"/>
      <c r="C163" s="32"/>
      <c r="D163" s="32"/>
      <c r="E163" s="32"/>
    </row>
    <row r="164" spans="2:5" x14ac:dyDescent="0.3">
      <c r="B164" s="32"/>
      <c r="C164" s="32"/>
      <c r="D164" s="32"/>
      <c r="E164" s="32"/>
    </row>
    <row r="165" spans="2:5" x14ac:dyDescent="0.3">
      <c r="B165" s="32"/>
      <c r="C165" s="32"/>
      <c r="D165" s="32"/>
      <c r="E165" s="32"/>
    </row>
    <row r="166" spans="2:5" x14ac:dyDescent="0.3">
      <c r="B166" s="32"/>
      <c r="C166" s="32"/>
      <c r="D166" s="32"/>
      <c r="E166" s="32"/>
    </row>
    <row r="167" spans="2:5" x14ac:dyDescent="0.3">
      <c r="B167" s="32"/>
      <c r="C167" s="32"/>
      <c r="D167" s="32"/>
      <c r="E167" s="32"/>
    </row>
    <row r="168" spans="2:5" x14ac:dyDescent="0.3">
      <c r="B168" s="32"/>
      <c r="C168" s="32"/>
      <c r="D168" s="32"/>
      <c r="E168" s="32"/>
    </row>
    <row r="169" spans="2:5" x14ac:dyDescent="0.3">
      <c r="B169" s="32"/>
      <c r="C169" s="32"/>
      <c r="D169" s="32"/>
      <c r="E169" s="32"/>
    </row>
    <row r="170" spans="2:5" x14ac:dyDescent="0.3">
      <c r="B170" s="32"/>
      <c r="C170" s="32"/>
      <c r="D170" s="32"/>
      <c r="E170" s="32"/>
    </row>
    <row r="171" spans="2:5" x14ac:dyDescent="0.3">
      <c r="B171" s="32"/>
      <c r="C171" s="32"/>
      <c r="D171" s="32"/>
      <c r="E171" s="32"/>
    </row>
    <row r="172" spans="2:5" x14ac:dyDescent="0.3">
      <c r="B172" s="32"/>
      <c r="C172" s="32"/>
      <c r="D172" s="32"/>
      <c r="E172" s="32"/>
    </row>
    <row r="173" spans="2:5" x14ac:dyDescent="0.3">
      <c r="B173" s="32"/>
      <c r="C173" s="32"/>
      <c r="D173" s="32"/>
      <c r="E173" s="32"/>
    </row>
    <row r="174" spans="2:5" x14ac:dyDescent="0.3">
      <c r="B174" s="32"/>
      <c r="C174" s="32"/>
      <c r="D174" s="32"/>
      <c r="E174" s="32"/>
    </row>
    <row r="175" spans="2:5" x14ac:dyDescent="0.3">
      <c r="B175" s="32"/>
      <c r="C175" s="32"/>
      <c r="D175" s="32"/>
      <c r="E175" s="32"/>
    </row>
    <row r="176" spans="2:5" x14ac:dyDescent="0.3">
      <c r="B176" s="32"/>
      <c r="C176" s="32"/>
      <c r="D176" s="32"/>
      <c r="E176" s="32"/>
    </row>
    <row r="177" spans="2:5" x14ac:dyDescent="0.3">
      <c r="B177" s="32"/>
      <c r="C177" s="32"/>
      <c r="D177" s="32"/>
      <c r="E177" s="32"/>
    </row>
    <row r="178" spans="2:5" x14ac:dyDescent="0.3">
      <c r="B178" s="32"/>
      <c r="C178" s="32"/>
      <c r="D178" s="32"/>
      <c r="E178" s="32"/>
    </row>
    <row r="179" spans="2:5" x14ac:dyDescent="0.3">
      <c r="B179" s="32"/>
      <c r="C179" s="32"/>
      <c r="D179" s="32"/>
      <c r="E179" s="32"/>
    </row>
    <row r="180" spans="2:5" x14ac:dyDescent="0.3">
      <c r="B180" s="32"/>
      <c r="C180" s="32"/>
      <c r="D180" s="32"/>
      <c r="E180" s="32"/>
    </row>
    <row r="181" spans="2:5" x14ac:dyDescent="0.3">
      <c r="B181" s="32"/>
      <c r="C181" s="32"/>
      <c r="D181" s="32"/>
      <c r="E181" s="32"/>
    </row>
    <row r="182" spans="2:5" x14ac:dyDescent="0.3">
      <c r="B182" s="32"/>
      <c r="C182" s="32"/>
      <c r="D182" s="32"/>
      <c r="E182" s="32"/>
    </row>
    <row r="183" spans="2:5" x14ac:dyDescent="0.3">
      <c r="B183" s="32"/>
      <c r="C183" s="32"/>
      <c r="D183" s="32"/>
      <c r="E183" s="32"/>
    </row>
    <row r="184" spans="2:5" x14ac:dyDescent="0.3">
      <c r="B184" s="32"/>
      <c r="C184" s="32"/>
      <c r="D184" s="32"/>
      <c r="E184" s="32"/>
    </row>
    <row r="185" spans="2:5" x14ac:dyDescent="0.3">
      <c r="B185" s="32"/>
      <c r="C185" s="32"/>
      <c r="D185" s="32"/>
      <c r="E185" s="32"/>
    </row>
    <row r="186" spans="2:5" x14ac:dyDescent="0.3">
      <c r="B186" s="32"/>
      <c r="C186" s="32"/>
      <c r="D186" s="32"/>
      <c r="E186" s="32"/>
    </row>
  </sheetData>
  <mergeCells count="1">
    <mergeCell ref="A2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FA563-AFD4-411B-AF10-161C8CB0D5F1}">
  <dimension ref="B3:R35"/>
  <sheetViews>
    <sheetView topLeftCell="H1" zoomScale="105" workbookViewId="0">
      <selection activeCell="P6" sqref="P6"/>
    </sheetView>
  </sheetViews>
  <sheetFormatPr defaultRowHeight="15.6" x14ac:dyDescent="0.3"/>
  <cols>
    <col min="1" max="2" width="8.88671875" style="3"/>
    <col min="3" max="3" width="14.44140625" style="3" bestFit="1" customWidth="1"/>
    <col min="4" max="4" width="15.5546875" style="3" bestFit="1" customWidth="1"/>
    <col min="5" max="5" width="8.88671875" style="3"/>
    <col min="6" max="6" width="13.21875" style="3" customWidth="1"/>
    <col min="7" max="7" width="16.6640625" style="3" bestFit="1" customWidth="1"/>
    <col min="8" max="8" width="27.77734375" style="3" bestFit="1" customWidth="1"/>
    <col min="9" max="12" width="8.88671875" style="3"/>
    <col min="13" max="13" width="14.5546875" style="3" bestFit="1" customWidth="1"/>
    <col min="14" max="14" width="17.33203125" style="3" bestFit="1" customWidth="1"/>
    <col min="15" max="15" width="8.88671875" style="3"/>
    <col min="16" max="16" width="12.6640625" style="3" bestFit="1" customWidth="1"/>
    <col min="17" max="17" width="15.6640625" style="3" bestFit="1" customWidth="1"/>
    <col min="18" max="18" width="29.21875" style="3" bestFit="1" customWidth="1"/>
    <col min="19" max="16384" width="8.88671875" style="3"/>
  </cols>
  <sheetData>
    <row r="3" spans="2:18" ht="20.399999999999999" customHeight="1" x14ac:dyDescent="0.3">
      <c r="B3" s="222" t="s">
        <v>173</v>
      </c>
      <c r="C3" s="222"/>
      <c r="D3" s="222"/>
      <c r="E3" s="222"/>
      <c r="F3" s="222"/>
      <c r="G3" s="222"/>
      <c r="H3" s="222"/>
      <c r="L3" s="222" t="s">
        <v>183</v>
      </c>
      <c r="M3" s="222"/>
      <c r="N3" s="222"/>
      <c r="O3" s="222"/>
      <c r="P3" s="222"/>
      <c r="Q3" s="222"/>
      <c r="R3" s="222"/>
    </row>
    <row r="5" spans="2:18" x14ac:dyDescent="0.3">
      <c r="B5" s="221" t="s">
        <v>206</v>
      </c>
      <c r="C5" s="221"/>
      <c r="D5" s="25">
        <v>8847</v>
      </c>
      <c r="L5" s="221" t="s">
        <v>206</v>
      </c>
      <c r="M5" s="221"/>
      <c r="N5" s="25">
        <v>11727</v>
      </c>
    </row>
    <row r="6" spans="2:18" x14ac:dyDescent="0.3">
      <c r="B6" s="221" t="s">
        <v>174</v>
      </c>
      <c r="C6" s="221"/>
      <c r="D6" s="25">
        <f>D5*12</f>
        <v>106164</v>
      </c>
      <c r="L6" s="221" t="s">
        <v>174</v>
      </c>
      <c r="M6" s="221"/>
      <c r="N6" s="25">
        <f>N5*12</f>
        <v>140724</v>
      </c>
    </row>
    <row r="7" spans="2:18" ht="16.2" thickBot="1" x14ac:dyDescent="0.35"/>
    <row r="8" spans="2:18" ht="49.8" customHeight="1" thickBot="1" x14ac:dyDescent="0.35">
      <c r="B8" s="34" t="s">
        <v>32</v>
      </c>
      <c r="C8" s="35" t="s">
        <v>174</v>
      </c>
      <c r="D8" s="34" t="s">
        <v>175</v>
      </c>
      <c r="E8" s="4"/>
      <c r="F8" s="223" t="s">
        <v>176</v>
      </c>
      <c r="G8" s="224"/>
      <c r="H8" s="225"/>
      <c r="L8" s="34" t="s">
        <v>32</v>
      </c>
      <c r="M8" s="35" t="s">
        <v>174</v>
      </c>
      <c r="N8" s="34" t="s">
        <v>175</v>
      </c>
      <c r="O8" s="4"/>
      <c r="P8" s="223" t="s">
        <v>185</v>
      </c>
      <c r="Q8" s="224"/>
      <c r="R8" s="225"/>
    </row>
    <row r="9" spans="2:18" x14ac:dyDescent="0.3">
      <c r="B9" s="20">
        <v>1</v>
      </c>
      <c r="C9" s="167">
        <f>$D$6</f>
        <v>106164</v>
      </c>
      <c r="D9" s="168">
        <f>SUM(C9)</f>
        <v>106164</v>
      </c>
      <c r="L9" s="20">
        <v>1</v>
      </c>
      <c r="M9" s="167">
        <f>$N$6</f>
        <v>140724</v>
      </c>
      <c r="N9" s="168">
        <f>SUM(M9)</f>
        <v>140724</v>
      </c>
    </row>
    <row r="10" spans="2:18" x14ac:dyDescent="0.3">
      <c r="B10" s="24">
        <v>2</v>
      </c>
      <c r="C10" s="25">
        <f t="shared" ref="C10:C26" si="0">$D$6</f>
        <v>106164</v>
      </c>
      <c r="D10" s="26">
        <f>SUM($C$9:C10)</f>
        <v>212328</v>
      </c>
      <c r="F10" s="221" t="s">
        <v>177</v>
      </c>
      <c r="G10" s="221"/>
      <c r="H10" s="25">
        <v>2000000</v>
      </c>
      <c r="L10" s="24">
        <v>2</v>
      </c>
      <c r="M10" s="25">
        <f t="shared" ref="M10:M35" si="1">$N$6</f>
        <v>140724</v>
      </c>
      <c r="N10" s="26">
        <f>SUM($C$9:M10)</f>
        <v>2812271</v>
      </c>
      <c r="P10" s="226" t="s">
        <v>184</v>
      </c>
      <c r="Q10" s="226"/>
      <c r="R10" s="173">
        <v>60000000</v>
      </c>
    </row>
    <row r="11" spans="2:18" x14ac:dyDescent="0.3">
      <c r="B11" s="24">
        <v>3</v>
      </c>
      <c r="C11" s="25">
        <f t="shared" si="0"/>
        <v>106164</v>
      </c>
      <c r="D11" s="26">
        <f>SUM($C$9:C11)</f>
        <v>318492</v>
      </c>
      <c r="F11" s="221" t="s">
        <v>181</v>
      </c>
      <c r="G11" s="221"/>
      <c r="H11" s="25">
        <v>2538200</v>
      </c>
      <c r="L11" s="24">
        <v>3</v>
      </c>
      <c r="M11" s="25">
        <f t="shared" si="1"/>
        <v>140724</v>
      </c>
      <c r="N11" s="26">
        <f>SUM($C$9:M11)</f>
        <v>5915854</v>
      </c>
      <c r="R11" s="32"/>
    </row>
    <row r="12" spans="2:18" x14ac:dyDescent="0.3">
      <c r="B12" s="24">
        <v>4</v>
      </c>
      <c r="C12" s="25">
        <f t="shared" si="0"/>
        <v>106164</v>
      </c>
      <c r="D12" s="26">
        <f>SUM($C$9:C12)</f>
        <v>424656</v>
      </c>
      <c r="F12" s="221" t="s">
        <v>182</v>
      </c>
      <c r="G12" s="221"/>
      <c r="H12" s="25">
        <f>H11-H10</f>
        <v>538200</v>
      </c>
      <c r="L12" s="24">
        <v>4</v>
      </c>
      <c r="M12" s="25">
        <f t="shared" si="1"/>
        <v>140724</v>
      </c>
      <c r="N12" s="26">
        <f>SUM($C$9:M12)</f>
        <v>7125602</v>
      </c>
      <c r="P12" s="145"/>
      <c r="Q12" s="145"/>
      <c r="R12" s="172"/>
    </row>
    <row r="13" spans="2:18" ht="16.2" thickBot="1" x14ac:dyDescent="0.35">
      <c r="B13" s="24">
        <v>5</v>
      </c>
      <c r="C13" s="25">
        <f t="shared" si="0"/>
        <v>106164</v>
      </c>
      <c r="D13" s="26">
        <f>SUM($C$9:C13)</f>
        <v>530820</v>
      </c>
      <c r="H13" s="32"/>
      <c r="L13" s="24">
        <v>5</v>
      </c>
      <c r="M13" s="25">
        <f t="shared" si="1"/>
        <v>140724</v>
      </c>
      <c r="N13" s="26">
        <f>SUM($C$9:M13)</f>
        <v>7903315</v>
      </c>
      <c r="Q13" s="32"/>
      <c r="R13" s="32"/>
    </row>
    <row r="14" spans="2:18" x14ac:dyDescent="0.3">
      <c r="B14" s="24">
        <v>6</v>
      </c>
      <c r="C14" s="25">
        <f t="shared" si="0"/>
        <v>106164</v>
      </c>
      <c r="D14" s="26">
        <f>SUM($C$9:C14)</f>
        <v>636984</v>
      </c>
      <c r="F14" s="164" t="s">
        <v>178</v>
      </c>
      <c r="G14" s="165" t="s">
        <v>179</v>
      </c>
      <c r="H14" s="171" t="s">
        <v>180</v>
      </c>
      <c r="L14" s="24">
        <v>6</v>
      </c>
      <c r="M14" s="25">
        <f t="shared" si="1"/>
        <v>140724</v>
      </c>
      <c r="N14" s="26">
        <f>SUM($C$9:M14)</f>
        <v>8787193</v>
      </c>
      <c r="Q14" s="32"/>
      <c r="R14" s="32"/>
    </row>
    <row r="15" spans="2:18" x14ac:dyDescent="0.3">
      <c r="B15" s="24">
        <v>7</v>
      </c>
      <c r="C15" s="25">
        <f t="shared" si="0"/>
        <v>106164</v>
      </c>
      <c r="D15" s="26">
        <f>SUM($C$9:C15)</f>
        <v>743148</v>
      </c>
      <c r="F15" s="24">
        <v>18</v>
      </c>
      <c r="G15" s="25">
        <f>25%*$H$10</f>
        <v>500000</v>
      </c>
      <c r="H15" s="26">
        <f>25%*$H$12</f>
        <v>134550</v>
      </c>
      <c r="L15" s="24">
        <v>7</v>
      </c>
      <c r="M15" s="25">
        <f t="shared" si="1"/>
        <v>140724</v>
      </c>
      <c r="N15" s="26">
        <f>SUM($C$9:M15)</f>
        <v>10411804</v>
      </c>
      <c r="Q15" s="32"/>
      <c r="R15" s="32"/>
    </row>
    <row r="16" spans="2:18" x14ac:dyDescent="0.3">
      <c r="B16" s="24">
        <v>8</v>
      </c>
      <c r="C16" s="25">
        <f t="shared" si="0"/>
        <v>106164</v>
      </c>
      <c r="D16" s="26">
        <f>SUM($C$9:C16)</f>
        <v>849312</v>
      </c>
      <c r="F16" s="24">
        <v>19</v>
      </c>
      <c r="G16" s="25">
        <f t="shared" ref="G16:G18" si="2">25%*$H$10</f>
        <v>500000</v>
      </c>
      <c r="H16" s="26">
        <f t="shared" ref="H16:H18" si="3">25%*$H$12</f>
        <v>134550</v>
      </c>
      <c r="L16" s="24">
        <v>8</v>
      </c>
      <c r="M16" s="25">
        <f t="shared" si="1"/>
        <v>140724</v>
      </c>
      <c r="N16" s="26">
        <f>SUM($C$9:M16)</f>
        <v>12142581</v>
      </c>
      <c r="Q16" s="32"/>
      <c r="R16" s="32"/>
    </row>
    <row r="17" spans="2:18" x14ac:dyDescent="0.3">
      <c r="B17" s="24">
        <v>9</v>
      </c>
      <c r="C17" s="25">
        <f t="shared" si="0"/>
        <v>106164</v>
      </c>
      <c r="D17" s="26">
        <f>SUM($C$9:C17)</f>
        <v>955476</v>
      </c>
      <c r="F17" s="24">
        <v>20</v>
      </c>
      <c r="G17" s="25">
        <f t="shared" si="2"/>
        <v>500000</v>
      </c>
      <c r="H17" s="26">
        <f t="shared" si="3"/>
        <v>134550</v>
      </c>
      <c r="L17" s="24">
        <v>9</v>
      </c>
      <c r="M17" s="25">
        <f t="shared" si="1"/>
        <v>140724</v>
      </c>
      <c r="N17" s="26">
        <f>SUM($C$9:M17)</f>
        <v>13979524</v>
      </c>
      <c r="P17" s="4"/>
      <c r="Q17" s="32"/>
      <c r="R17" s="32"/>
    </row>
    <row r="18" spans="2:18" x14ac:dyDescent="0.3">
      <c r="B18" s="24">
        <v>10</v>
      </c>
      <c r="C18" s="25">
        <f t="shared" si="0"/>
        <v>106164</v>
      </c>
      <c r="D18" s="26">
        <f>SUM($C$9:C18)</f>
        <v>1061640</v>
      </c>
      <c r="F18" s="24">
        <v>21</v>
      </c>
      <c r="G18" s="25">
        <f t="shared" si="2"/>
        <v>500000</v>
      </c>
      <c r="H18" s="26">
        <f t="shared" si="3"/>
        <v>134550</v>
      </c>
      <c r="L18" s="24">
        <v>10</v>
      </c>
      <c r="M18" s="25">
        <f t="shared" si="1"/>
        <v>140724</v>
      </c>
      <c r="N18" s="26">
        <f>SUM($C$9:M18)</f>
        <v>15922633</v>
      </c>
    </row>
    <row r="19" spans="2:18" ht="16.2" thickBot="1" x14ac:dyDescent="0.35">
      <c r="B19" s="24">
        <v>11</v>
      </c>
      <c r="C19" s="25">
        <f t="shared" si="0"/>
        <v>106164</v>
      </c>
      <c r="D19" s="26">
        <f>SUM($C$9:C19)</f>
        <v>1167804</v>
      </c>
      <c r="F19" s="75" t="s">
        <v>0</v>
      </c>
      <c r="G19" s="205">
        <f>SUM(G15:G18)</f>
        <v>2000000</v>
      </c>
      <c r="H19" s="206">
        <f>SUM(H15:H18)</f>
        <v>538200</v>
      </c>
      <c r="L19" s="24">
        <v>11</v>
      </c>
      <c r="M19" s="25">
        <f t="shared" si="1"/>
        <v>140724</v>
      </c>
      <c r="N19" s="26">
        <f>SUM($C$9:M19)</f>
        <v>19875536</v>
      </c>
    </row>
    <row r="20" spans="2:18" x14ac:dyDescent="0.3">
      <c r="B20" s="24">
        <v>12</v>
      </c>
      <c r="C20" s="25">
        <f t="shared" si="0"/>
        <v>106164</v>
      </c>
      <c r="D20" s="26">
        <f>SUM($C$9:C20)</f>
        <v>1273968</v>
      </c>
      <c r="L20" s="24">
        <v>12</v>
      </c>
      <c r="M20" s="25">
        <f t="shared" si="1"/>
        <v>140724</v>
      </c>
      <c r="N20" s="26">
        <f>SUM($C$9:M20)</f>
        <v>21396404</v>
      </c>
    </row>
    <row r="21" spans="2:18" x14ac:dyDescent="0.3">
      <c r="B21" s="24">
        <v>13</v>
      </c>
      <c r="C21" s="25">
        <f t="shared" si="0"/>
        <v>106164</v>
      </c>
      <c r="D21" s="26">
        <f>SUM($C$9:C21)</f>
        <v>1380132</v>
      </c>
      <c r="L21" s="24">
        <v>13</v>
      </c>
      <c r="M21" s="25">
        <f t="shared" si="1"/>
        <v>140724</v>
      </c>
      <c r="N21" s="26">
        <f>SUM($C$9:M21)</f>
        <v>23023437</v>
      </c>
    </row>
    <row r="22" spans="2:18" x14ac:dyDescent="0.3">
      <c r="B22" s="24">
        <v>14</v>
      </c>
      <c r="C22" s="25">
        <f t="shared" si="0"/>
        <v>106164</v>
      </c>
      <c r="D22" s="26">
        <f>SUM($C$9:C22)</f>
        <v>1486296</v>
      </c>
      <c r="L22" s="24">
        <v>14</v>
      </c>
      <c r="M22" s="25">
        <f t="shared" si="1"/>
        <v>140724</v>
      </c>
      <c r="N22" s="26">
        <f>SUM($C$9:M22)</f>
        <v>24756635</v>
      </c>
    </row>
    <row r="23" spans="2:18" x14ac:dyDescent="0.3">
      <c r="B23" s="24">
        <v>15</v>
      </c>
      <c r="C23" s="25">
        <f t="shared" si="0"/>
        <v>106164</v>
      </c>
      <c r="D23" s="26">
        <f>SUM($C$9:C23)</f>
        <v>1592460</v>
      </c>
      <c r="L23" s="24">
        <v>15</v>
      </c>
      <c r="M23" s="25">
        <f t="shared" si="1"/>
        <v>140724</v>
      </c>
      <c r="N23" s="26">
        <f>SUM($C$9:M23)</f>
        <v>26595998</v>
      </c>
    </row>
    <row r="24" spans="2:18" x14ac:dyDescent="0.3">
      <c r="B24" s="24">
        <v>16</v>
      </c>
      <c r="C24" s="25">
        <f t="shared" si="0"/>
        <v>106164</v>
      </c>
      <c r="D24" s="26">
        <f>SUM($C$9:C24)</f>
        <v>1698624</v>
      </c>
      <c r="L24" s="24">
        <v>16</v>
      </c>
      <c r="M24" s="25">
        <f t="shared" si="1"/>
        <v>140724</v>
      </c>
      <c r="N24" s="26">
        <f>SUM($C$9:M24)</f>
        <v>28541526</v>
      </c>
    </row>
    <row r="25" spans="2:18" x14ac:dyDescent="0.3">
      <c r="B25" s="24">
        <v>17</v>
      </c>
      <c r="C25" s="25">
        <f t="shared" si="0"/>
        <v>106164</v>
      </c>
      <c r="D25" s="26">
        <f>SUM($C$9:C25)</f>
        <v>1804788</v>
      </c>
      <c r="L25" s="24">
        <v>17</v>
      </c>
      <c r="M25" s="25">
        <f t="shared" si="1"/>
        <v>140724</v>
      </c>
      <c r="N25" s="26">
        <f>SUM($C$9:M25)</f>
        <v>30593219</v>
      </c>
    </row>
    <row r="26" spans="2:18" ht="16.2" thickBot="1" x14ac:dyDescent="0.35">
      <c r="B26" s="82">
        <v>18</v>
      </c>
      <c r="C26" s="169">
        <f t="shared" si="0"/>
        <v>106164</v>
      </c>
      <c r="D26" s="170">
        <f>SUM($C$9:C26)</f>
        <v>1910952</v>
      </c>
      <c r="L26" s="24">
        <v>18</v>
      </c>
      <c r="M26" s="25">
        <f t="shared" si="1"/>
        <v>140724</v>
      </c>
      <c r="N26" s="26">
        <f>SUM($C$9:M26)</f>
        <v>32751077</v>
      </c>
    </row>
    <row r="27" spans="2:18" x14ac:dyDescent="0.3">
      <c r="L27" s="24">
        <v>19</v>
      </c>
      <c r="M27" s="25">
        <f t="shared" si="1"/>
        <v>140724</v>
      </c>
      <c r="N27" s="26">
        <f>SUM($C$9:M27)</f>
        <v>32891820</v>
      </c>
    </row>
    <row r="28" spans="2:18" x14ac:dyDescent="0.3">
      <c r="L28" s="24">
        <v>20</v>
      </c>
      <c r="M28" s="25">
        <f t="shared" si="1"/>
        <v>140724</v>
      </c>
      <c r="N28" s="26">
        <f>SUM($C$9:M28)</f>
        <v>33032564</v>
      </c>
    </row>
    <row r="29" spans="2:18" x14ac:dyDescent="0.3">
      <c r="L29" s="24">
        <v>21</v>
      </c>
      <c r="M29" s="25">
        <f t="shared" si="1"/>
        <v>140724</v>
      </c>
      <c r="N29" s="26">
        <f>SUM($C$9:M29)</f>
        <v>33173309</v>
      </c>
    </row>
    <row r="30" spans="2:18" x14ac:dyDescent="0.3">
      <c r="L30" s="24">
        <v>22</v>
      </c>
      <c r="M30" s="25">
        <f t="shared" si="1"/>
        <v>140724</v>
      </c>
      <c r="N30" s="26">
        <f>SUM($C$9:M30)</f>
        <v>33314055</v>
      </c>
    </row>
    <row r="31" spans="2:18" x14ac:dyDescent="0.3">
      <c r="L31" s="24">
        <v>23</v>
      </c>
      <c r="M31" s="25">
        <f t="shared" si="1"/>
        <v>140724</v>
      </c>
      <c r="N31" s="26">
        <f>SUM($C$9:M31)</f>
        <v>33454802</v>
      </c>
    </row>
    <row r="32" spans="2:18" x14ac:dyDescent="0.3">
      <c r="L32" s="24">
        <v>24</v>
      </c>
      <c r="M32" s="25">
        <f t="shared" si="1"/>
        <v>140724</v>
      </c>
      <c r="N32" s="26">
        <f>SUM($C$9:M32)</f>
        <v>33595550</v>
      </c>
    </row>
    <row r="33" spans="12:14" x14ac:dyDescent="0.3">
      <c r="L33" s="24">
        <v>25</v>
      </c>
      <c r="M33" s="25">
        <f t="shared" si="1"/>
        <v>140724</v>
      </c>
      <c r="N33" s="26">
        <f>SUM($C$9:M33)</f>
        <v>33736299</v>
      </c>
    </row>
    <row r="34" spans="12:14" x14ac:dyDescent="0.3">
      <c r="L34" s="24">
        <v>26</v>
      </c>
      <c r="M34" s="25">
        <f t="shared" si="1"/>
        <v>140724</v>
      </c>
      <c r="N34" s="26">
        <f>SUM($C$9:M34)</f>
        <v>33877049</v>
      </c>
    </row>
    <row r="35" spans="12:14" ht="16.2" thickBot="1" x14ac:dyDescent="0.35">
      <c r="L35" s="82">
        <v>27</v>
      </c>
      <c r="M35" s="169">
        <f t="shared" si="1"/>
        <v>140724</v>
      </c>
      <c r="N35" s="170">
        <f>SUM($C$9:M35)</f>
        <v>34017800</v>
      </c>
    </row>
  </sheetData>
  <mergeCells count="12">
    <mergeCell ref="F11:G11"/>
    <mergeCell ref="F12:G12"/>
    <mergeCell ref="L3:R3"/>
    <mergeCell ref="B5:C5"/>
    <mergeCell ref="B6:C6"/>
    <mergeCell ref="F8:H8"/>
    <mergeCell ref="B3:H3"/>
    <mergeCell ref="L5:M5"/>
    <mergeCell ref="L6:M6"/>
    <mergeCell ref="P8:R8"/>
    <mergeCell ref="P10:Q10"/>
    <mergeCell ref="F10:G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9937B-5420-4493-BADA-2E99B07567C9}">
  <dimension ref="B2:U37"/>
  <sheetViews>
    <sheetView zoomScale="116" workbookViewId="0">
      <selection activeCell="Q9" sqref="Q9"/>
    </sheetView>
  </sheetViews>
  <sheetFormatPr defaultRowHeight="15.6" x14ac:dyDescent="0.3"/>
  <cols>
    <col min="1" max="1" width="8.88671875" style="3"/>
    <col min="2" max="2" width="23.44140625" style="3" customWidth="1"/>
    <col min="3" max="3" width="31.109375" style="3" customWidth="1"/>
    <col min="4" max="4" width="20.109375" style="3" bestFit="1" customWidth="1"/>
    <col min="5" max="5" width="15" style="3" bestFit="1" customWidth="1"/>
    <col min="6" max="6" width="13.44140625" style="3" bestFit="1" customWidth="1"/>
    <col min="7" max="7" width="17.77734375" style="3" customWidth="1"/>
    <col min="8" max="8" width="15" style="3" bestFit="1" customWidth="1"/>
    <col min="9" max="10" width="8.88671875" style="3"/>
    <col min="11" max="11" width="18.88671875" style="3" customWidth="1"/>
    <col min="12" max="12" width="29.88671875" style="3" customWidth="1"/>
    <col min="13" max="13" width="13.21875" style="3" customWidth="1"/>
    <col min="14" max="14" width="15" style="3" bestFit="1" customWidth="1"/>
    <col min="15" max="15" width="13.6640625" style="3" bestFit="1" customWidth="1"/>
    <col min="16" max="16" width="12" style="3" customWidth="1"/>
    <col min="17" max="17" width="19" style="3" customWidth="1"/>
    <col min="18" max="19" width="21.88671875" style="3" customWidth="1"/>
    <col min="20" max="20" width="18.88671875" style="3" bestFit="1" customWidth="1"/>
    <col min="21" max="21" width="18.5546875" style="3" bestFit="1" customWidth="1"/>
    <col min="22" max="16384" width="8.88671875" style="3"/>
  </cols>
  <sheetData>
    <row r="2" spans="2:21" ht="20.399999999999999" x14ac:dyDescent="0.35">
      <c r="B2" s="228" t="s">
        <v>138</v>
      </c>
      <c r="C2" s="228"/>
      <c r="D2" s="228"/>
      <c r="E2" s="228"/>
      <c r="F2" s="228"/>
      <c r="G2" s="228"/>
      <c r="H2" s="228"/>
      <c r="K2" s="228" t="s">
        <v>137</v>
      </c>
      <c r="L2" s="228"/>
      <c r="M2" s="228"/>
      <c r="N2" s="228"/>
      <c r="O2" s="228"/>
      <c r="P2" s="228"/>
      <c r="Q2" s="228"/>
      <c r="R2" s="228"/>
      <c r="S2" s="228"/>
      <c r="T2" s="4"/>
    </row>
    <row r="3" spans="2:21" ht="16.2" thickBot="1" x14ac:dyDescent="0.35"/>
    <row r="4" spans="2:21" ht="28.8" customHeight="1" x14ac:dyDescent="0.3">
      <c r="B4" s="262" t="s">
        <v>70</v>
      </c>
      <c r="C4" s="264" t="s">
        <v>31</v>
      </c>
      <c r="D4" s="266" t="s">
        <v>69</v>
      </c>
      <c r="E4" s="268" t="s">
        <v>23</v>
      </c>
      <c r="F4" s="268"/>
      <c r="G4" s="266" t="s">
        <v>112</v>
      </c>
      <c r="H4" s="269" t="s">
        <v>65</v>
      </c>
      <c r="K4" s="237" t="s">
        <v>70</v>
      </c>
      <c r="L4" s="249" t="s">
        <v>31</v>
      </c>
      <c r="M4" s="237" t="s">
        <v>69</v>
      </c>
      <c r="N4" s="247" t="s">
        <v>23</v>
      </c>
      <c r="O4" s="248"/>
      <c r="P4" s="245" t="s">
        <v>140</v>
      </c>
      <c r="Q4" s="237" t="s">
        <v>150</v>
      </c>
      <c r="R4" s="231" t="s">
        <v>139</v>
      </c>
      <c r="S4" s="237" t="s">
        <v>162</v>
      </c>
      <c r="T4" s="15"/>
    </row>
    <row r="5" spans="2:21" ht="22.2" customHeight="1" thickBot="1" x14ac:dyDescent="0.35">
      <c r="B5" s="263"/>
      <c r="C5" s="265"/>
      <c r="D5" s="267"/>
      <c r="E5" s="66" t="s">
        <v>6</v>
      </c>
      <c r="F5" s="66" t="s">
        <v>24</v>
      </c>
      <c r="G5" s="267"/>
      <c r="H5" s="270"/>
      <c r="K5" s="238"/>
      <c r="L5" s="250"/>
      <c r="M5" s="238"/>
      <c r="N5" s="117" t="s">
        <v>6</v>
      </c>
      <c r="O5" s="118" t="s">
        <v>24</v>
      </c>
      <c r="P5" s="246"/>
      <c r="Q5" s="238"/>
      <c r="R5" s="232"/>
      <c r="S5" s="238"/>
    </row>
    <row r="6" spans="2:21" ht="23.4" customHeight="1" x14ac:dyDescent="0.3">
      <c r="B6" s="253" t="s">
        <v>104</v>
      </c>
      <c r="C6" s="254"/>
      <c r="D6" s="254"/>
      <c r="E6" s="254"/>
      <c r="F6" s="254"/>
      <c r="G6" s="254"/>
      <c r="H6" s="255"/>
      <c r="K6" s="233" t="s">
        <v>104</v>
      </c>
      <c r="L6" s="234"/>
      <c r="M6" s="234"/>
      <c r="N6" s="234"/>
      <c r="O6" s="234"/>
      <c r="P6" s="234"/>
      <c r="Q6" s="234"/>
      <c r="R6" s="234"/>
      <c r="S6" s="119"/>
    </row>
    <row r="7" spans="2:21" ht="30.6" customHeight="1" x14ac:dyDescent="0.3">
      <c r="B7" s="256"/>
      <c r="C7" s="257"/>
      <c r="D7" s="257"/>
      <c r="E7" s="257"/>
      <c r="F7" s="257"/>
      <c r="G7" s="257"/>
      <c r="H7" s="258"/>
      <c r="K7" s="24" t="s">
        <v>108</v>
      </c>
      <c r="L7" s="54" t="s">
        <v>144</v>
      </c>
      <c r="M7" s="55">
        <v>0.125</v>
      </c>
      <c r="N7" s="56">
        <v>20000</v>
      </c>
      <c r="O7" s="56">
        <f>N7*12</f>
        <v>240000</v>
      </c>
      <c r="P7" s="57">
        <f>2031-2024</f>
        <v>7</v>
      </c>
      <c r="Q7" s="56">
        <f>FV(M7/12,12*P7,-N7,0,1)</f>
        <v>2692802.998032758</v>
      </c>
      <c r="R7" s="25">
        <f>FV(M7,2072-2050,0,-Q7,1)</f>
        <v>35938510.709253162</v>
      </c>
      <c r="S7" s="26">
        <f>PV(7%,2072-2024,0,-R7,1)</f>
        <v>1396814.5399246865</v>
      </c>
      <c r="T7" s="15"/>
    </row>
    <row r="8" spans="2:21" ht="31.2" x14ac:dyDescent="0.3">
      <c r="B8" s="24" t="s">
        <v>108</v>
      </c>
      <c r="C8" s="54" t="s">
        <v>155</v>
      </c>
      <c r="D8" s="55">
        <v>0.161</v>
      </c>
      <c r="E8" s="56">
        <v>20000</v>
      </c>
      <c r="F8" s="44">
        <f>E8*12</f>
        <v>240000</v>
      </c>
      <c r="G8" s="58">
        <v>8</v>
      </c>
      <c r="H8" s="62">
        <f>FV(D8/12,12*G8,-E8,0,1)</f>
        <v>3919637.5018768678</v>
      </c>
      <c r="I8" s="251"/>
      <c r="J8" s="252"/>
      <c r="K8" s="24" t="s">
        <v>108</v>
      </c>
      <c r="L8" s="54" t="s">
        <v>155</v>
      </c>
      <c r="M8" s="55">
        <v>0.161</v>
      </c>
      <c r="N8" s="56">
        <v>10000</v>
      </c>
      <c r="O8" s="44">
        <f>N8*12</f>
        <v>120000</v>
      </c>
      <c r="P8" s="57">
        <f>2050-2024+G8</f>
        <v>34</v>
      </c>
      <c r="Q8" s="56">
        <f>FV(M8/12,12*P8,-N8,0,1)</f>
        <v>172890634.06694743</v>
      </c>
      <c r="R8" s="25">
        <f>FV(M8,2050-2050,0,-Q8,1)</f>
        <v>172890634.06694743</v>
      </c>
      <c r="S8" s="26">
        <f>PV(7%,2050-2024,0,-R8,1)</f>
        <v>29770987.970218282</v>
      </c>
      <c r="T8" s="15"/>
    </row>
    <row r="9" spans="2:21" x14ac:dyDescent="0.3">
      <c r="B9" s="24" t="s">
        <v>100</v>
      </c>
      <c r="C9" s="53" t="s">
        <v>110</v>
      </c>
      <c r="D9" s="6">
        <v>0.14000000000000001</v>
      </c>
      <c r="E9" s="44">
        <v>50000</v>
      </c>
      <c r="F9" s="56">
        <f>E9*12</f>
        <v>600000</v>
      </c>
      <c r="G9" s="57">
        <v>3</v>
      </c>
      <c r="H9" s="63">
        <f>FV(D9/12,12*G9,-E9,0,1)</f>
        <v>2247053.2747997092</v>
      </c>
      <c r="I9" s="251"/>
      <c r="J9" s="252"/>
      <c r="K9" s="24" t="s">
        <v>100</v>
      </c>
      <c r="L9" s="53" t="s">
        <v>110</v>
      </c>
      <c r="M9" s="6">
        <v>0.14000000000000001</v>
      </c>
      <c r="N9" s="44">
        <v>40000</v>
      </c>
      <c r="O9" s="56">
        <f>N9*12</f>
        <v>480000</v>
      </c>
      <c r="P9" s="57">
        <f>2058-2024</f>
        <v>34</v>
      </c>
      <c r="Q9" s="44">
        <f>FV(M9/12,12*P9,-N9,0,1)</f>
        <v>390468130.4352603</v>
      </c>
      <c r="R9" s="25">
        <f>FV(M9,2058-2050,0,-Q9,1)</f>
        <v>1113844087.1295991</v>
      </c>
      <c r="S9" s="26">
        <f>PV(7%,2058-2024,0,-R9,1)</f>
        <v>111628724.50756176</v>
      </c>
      <c r="T9" s="15"/>
    </row>
    <row r="10" spans="2:21" x14ac:dyDescent="0.3">
      <c r="B10" s="24" t="s">
        <v>106</v>
      </c>
      <c r="C10" s="53" t="s">
        <v>109</v>
      </c>
      <c r="D10" s="59">
        <v>7.0999999999999994E-2</v>
      </c>
      <c r="E10" s="44">
        <v>10000</v>
      </c>
      <c r="F10" s="56">
        <v>300000</v>
      </c>
      <c r="G10" s="57">
        <v>5</v>
      </c>
      <c r="H10" s="63">
        <f>F10*(((1+D10)^G10)-1)/D10</f>
        <v>1728667.4900042992</v>
      </c>
      <c r="K10" s="24" t="s">
        <v>106</v>
      </c>
      <c r="L10" s="53" t="s">
        <v>109</v>
      </c>
      <c r="M10" s="59">
        <v>7.0999999999999994E-2</v>
      </c>
      <c r="N10" s="44">
        <v>10000</v>
      </c>
      <c r="O10" s="56">
        <v>300000</v>
      </c>
      <c r="P10" s="57">
        <f>G10+2050-2024</f>
        <v>31</v>
      </c>
      <c r="Q10" s="44">
        <f>O10*(((1+M10)^P10)-1)/M10</f>
        <v>31201821.1881858</v>
      </c>
      <c r="R10" s="25">
        <f t="shared" ref="R10" si="0">FV(M10,2056-2050,0,-Q10,1)</f>
        <v>47088707.353274822</v>
      </c>
      <c r="S10" s="26">
        <f>PV(7%,2050-2024,0,-R10,1)</f>
        <v>8108463.1779685253</v>
      </c>
      <c r="T10" s="32"/>
    </row>
    <row r="11" spans="2:21" x14ac:dyDescent="0.3">
      <c r="B11" s="243" t="s">
        <v>111</v>
      </c>
      <c r="C11" s="244"/>
      <c r="D11" s="60"/>
      <c r="E11" s="61">
        <f>SUM(E7:E10)</f>
        <v>80000</v>
      </c>
      <c r="F11" s="61">
        <f>SUM(F7:F10)</f>
        <v>1140000</v>
      </c>
      <c r="G11" s="61"/>
      <c r="H11" s="64">
        <f>SUM(H7:H10)</f>
        <v>7895358.2666808758</v>
      </c>
      <c r="K11" s="243" t="s">
        <v>111</v>
      </c>
      <c r="L11" s="244"/>
      <c r="M11" s="60"/>
      <c r="N11" s="61">
        <f>SUM(N7:N10)</f>
        <v>80000</v>
      </c>
      <c r="O11" s="61">
        <f>SUM(O7:O10)</f>
        <v>1140000</v>
      </c>
      <c r="P11" s="61"/>
      <c r="Q11" s="61">
        <f>SUM(Q7:Q10)</f>
        <v>597253388.68842626</v>
      </c>
      <c r="R11" s="25"/>
      <c r="S11" s="26">
        <f t="shared" ref="S11:S12" si="1">PV(7%,2050-2024,0,-R11,1)</f>
        <v>0</v>
      </c>
      <c r="U11" s="32"/>
    </row>
    <row r="12" spans="2:21" ht="23.4" customHeight="1" x14ac:dyDescent="0.3">
      <c r="B12" s="271" t="s">
        <v>105</v>
      </c>
      <c r="C12" s="272"/>
      <c r="D12" s="272"/>
      <c r="E12" s="272"/>
      <c r="F12" s="272"/>
      <c r="G12" s="272"/>
      <c r="H12" s="273"/>
      <c r="K12" s="235" t="s">
        <v>105</v>
      </c>
      <c r="L12" s="236"/>
      <c r="M12" s="236"/>
      <c r="N12" s="236"/>
      <c r="O12" s="236"/>
      <c r="P12" s="236"/>
      <c r="Q12" s="236"/>
      <c r="R12" s="236"/>
      <c r="S12" s="45">
        <f t="shared" si="1"/>
        <v>0</v>
      </c>
    </row>
    <row r="13" spans="2:21" ht="31.2" x14ac:dyDescent="0.3">
      <c r="B13" s="24" t="s">
        <v>107</v>
      </c>
      <c r="C13" s="54" t="s">
        <v>157</v>
      </c>
      <c r="D13" s="55">
        <v>0.158</v>
      </c>
      <c r="E13" s="242">
        <v>50000</v>
      </c>
      <c r="F13" s="242"/>
      <c r="G13" s="58">
        <v>5</v>
      </c>
      <c r="H13" s="65">
        <f>E13*(1+D13)^(G13)</f>
        <v>104114.87961423838</v>
      </c>
      <c r="K13" s="24" t="s">
        <v>107</v>
      </c>
      <c r="L13" s="54" t="s">
        <v>157</v>
      </c>
      <c r="M13" s="55">
        <v>0.16200000000000001</v>
      </c>
      <c r="N13" s="242">
        <v>50000</v>
      </c>
      <c r="O13" s="242"/>
      <c r="P13" s="58">
        <f>2072-2024+G13</f>
        <v>53</v>
      </c>
      <c r="Q13" s="58"/>
      <c r="R13" s="113">
        <f>N13*(1+M13)^(P13)</f>
        <v>142854784.77579251</v>
      </c>
      <c r="S13" s="45">
        <f>PV(7%,2071-2024,0,-R13,1)</f>
        <v>5940968.3676945101</v>
      </c>
    </row>
    <row r="14" spans="2:21" x14ac:dyDescent="0.3">
      <c r="B14" s="24" t="s">
        <v>131</v>
      </c>
      <c r="C14" s="53" t="s">
        <v>66</v>
      </c>
      <c r="D14" s="59">
        <v>7.0000000000000007E-2</v>
      </c>
      <c r="E14" s="44" t="s">
        <v>51</v>
      </c>
      <c r="F14" s="56" t="s">
        <v>51</v>
      </c>
      <c r="G14" s="57">
        <v>1</v>
      </c>
      <c r="H14" s="63">
        <v>400000</v>
      </c>
      <c r="K14" s="24" t="s">
        <v>131</v>
      </c>
      <c r="L14" s="53" t="s">
        <v>66</v>
      </c>
      <c r="M14" s="59">
        <v>7.0000000000000007E-2</v>
      </c>
      <c r="N14" s="44" t="s">
        <v>51</v>
      </c>
      <c r="O14" s="56" t="s">
        <v>51</v>
      </c>
      <c r="P14" s="57">
        <v>7</v>
      </c>
      <c r="Q14" s="57"/>
      <c r="R14" s="44">
        <f>FV(7%/4,4*5,0,-400000,1)</f>
        <v>565911.27830231993</v>
      </c>
      <c r="S14" s="63">
        <f>H14</f>
        <v>400000</v>
      </c>
      <c r="T14" s="77"/>
    </row>
    <row r="15" spans="2:21" ht="16.2" thickBot="1" x14ac:dyDescent="0.35">
      <c r="B15" s="259" t="s">
        <v>133</v>
      </c>
      <c r="C15" s="260"/>
      <c r="D15" s="239"/>
      <c r="E15" s="240"/>
      <c r="F15" s="240"/>
      <c r="G15" s="241"/>
      <c r="H15" s="52">
        <f>SUM(H13:H14)</f>
        <v>504114.87961423839</v>
      </c>
      <c r="K15" s="259" t="s">
        <v>133</v>
      </c>
      <c r="L15" s="260"/>
      <c r="M15" s="261"/>
      <c r="N15" s="261"/>
      <c r="O15" s="261"/>
      <c r="P15" s="261"/>
      <c r="Q15" s="115"/>
      <c r="R15" s="116">
        <f>SUM(R13:R14)</f>
        <v>143420696.05409482</v>
      </c>
      <c r="S15" s="52">
        <f>SUM(S13:S14)</f>
        <v>6340968.3676945101</v>
      </c>
    </row>
    <row r="16" spans="2:21" x14ac:dyDescent="0.3">
      <c r="M16" s="114"/>
      <c r="N16" s="17"/>
      <c r="O16" s="16"/>
      <c r="P16" s="33"/>
      <c r="Q16" s="33"/>
      <c r="R16" s="17"/>
      <c r="S16" s="17"/>
    </row>
    <row r="17" spans="2:20" ht="16.2" thickBot="1" x14ac:dyDescent="0.35">
      <c r="N17" s="17"/>
      <c r="O17" s="16"/>
      <c r="P17" s="16"/>
      <c r="Q17" s="16"/>
      <c r="R17" s="17"/>
      <c r="S17" s="17"/>
      <c r="T17" s="189"/>
    </row>
    <row r="18" spans="2:20" ht="24.6" customHeight="1" x14ac:dyDescent="0.3">
      <c r="B18" s="229" t="s">
        <v>167</v>
      </c>
      <c r="C18" s="230"/>
      <c r="D18" s="230"/>
      <c r="E18" s="230"/>
      <c r="F18" s="230"/>
      <c r="G18" s="230"/>
      <c r="K18" s="227" t="s">
        <v>191</v>
      </c>
      <c r="L18" s="227"/>
      <c r="M18" s="227"/>
      <c r="Q18" s="17"/>
      <c r="R18" s="17"/>
    </row>
    <row r="19" spans="2:20" ht="6" customHeight="1" thickBot="1" x14ac:dyDescent="0.35">
      <c r="B19" s="18"/>
    </row>
    <row r="20" spans="2:20" ht="47.4" thickBot="1" x14ac:dyDescent="0.35">
      <c r="B20" s="67" t="s">
        <v>125</v>
      </c>
      <c r="C20" s="68" t="s">
        <v>126</v>
      </c>
      <c r="D20" s="69" t="s">
        <v>127</v>
      </c>
      <c r="E20" s="68" t="s">
        <v>128</v>
      </c>
      <c r="F20" s="70" t="s">
        <v>129</v>
      </c>
      <c r="G20" s="71" t="s">
        <v>130</v>
      </c>
      <c r="K20" s="50" t="s">
        <v>100</v>
      </c>
      <c r="L20" s="180">
        <f>H9+H8+H13</f>
        <v>6270805.6562908152</v>
      </c>
      <c r="M20" s="181">
        <f>L20/SUM($L$20:$L$22)</f>
        <v>0.58903123083318176</v>
      </c>
    </row>
    <row r="21" spans="2:20" x14ac:dyDescent="0.3">
      <c r="B21" s="24">
        <v>24</v>
      </c>
      <c r="C21" s="42">
        <f>Income!$C$9/((1+7%)^($B$29-B21))</f>
        <v>1815868.4062429199</v>
      </c>
      <c r="D21" s="43">
        <f>Expenses!$C$18/((1+7%)^('Investment Plan'!$B$29-'Investment Plan'!B21))</f>
        <v>1094003.3522119867</v>
      </c>
      <c r="E21" s="42">
        <f>C21-D21</f>
        <v>721865.05403093318</v>
      </c>
      <c r="F21" s="44">
        <f>$O$8</f>
        <v>120000</v>
      </c>
      <c r="G21" s="45">
        <f>E21-F21</f>
        <v>601865.05403093318</v>
      </c>
      <c r="K21" s="24" t="s">
        <v>192</v>
      </c>
      <c r="L21" s="25">
        <f>H10+H14</f>
        <v>2128667.4900042992</v>
      </c>
      <c r="M21" s="182">
        <f t="shared" ref="M21:M22" si="2">L21/SUM($L$20:$L$22)</f>
        <v>0.19995064436639964</v>
      </c>
    </row>
    <row r="22" spans="2:20" ht="16.2" thickBot="1" x14ac:dyDescent="0.35">
      <c r="B22" s="24">
        <v>25</v>
      </c>
      <c r="C22" s="42">
        <f>Income!$C$9/((1+7%)^($B$29-B22))</f>
        <v>1942979.1946799243</v>
      </c>
      <c r="D22" s="43">
        <f>Expenses!$C$18/((1+7%)^('Investment Plan'!$B$29-'Investment Plan'!B22))</f>
        <v>1170583.5868668258</v>
      </c>
      <c r="E22" s="42">
        <f t="shared" ref="E22:E29" si="3">C22-D22</f>
        <v>772395.60781309847</v>
      </c>
      <c r="F22" s="44">
        <f t="shared" ref="F22:F23" si="4">$O$8</f>
        <v>120000</v>
      </c>
      <c r="G22" s="45">
        <f t="shared" ref="G22:G29" si="5">E22-F22</f>
        <v>652395.60781309847</v>
      </c>
      <c r="K22" s="82" t="s">
        <v>193</v>
      </c>
      <c r="L22" s="169">
        <f>G30</f>
        <v>2246491.495377264</v>
      </c>
      <c r="M22" s="183">
        <f t="shared" si="2"/>
        <v>0.2110181248004184</v>
      </c>
      <c r="O22" s="17"/>
    </row>
    <row r="23" spans="2:20" x14ac:dyDescent="0.3">
      <c r="B23" s="24">
        <v>26</v>
      </c>
      <c r="C23" s="42">
        <f>Income!$C$9/((1+7%)^($B$29-B23))</f>
        <v>2078987.7383075191</v>
      </c>
      <c r="D23" s="43">
        <f>Expenses!$C$18/((1+7%)^('Investment Plan'!$B$29-'Investment Plan'!B23))</f>
        <v>1252524.4379475035</v>
      </c>
      <c r="E23" s="42">
        <f t="shared" si="3"/>
        <v>826463.30036001559</v>
      </c>
      <c r="F23" s="44">
        <f t="shared" si="4"/>
        <v>120000</v>
      </c>
      <c r="G23" s="45">
        <f t="shared" si="5"/>
        <v>706463.30036001559</v>
      </c>
      <c r="O23" s="17"/>
    </row>
    <row r="24" spans="2:20" x14ac:dyDescent="0.3">
      <c r="B24" s="24">
        <v>27</v>
      </c>
      <c r="C24" s="42">
        <f>Income!$C$9/((1+7%)^($B$29-B24))</f>
        <v>2224516.8799890452</v>
      </c>
      <c r="D24" s="43">
        <f>Expenses!$C$18/((1+7%)^('Investment Plan'!$B$29-'Investment Plan'!B24))</f>
        <v>1340201.1486038289</v>
      </c>
      <c r="E24" s="42">
        <f t="shared" si="3"/>
        <v>884315.73138521635</v>
      </c>
      <c r="F24" s="44">
        <f>$O$8+$O$10</f>
        <v>420000</v>
      </c>
      <c r="G24" s="45">
        <f t="shared" si="5"/>
        <v>464315.73138521635</v>
      </c>
    </row>
    <row r="25" spans="2:20" x14ac:dyDescent="0.3">
      <c r="B25" s="24">
        <v>28</v>
      </c>
      <c r="C25" s="42">
        <f>Income!$C$9/((1+7%)^($B$29-B25))</f>
        <v>2380233.0615882785</v>
      </c>
      <c r="D25" s="43">
        <f>Expenses!$C$18/((1+7%)^('Investment Plan'!$B$29-'Investment Plan'!B25))</f>
        <v>1434015.229006097</v>
      </c>
      <c r="E25" s="42">
        <f t="shared" si="3"/>
        <v>946217.83258218155</v>
      </c>
      <c r="F25" s="44">
        <f>$O$8+$O$10+$O$7</f>
        <v>660000</v>
      </c>
      <c r="G25" s="45">
        <f>E25-F25</f>
        <v>286217.83258218155</v>
      </c>
      <c r="R25" s="3" t="s">
        <v>119</v>
      </c>
      <c r="S25" s="3" t="s">
        <v>119</v>
      </c>
    </row>
    <row r="26" spans="2:20" x14ac:dyDescent="0.3">
      <c r="B26" s="24">
        <v>29</v>
      </c>
      <c r="C26" s="42">
        <f>Income!$C$9/((1+7%)^($B$29-B26))</f>
        <v>2546849.3758994578</v>
      </c>
      <c r="D26" s="43">
        <f>Expenses!$C$18/((1+7%)^('Investment Plan'!$B$29-'Investment Plan'!B26))</f>
        <v>1534396.2950365236</v>
      </c>
      <c r="E26" s="42">
        <f t="shared" si="3"/>
        <v>1012453.0808629342</v>
      </c>
      <c r="F26" s="44">
        <f>$O$8+$O$10+$O$7+$O$9</f>
        <v>1140000</v>
      </c>
      <c r="G26" s="45">
        <f t="shared" si="5"/>
        <v>-127546.91913706576</v>
      </c>
    </row>
    <row r="27" spans="2:20" x14ac:dyDescent="0.3">
      <c r="B27" s="24">
        <v>30</v>
      </c>
      <c r="C27" s="42">
        <f>Income!$C$9/((1+7%)^($B$29-B27))</f>
        <v>2725128.8322124202</v>
      </c>
      <c r="D27" s="43">
        <f>Expenses!$C$18/((1+7%)^('Investment Plan'!$B$29-'Investment Plan'!B27))</f>
        <v>1641804.0356890804</v>
      </c>
      <c r="E27" s="42">
        <f t="shared" si="3"/>
        <v>1083324.7965233398</v>
      </c>
      <c r="F27" s="44">
        <f>$O$8+$O$10+$O$7+$O$9</f>
        <v>1140000</v>
      </c>
      <c r="G27" s="45">
        <f t="shared" si="5"/>
        <v>-56675.203476660186</v>
      </c>
    </row>
    <row r="28" spans="2:20" x14ac:dyDescent="0.3">
      <c r="B28" s="24">
        <v>31</v>
      </c>
      <c r="C28" s="42">
        <f>Income!$C$9/((1+7%)^($B$29-B28))</f>
        <v>2915887.8504672893</v>
      </c>
      <c r="D28" s="43">
        <f>Expenses!$C$18/((1+7%)^('Investment Plan'!$B$29-'Investment Plan'!B28))</f>
        <v>1756730.3181873159</v>
      </c>
      <c r="E28" s="42">
        <f t="shared" si="3"/>
        <v>1159157.5322799734</v>
      </c>
      <c r="F28" s="44">
        <f>$O$8+$O$10+$O$7+$O$9+H14</f>
        <v>1540000</v>
      </c>
      <c r="G28" s="45">
        <f t="shared" si="5"/>
        <v>-380842.46772002662</v>
      </c>
    </row>
    <row r="29" spans="2:20" ht="16.2" thickBot="1" x14ac:dyDescent="0.35">
      <c r="B29" s="46">
        <v>32</v>
      </c>
      <c r="C29" s="42">
        <f>Income!$C$9/((1+7%)^($B$29-B29))</f>
        <v>3120000</v>
      </c>
      <c r="D29" s="43">
        <f>Expenses!$C$18/((1+7%)^('Investment Plan'!$B$29-'Investment Plan'!B29))</f>
        <v>1879701.4404604281</v>
      </c>
      <c r="E29" s="42">
        <f t="shared" si="3"/>
        <v>1240298.5595395719</v>
      </c>
      <c r="F29" s="44">
        <f>$O$8+$O$10+$O$7+$O$9</f>
        <v>1140000</v>
      </c>
      <c r="G29" s="45">
        <f t="shared" si="5"/>
        <v>100298.55953957187</v>
      </c>
    </row>
    <row r="30" spans="2:20" ht="16.2" thickBot="1" x14ac:dyDescent="0.35">
      <c r="B30" s="47"/>
      <c r="C30" s="48"/>
      <c r="D30" s="48"/>
      <c r="E30" s="48"/>
      <c r="F30" s="48"/>
      <c r="G30" s="49">
        <f>SUM(G21:G29)</f>
        <v>2246491.495377264</v>
      </c>
    </row>
    <row r="32" spans="2:20" x14ac:dyDescent="0.3">
      <c r="C32" s="18" t="s">
        <v>135</v>
      </c>
    </row>
    <row r="33" spans="2:4" ht="6" customHeight="1" thickBot="1" x14ac:dyDescent="0.35">
      <c r="B33" s="18"/>
    </row>
    <row r="34" spans="2:4" x14ac:dyDescent="0.3">
      <c r="C34" s="50" t="s">
        <v>132</v>
      </c>
      <c r="D34" s="51">
        <f>Q11</f>
        <v>597253388.68842626</v>
      </c>
    </row>
    <row r="35" spans="2:4" x14ac:dyDescent="0.3">
      <c r="C35" s="24" t="s">
        <v>133</v>
      </c>
      <c r="D35" s="26">
        <f>R15</f>
        <v>143420696.05409482</v>
      </c>
    </row>
    <row r="36" spans="2:4" x14ac:dyDescent="0.3">
      <c r="C36" s="24" t="s">
        <v>134</v>
      </c>
      <c r="D36" s="45">
        <f>G30</f>
        <v>2246491.495377264</v>
      </c>
    </row>
    <row r="37" spans="2:4" ht="16.2" thickBot="1" x14ac:dyDescent="0.35">
      <c r="C37" s="72" t="s">
        <v>0</v>
      </c>
      <c r="D37" s="73">
        <f>SUM(D34:D36)</f>
        <v>742920576.23789835</v>
      </c>
    </row>
  </sheetData>
  <mergeCells count="31">
    <mergeCell ref="B2:H2"/>
    <mergeCell ref="I8:J9"/>
    <mergeCell ref="B6:H7"/>
    <mergeCell ref="K15:L15"/>
    <mergeCell ref="M15:P15"/>
    <mergeCell ref="B4:B5"/>
    <mergeCell ref="C4:C5"/>
    <mergeCell ref="D4:D5"/>
    <mergeCell ref="E4:F4"/>
    <mergeCell ref="G4:G5"/>
    <mergeCell ref="H4:H5"/>
    <mergeCell ref="B11:C11"/>
    <mergeCell ref="B12:H12"/>
    <mergeCell ref="E13:F13"/>
    <mergeCell ref="B15:C15"/>
    <mergeCell ref="K18:M18"/>
    <mergeCell ref="K2:S2"/>
    <mergeCell ref="B18:G18"/>
    <mergeCell ref="R4:R5"/>
    <mergeCell ref="K6:R6"/>
    <mergeCell ref="K12:R12"/>
    <mergeCell ref="Q4:Q5"/>
    <mergeCell ref="S4:S5"/>
    <mergeCell ref="D15:G15"/>
    <mergeCell ref="N13:O13"/>
    <mergeCell ref="K11:L11"/>
    <mergeCell ref="P4:P5"/>
    <mergeCell ref="M4:M5"/>
    <mergeCell ref="K4:K5"/>
    <mergeCell ref="N4:O4"/>
    <mergeCell ref="L4:L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7019-7016-4126-B096-7A1D901D6067}">
  <dimension ref="A1:T64"/>
  <sheetViews>
    <sheetView topLeftCell="M36" zoomScale="87" zoomScaleNormal="70" workbookViewId="0">
      <selection activeCell="O38" sqref="O38"/>
    </sheetView>
  </sheetViews>
  <sheetFormatPr defaultRowHeight="15.6" x14ac:dyDescent="0.3"/>
  <cols>
    <col min="1" max="1" width="8.88671875" style="3"/>
    <col min="2" max="2" width="44.77734375" style="3" bestFit="1" customWidth="1"/>
    <col min="3" max="3" width="19.6640625" style="3" bestFit="1" customWidth="1"/>
    <col min="4" max="4" width="8.88671875" style="3"/>
    <col min="5" max="5" width="24.109375" style="3" bestFit="1" customWidth="1"/>
    <col min="6" max="6" width="17.88671875" style="3" bestFit="1" customWidth="1"/>
    <col min="7" max="7" width="16.109375" style="3" bestFit="1" customWidth="1"/>
    <col min="8" max="8" width="8.44140625" style="3" customWidth="1"/>
    <col min="9" max="9" width="16.109375" style="3" bestFit="1" customWidth="1"/>
    <col min="10" max="10" width="17.88671875" style="3" bestFit="1" customWidth="1"/>
    <col min="11" max="11" width="15" style="3" bestFit="1" customWidth="1"/>
    <col min="12" max="13" width="17.88671875" style="3" bestFit="1" customWidth="1"/>
    <col min="14" max="14" width="20.88671875" style="32" bestFit="1" customWidth="1"/>
    <col min="15" max="15" width="19.109375" style="32" bestFit="1" customWidth="1"/>
    <col min="16" max="16" width="20" style="3" bestFit="1" customWidth="1"/>
    <col min="17" max="17" width="21.5546875" style="3" bestFit="1" customWidth="1"/>
    <col min="18" max="18" width="16.109375" style="3" customWidth="1"/>
    <col min="19" max="19" width="16" style="3" customWidth="1"/>
    <col min="20" max="20" width="106.6640625" style="3" bestFit="1" customWidth="1"/>
    <col min="21" max="16384" width="8.88671875" style="3"/>
  </cols>
  <sheetData>
    <row r="1" spans="1:20" x14ac:dyDescent="0.3">
      <c r="N1" s="3"/>
      <c r="O1" s="3"/>
    </row>
    <row r="2" spans="1:20" x14ac:dyDescent="0.3">
      <c r="A2" s="4"/>
      <c r="N2" s="3"/>
      <c r="O2" s="3"/>
    </row>
    <row r="3" spans="1:20" x14ac:dyDescent="0.3">
      <c r="A3" s="4"/>
      <c r="N3" s="3"/>
      <c r="O3" s="3"/>
    </row>
    <row r="4" spans="1:20" x14ac:dyDescent="0.3">
      <c r="A4" s="4"/>
      <c r="N4" s="3"/>
      <c r="O4" s="3"/>
    </row>
    <row r="5" spans="1:20" x14ac:dyDescent="0.3">
      <c r="B5" s="274" t="s">
        <v>170</v>
      </c>
      <c r="C5" s="274"/>
      <c r="E5" s="3" t="s">
        <v>25</v>
      </c>
      <c r="F5" s="120">
        <f>C11</f>
        <v>1879701.4404604281</v>
      </c>
      <c r="J5" s="274" t="s">
        <v>169</v>
      </c>
      <c r="K5" s="274"/>
      <c r="L5" s="274"/>
      <c r="M5" s="274"/>
      <c r="N5" s="274"/>
      <c r="O5" s="3"/>
    </row>
    <row r="6" spans="1:20" x14ac:dyDescent="0.3">
      <c r="B6" s="274"/>
      <c r="C6" s="274"/>
      <c r="E6" s="3" t="s">
        <v>26</v>
      </c>
      <c r="F6" s="120">
        <f>F5*(1+7%)^28</f>
        <v>12497831.049737075</v>
      </c>
      <c r="J6" s="274"/>
      <c r="K6" s="274"/>
      <c r="L6" s="274"/>
      <c r="M6" s="274"/>
      <c r="N6" s="274"/>
      <c r="O6" s="3"/>
    </row>
    <row r="7" spans="1:20" x14ac:dyDescent="0.3">
      <c r="E7" s="3" t="s">
        <v>27</v>
      </c>
      <c r="F7" s="122">
        <f>80%*F6</f>
        <v>9998264.8397896606</v>
      </c>
      <c r="N7" s="3"/>
      <c r="O7" s="3"/>
    </row>
    <row r="8" spans="1:20" x14ac:dyDescent="0.3">
      <c r="B8" s="4"/>
      <c r="N8" s="3"/>
      <c r="O8" s="3"/>
    </row>
    <row r="9" spans="1:20" ht="16.2" thickBot="1" x14ac:dyDescent="0.35">
      <c r="E9" s="123"/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4"/>
    </row>
    <row r="10" spans="1:20" ht="48" customHeight="1" thickBot="1" x14ac:dyDescent="0.35">
      <c r="B10" s="174" t="s">
        <v>21</v>
      </c>
      <c r="C10" s="175">
        <f>Income!$C$9</f>
        <v>3120000</v>
      </c>
      <c r="E10" s="207" t="s">
        <v>32</v>
      </c>
      <c r="F10" s="125" t="s">
        <v>33</v>
      </c>
      <c r="G10" s="125" t="s">
        <v>34</v>
      </c>
      <c r="H10" s="125" t="s">
        <v>35</v>
      </c>
      <c r="I10" s="125" t="s">
        <v>36</v>
      </c>
      <c r="J10" s="125" t="s">
        <v>37</v>
      </c>
      <c r="K10" s="125" t="s">
        <v>49</v>
      </c>
      <c r="L10" s="125" t="s">
        <v>50</v>
      </c>
      <c r="M10" s="125" t="s">
        <v>38</v>
      </c>
      <c r="N10" s="125" t="s">
        <v>39</v>
      </c>
      <c r="O10" s="125" t="s">
        <v>40</v>
      </c>
      <c r="P10" s="125" t="s">
        <v>114</v>
      </c>
      <c r="Q10" s="126" t="s">
        <v>115</v>
      </c>
      <c r="R10" s="126" t="s">
        <v>116</v>
      </c>
      <c r="S10" s="126" t="s">
        <v>117</v>
      </c>
      <c r="T10" s="208" t="s">
        <v>118</v>
      </c>
    </row>
    <row r="11" spans="1:20" x14ac:dyDescent="0.3">
      <c r="B11" s="176" t="s">
        <v>22</v>
      </c>
      <c r="C11" s="26">
        <f>Expenses!C18</f>
        <v>1879701.4404604281</v>
      </c>
      <c r="E11" s="127">
        <v>2024</v>
      </c>
      <c r="F11" s="128">
        <v>32</v>
      </c>
      <c r="G11" s="129">
        <f>Income!C7</f>
        <v>1680000</v>
      </c>
      <c r="H11" s="128">
        <v>32</v>
      </c>
      <c r="I11" s="129">
        <f>Income!C8</f>
        <v>1440000</v>
      </c>
      <c r="J11" s="130">
        <f>G11+I11</f>
        <v>3120000</v>
      </c>
      <c r="K11" s="129">
        <f>Expenses!$C$14</f>
        <v>140724</v>
      </c>
      <c r="L11" s="130">
        <f>C11-K11</f>
        <v>1738977.4404604281</v>
      </c>
      <c r="M11" s="129">
        <f>K11+L11</f>
        <v>1879701.4404604281</v>
      </c>
      <c r="N11" s="130">
        <f>'Investment Plan'!H9</f>
        <v>2247053.2747997092</v>
      </c>
      <c r="O11" s="130"/>
      <c r="P11" s="130">
        <f>J11-M11+N11-O11</f>
        <v>3487351.8343392811</v>
      </c>
      <c r="Q11" s="131">
        <f>'Investment Plan'!G30</f>
        <v>2246491.495377264</v>
      </c>
      <c r="R11" s="130"/>
      <c r="S11" s="130"/>
      <c r="T11" s="132" t="s">
        <v>149</v>
      </c>
    </row>
    <row r="12" spans="1:20" x14ac:dyDescent="0.3">
      <c r="B12" s="177" t="s">
        <v>10</v>
      </c>
      <c r="C12" s="178">
        <f>C10-C11</f>
        <v>1240298.5595395719</v>
      </c>
      <c r="E12" s="134">
        <v>2025</v>
      </c>
      <c r="F12" s="135">
        <v>33</v>
      </c>
      <c r="G12" s="136">
        <f>G11*(1+Income!$D$7)</f>
        <v>1797600</v>
      </c>
      <c r="H12" s="135">
        <v>33</v>
      </c>
      <c r="I12" s="137">
        <f>I11*(1+Income!$D$8)</f>
        <v>1540800</v>
      </c>
      <c r="J12" s="136">
        <f t="shared" ref="J12:J37" si="0">G12+I12</f>
        <v>3338400</v>
      </c>
      <c r="K12" s="136">
        <f>Expenses!$C$14+Expenses!$C$15</f>
        <v>597537.44046042813</v>
      </c>
      <c r="L12" s="136">
        <f>$L$11*(1+7%)^(H12-$H$11)</f>
        <v>1860705.8612926581</v>
      </c>
      <c r="M12" s="136">
        <f t="shared" ref="M12:M47" si="1">K12+L12</f>
        <v>2458243.301753086</v>
      </c>
      <c r="N12" s="138"/>
      <c r="O12" s="138">
        <f>'Amortisation Table - Car Loan'!H6</f>
        <v>200000</v>
      </c>
      <c r="P12" s="138">
        <f>J12-M12+N12-O12</f>
        <v>680156.69824691396</v>
      </c>
      <c r="Q12" s="138">
        <f>P12+Q11</f>
        <v>2926648.1936241779</v>
      </c>
      <c r="R12" s="138"/>
      <c r="S12" s="138"/>
      <c r="T12" s="139" t="s">
        <v>148</v>
      </c>
    </row>
    <row r="13" spans="1:20" x14ac:dyDescent="0.3">
      <c r="B13" s="176" t="s">
        <v>11</v>
      </c>
      <c r="C13" s="81">
        <f>'Investment Plan'!O11</f>
        <v>1140000</v>
      </c>
      <c r="E13" s="134">
        <v>2026</v>
      </c>
      <c r="F13" s="135">
        <v>34</v>
      </c>
      <c r="G13" s="136">
        <f>G12*(1+Income!$D$7)</f>
        <v>1923432</v>
      </c>
      <c r="H13" s="135">
        <v>34</v>
      </c>
      <c r="I13" s="137">
        <f>I12*(1+Income!$D$8)</f>
        <v>1648656</v>
      </c>
      <c r="J13" s="136">
        <f t="shared" si="0"/>
        <v>3572088</v>
      </c>
      <c r="K13" s="136">
        <f>Expenses!$C$14+Expenses!$C$15</f>
        <v>597537.44046042813</v>
      </c>
      <c r="L13" s="136">
        <f t="shared" ref="L13:L37" si="2">$L$11*(1+7%)^(H13-$H$11)</f>
        <v>1990955.2715831443</v>
      </c>
      <c r="M13" s="136">
        <f t="shared" si="1"/>
        <v>2588492.7120435722</v>
      </c>
      <c r="N13" s="138"/>
      <c r="O13" s="138">
        <f>'Financial Goals'!H5</f>
        <v>114490</v>
      </c>
      <c r="P13" s="138">
        <f t="shared" ref="P13:P38" si="3">J13-M13+N13-O13</f>
        <v>869105.28795642778</v>
      </c>
      <c r="Q13" s="138">
        <f t="shared" ref="Q13:Q54" si="4">P13+Q12</f>
        <v>3795753.4815806057</v>
      </c>
      <c r="R13" s="138"/>
      <c r="S13" s="138"/>
      <c r="T13" s="139" t="s">
        <v>141</v>
      </c>
    </row>
    <row r="14" spans="1:20" ht="16.2" thickBot="1" x14ac:dyDescent="0.35">
      <c r="B14" s="179" t="s">
        <v>20</v>
      </c>
      <c r="C14" s="88">
        <f>C12-C13</f>
        <v>100298.55953957187</v>
      </c>
      <c r="E14" s="134">
        <v>2027</v>
      </c>
      <c r="F14" s="135">
        <v>35</v>
      </c>
      <c r="G14" s="136">
        <f>G13*(1+Income!$D$7)</f>
        <v>2058072.2400000002</v>
      </c>
      <c r="H14" s="135">
        <v>35</v>
      </c>
      <c r="I14" s="137">
        <f>I13*(1+Income!$D$8)</f>
        <v>1764061.9200000002</v>
      </c>
      <c r="J14" s="136">
        <f t="shared" si="0"/>
        <v>3822134.16</v>
      </c>
      <c r="K14" s="136">
        <f>Expenses!$C$14+Expenses!$C$15+Expenses!$C$13</f>
        <v>703701.44046042813</v>
      </c>
      <c r="L14" s="136">
        <f t="shared" si="2"/>
        <v>2130322.1405939646</v>
      </c>
      <c r="M14" s="136">
        <f t="shared" si="1"/>
        <v>2834023.5810543927</v>
      </c>
      <c r="N14" s="138"/>
      <c r="O14" s="138">
        <f>'Financial Goals'!H12</f>
        <v>1837564.5000000002</v>
      </c>
      <c r="P14" s="138">
        <f t="shared" si="3"/>
        <v>-849453.92105439282</v>
      </c>
      <c r="Q14" s="138">
        <f t="shared" si="4"/>
        <v>2946299.5605262127</v>
      </c>
      <c r="R14" s="138"/>
      <c r="S14" s="138"/>
      <c r="T14" s="139" t="s">
        <v>187</v>
      </c>
    </row>
    <row r="15" spans="1:20" ht="16.2" thickBot="1" x14ac:dyDescent="0.35">
      <c r="E15" s="134">
        <v>2028</v>
      </c>
      <c r="F15" s="135">
        <v>36</v>
      </c>
      <c r="G15" s="136">
        <f>G14*(1+Income!$D$7)</f>
        <v>2202137.2968000006</v>
      </c>
      <c r="H15" s="135">
        <v>36</v>
      </c>
      <c r="I15" s="137">
        <f>I14*(1+Income!$D$8)</f>
        <v>1887546.2544000002</v>
      </c>
      <c r="J15" s="136">
        <f t="shared" si="0"/>
        <v>4089683.5512000006</v>
      </c>
      <c r="K15" s="136">
        <f>Expenses!$C$14+Expenses!$C$15+Expenses!$C$13</f>
        <v>703701.44046042813</v>
      </c>
      <c r="L15" s="136">
        <f t="shared" si="2"/>
        <v>2279444.6904355418</v>
      </c>
      <c r="M15" s="136">
        <f t="shared" si="1"/>
        <v>2983146.1308959699</v>
      </c>
      <c r="N15" s="138"/>
      <c r="O15" s="138"/>
      <c r="P15" s="138">
        <f t="shared" si="3"/>
        <v>1106537.4203040306</v>
      </c>
      <c r="Q15" s="138">
        <f t="shared" si="4"/>
        <v>4052836.9808302433</v>
      </c>
      <c r="R15" s="138"/>
      <c r="S15" s="138"/>
      <c r="T15" s="139"/>
    </row>
    <row r="16" spans="1:20" ht="16.2" thickBot="1" x14ac:dyDescent="0.35">
      <c r="B16" s="161" t="s">
        <v>31</v>
      </c>
      <c r="C16" s="162" t="s">
        <v>30</v>
      </c>
      <c r="E16" s="134">
        <v>2029</v>
      </c>
      <c r="F16" s="135">
        <v>37</v>
      </c>
      <c r="G16" s="136">
        <f>G15*(1+Income!$D$7)</f>
        <v>2356286.9075760008</v>
      </c>
      <c r="H16" s="135">
        <v>37</v>
      </c>
      <c r="I16" s="137">
        <f>I15*(1+Income!$D$8)</f>
        <v>2019674.4922080003</v>
      </c>
      <c r="J16" s="136">
        <f t="shared" si="0"/>
        <v>4375961.3997840006</v>
      </c>
      <c r="K16" s="136">
        <f>Expenses!$C$14+Expenses!$C$15+Expenses!$C$13</f>
        <v>703701.44046042813</v>
      </c>
      <c r="L16" s="136">
        <f>$L$11*(1+7%)^(H16-$H$11)+250000</f>
        <v>2689005.81876603</v>
      </c>
      <c r="M16" s="136">
        <f t="shared" si="1"/>
        <v>3392707.2592264581</v>
      </c>
      <c r="N16" s="137">
        <f>FV(7%/4,4*5,0,-400000,1)</f>
        <v>565911.27830231993</v>
      </c>
      <c r="O16" s="138">
        <f>'Financial Goals'!H6</f>
        <v>140255.17307000002</v>
      </c>
      <c r="P16" s="138">
        <f t="shared" si="3"/>
        <v>1408910.2457898622</v>
      </c>
      <c r="Q16" s="138">
        <f t="shared" si="4"/>
        <v>5461747.226620106</v>
      </c>
      <c r="R16" s="138"/>
      <c r="S16" s="138"/>
      <c r="T16" s="139" t="s">
        <v>172</v>
      </c>
    </row>
    <row r="17" spans="1:20" x14ac:dyDescent="0.3">
      <c r="B17" s="133" t="s">
        <v>12</v>
      </c>
      <c r="C17" s="119"/>
      <c r="E17" s="134">
        <v>2030</v>
      </c>
      <c r="F17" s="135">
        <v>38</v>
      </c>
      <c r="G17" s="136">
        <f>G16*(1+Income!$D$7)</f>
        <v>2521226.9911063211</v>
      </c>
      <c r="H17" s="135">
        <v>38</v>
      </c>
      <c r="I17" s="137">
        <f>I16*(1+Income!$D$8)</f>
        <v>2161051.7066625603</v>
      </c>
      <c r="J17" s="136">
        <f t="shared" si="0"/>
        <v>4682278.6977688819</v>
      </c>
      <c r="K17" s="136">
        <f>Expenses!$C$14+Expenses!$C$15+Expenses!$C$13</f>
        <v>703701.44046042813</v>
      </c>
      <c r="L17" s="136">
        <f>$L$11*(1+7%)^(H17-$H$11)+250000*(1+7%)^(H17-$H$16)</f>
        <v>2877236.2260796516</v>
      </c>
      <c r="M17" s="136">
        <f t="shared" si="1"/>
        <v>3580937.6665400798</v>
      </c>
      <c r="N17" s="138"/>
      <c r="O17" s="138"/>
      <c r="P17" s="138">
        <f t="shared" si="3"/>
        <v>1101341.0312288022</v>
      </c>
      <c r="Q17" s="138">
        <f t="shared" si="4"/>
        <v>6563088.2578489082</v>
      </c>
      <c r="R17" s="138"/>
      <c r="S17" s="138"/>
      <c r="T17" s="139"/>
    </row>
    <row r="18" spans="1:20" x14ac:dyDescent="0.3">
      <c r="B18" s="24" t="s">
        <v>13</v>
      </c>
      <c r="C18" s="140">
        <v>25000000</v>
      </c>
      <c r="E18" s="134">
        <v>2031</v>
      </c>
      <c r="F18" s="135">
        <v>39</v>
      </c>
      <c r="G18" s="136">
        <f>G17*(1+Income!$D$7)</f>
        <v>2697712.8804837638</v>
      </c>
      <c r="H18" s="135">
        <v>39</v>
      </c>
      <c r="I18" s="137">
        <f>I17*(1+Income!$D$8)</f>
        <v>2312325.3261289396</v>
      </c>
      <c r="J18" s="136">
        <f t="shared" si="0"/>
        <v>5010038.2066127034</v>
      </c>
      <c r="K18" s="136">
        <f>Expenses!$C$14+Expenses!$C$15+Expenses!$C$13</f>
        <v>703701.44046042813</v>
      </c>
      <c r="L18" s="136">
        <f t="shared" ref="L18:L19" si="5">$L$11*(1+7%)^(H18-$H$11)+250000*(1+7%)^(H18-$H$16)</f>
        <v>3078642.7619052278</v>
      </c>
      <c r="M18" s="136">
        <f t="shared" si="1"/>
        <v>3782344.2023656559</v>
      </c>
      <c r="N18" s="138">
        <f>'Investment Plan'!R7</f>
        <v>35938510.709253162</v>
      </c>
      <c r="O18" s="138">
        <f>'Financial Goals'!H7</f>
        <v>35327192.48252546</v>
      </c>
      <c r="P18" s="138">
        <f t="shared" si="3"/>
        <v>1839012.2309747487</v>
      </c>
      <c r="Q18" s="138">
        <f t="shared" si="4"/>
        <v>8402100.488823656</v>
      </c>
      <c r="R18" s="138"/>
      <c r="S18" s="138"/>
      <c r="T18" s="139" t="s">
        <v>202</v>
      </c>
    </row>
    <row r="19" spans="1:20" x14ac:dyDescent="0.3">
      <c r="B19" s="24" t="s">
        <v>14</v>
      </c>
      <c r="C19" s="140">
        <v>2000000</v>
      </c>
      <c r="E19" s="134">
        <v>2032</v>
      </c>
      <c r="F19" s="135">
        <v>40</v>
      </c>
      <c r="G19" s="136">
        <f>G18*(1+Income!$D$7)</f>
        <v>2886552.7821176276</v>
      </c>
      <c r="H19" s="135">
        <v>40</v>
      </c>
      <c r="I19" s="137">
        <f>I18*(1+Income!$D$8)</f>
        <v>2474188.0989579656</v>
      </c>
      <c r="J19" s="136">
        <f t="shared" si="0"/>
        <v>5360740.8810755927</v>
      </c>
      <c r="K19" s="136">
        <f>Expenses!$C$14+Expenses!$C$15+Expenses!$C$13</f>
        <v>703701.44046042813</v>
      </c>
      <c r="L19" s="136">
        <f t="shared" si="5"/>
        <v>3294147.7552385936</v>
      </c>
      <c r="M19" s="136">
        <f t="shared" si="1"/>
        <v>3997849.1956990217</v>
      </c>
      <c r="N19" s="138"/>
      <c r="O19" s="138"/>
      <c r="P19" s="138">
        <f t="shared" si="3"/>
        <v>1362891.685376571</v>
      </c>
      <c r="Q19" s="138">
        <f t="shared" si="4"/>
        <v>9764992.1742002275</v>
      </c>
      <c r="R19" s="138"/>
      <c r="S19" s="138"/>
      <c r="T19" s="139"/>
    </row>
    <row r="20" spans="1:20" x14ac:dyDescent="0.3">
      <c r="B20" s="141" t="s">
        <v>136</v>
      </c>
      <c r="C20" s="29">
        <v>4000000</v>
      </c>
      <c r="E20" s="134">
        <v>2033</v>
      </c>
      <c r="F20" s="135">
        <v>41</v>
      </c>
      <c r="G20" s="136">
        <f>G19*(1+Income!$D$7)</f>
        <v>3088611.4768658616</v>
      </c>
      <c r="H20" s="135">
        <v>41</v>
      </c>
      <c r="I20" s="137">
        <f>I19*(1+Income!$D$8)</f>
        <v>2647381.2658850234</v>
      </c>
      <c r="J20" s="136">
        <f t="shared" si="0"/>
        <v>5735992.742750885</v>
      </c>
      <c r="K20" s="136">
        <f>Expenses!$C$14+Expenses!$C$15+Expenses!$C$13</f>
        <v>703701.44046042813</v>
      </c>
      <c r="L20" s="136">
        <f>$L$11*(1+7%)^(H20-$H$11)+250000*(1+7%)^(H20-$H$16)+250000</f>
        <v>3774738.0981052956</v>
      </c>
      <c r="M20" s="136">
        <f t="shared" si="1"/>
        <v>4478439.5385657232</v>
      </c>
      <c r="N20" s="138"/>
      <c r="O20" s="138"/>
      <c r="P20" s="138">
        <f t="shared" si="3"/>
        <v>1257553.2041851617</v>
      </c>
      <c r="Q20" s="138">
        <f t="shared" si="4"/>
        <v>11022545.378385389</v>
      </c>
      <c r="R20" s="138"/>
      <c r="S20" s="138"/>
      <c r="T20" s="139" t="s">
        <v>142</v>
      </c>
    </row>
    <row r="21" spans="1:20" x14ac:dyDescent="0.3">
      <c r="B21" s="24" t="s">
        <v>15</v>
      </c>
      <c r="C21" s="140">
        <v>550000</v>
      </c>
      <c r="E21" s="134">
        <v>2034</v>
      </c>
      <c r="F21" s="135">
        <v>42</v>
      </c>
      <c r="G21" s="136">
        <f>G20*(1+Income!$D$7)</f>
        <v>3304814.280246472</v>
      </c>
      <c r="H21" s="135">
        <v>42</v>
      </c>
      <c r="I21" s="137">
        <f>I20*(1+Income!$D$8)</f>
        <v>2832697.9544969751</v>
      </c>
      <c r="J21" s="136">
        <f t="shared" si="0"/>
        <v>6137512.234743447</v>
      </c>
      <c r="K21" s="136">
        <f>Expenses!$C$14+Expenses!$C$15+Expenses!$C$13</f>
        <v>703701.44046042813</v>
      </c>
      <c r="L21" s="136">
        <f>$L$11*(1+7%)^(H21-$H$11)+250000*(1+7%)^(H21-$H$16)+250000*(1+7%)^(H21-$H$20)</f>
        <v>4038969.7649726663</v>
      </c>
      <c r="M21" s="136">
        <f t="shared" si="1"/>
        <v>4742671.2054330949</v>
      </c>
      <c r="N21" s="138"/>
      <c r="O21" s="138"/>
      <c r="P21" s="138">
        <f t="shared" si="3"/>
        <v>1394841.0293103522</v>
      </c>
      <c r="Q21" s="138">
        <f t="shared" si="4"/>
        <v>12417386.40769574</v>
      </c>
      <c r="R21" s="138"/>
      <c r="S21" s="138"/>
      <c r="T21" s="143"/>
    </row>
    <row r="22" spans="1:20" ht="15" customHeight="1" x14ac:dyDescent="0.3">
      <c r="B22" s="24" t="s">
        <v>16</v>
      </c>
      <c r="C22" s="140">
        <f>'Investment Plan'!H10</f>
        <v>1728667.4900042992</v>
      </c>
      <c r="E22" s="134">
        <v>2035</v>
      </c>
      <c r="F22" s="135">
        <v>43</v>
      </c>
      <c r="G22" s="136">
        <f>G21*(1+Income!$D$7)</f>
        <v>3536151.2798637254</v>
      </c>
      <c r="H22" s="135">
        <v>43</v>
      </c>
      <c r="I22" s="137">
        <f>I21*(1+Income!$D$8)</f>
        <v>3030986.8113117637</v>
      </c>
      <c r="J22" s="136">
        <f t="shared" si="0"/>
        <v>6567138.0911754891</v>
      </c>
      <c r="K22" s="136">
        <f>Expenses!$C$14+Expenses!$C$15+Expenses!$C$13</f>
        <v>703701.44046042813</v>
      </c>
      <c r="L22" s="136">
        <f t="shared" ref="L22:L34" si="6">$L$11*(1+7%)^(H22-$H$11)+250000*(1+7%)^(H22-$H$16)+250000*(1+7%)^(H22-$H$20)</f>
        <v>4321697.6485207528</v>
      </c>
      <c r="M22" s="136">
        <f t="shared" si="1"/>
        <v>5025399.0889811814</v>
      </c>
      <c r="N22" s="138"/>
      <c r="O22" s="138"/>
      <c r="P22" s="138">
        <f t="shared" si="3"/>
        <v>1541739.0021943077</v>
      </c>
      <c r="Q22" s="138">
        <f t="shared" si="4"/>
        <v>13959125.409890048</v>
      </c>
      <c r="R22" s="138"/>
      <c r="S22" s="138"/>
      <c r="T22" s="143"/>
    </row>
    <row r="23" spans="1:20" x14ac:dyDescent="0.3">
      <c r="B23" s="24" t="s">
        <v>100</v>
      </c>
      <c r="C23" s="140">
        <f>SUM('Investment Plan'!H8:H9,'Investment Plan'!H13)</f>
        <v>6270805.6562908152</v>
      </c>
      <c r="E23" s="134">
        <v>2036</v>
      </c>
      <c r="F23" s="135">
        <v>44</v>
      </c>
      <c r="G23" s="136">
        <f>G22*(1+Income!$D$7)</f>
        <v>3783681.8694541864</v>
      </c>
      <c r="H23" s="135">
        <v>44</v>
      </c>
      <c r="I23" s="137">
        <f>I22*(1+Income!$D$8)</f>
        <v>3243155.8881035876</v>
      </c>
      <c r="J23" s="136">
        <f t="shared" si="0"/>
        <v>7026837.757557774</v>
      </c>
      <c r="K23" s="136">
        <f>Expenses!$C$14+Expenses!$C$15+Expenses!$C$13</f>
        <v>703701.44046042813</v>
      </c>
      <c r="L23" s="136">
        <f t="shared" si="6"/>
        <v>4624216.4839172047</v>
      </c>
      <c r="M23" s="136">
        <f t="shared" si="1"/>
        <v>5327917.9243776333</v>
      </c>
      <c r="N23" s="138"/>
      <c r="O23" s="138"/>
      <c r="P23" s="138">
        <f t="shared" si="3"/>
        <v>1698919.8331801407</v>
      </c>
      <c r="Q23" s="138">
        <f t="shared" si="4"/>
        <v>15658045.243070189</v>
      </c>
      <c r="R23" s="138"/>
      <c r="S23" s="138"/>
      <c r="T23" s="139"/>
    </row>
    <row r="24" spans="1:20" x14ac:dyDescent="0.3">
      <c r="B24" s="24" t="s">
        <v>17</v>
      </c>
      <c r="C24" s="81">
        <f>'Investment Plan'!G30</f>
        <v>2246491.495377264</v>
      </c>
      <c r="E24" s="134">
        <v>2037</v>
      </c>
      <c r="F24" s="135">
        <v>45</v>
      </c>
      <c r="G24" s="136">
        <f>G23*(1+Income!$D$7)</f>
        <v>4048539.6003159797</v>
      </c>
      <c r="H24" s="135">
        <v>45</v>
      </c>
      <c r="I24" s="137">
        <f>I23*(1+Income!$D$8)</f>
        <v>3470176.8002708387</v>
      </c>
      <c r="J24" s="136">
        <f t="shared" si="0"/>
        <v>7518716.4005868183</v>
      </c>
      <c r="K24" s="136">
        <f>Expenses!$C$14+Expenses!$C$15+Expenses!$C$13</f>
        <v>703701.44046042813</v>
      </c>
      <c r="L24" s="136">
        <f t="shared" si="6"/>
        <v>4947911.6377914101</v>
      </c>
      <c r="M24" s="136">
        <f t="shared" si="1"/>
        <v>5651613.0782518387</v>
      </c>
      <c r="N24" s="138"/>
      <c r="O24" s="138"/>
      <c r="P24" s="138">
        <f t="shared" si="3"/>
        <v>1867103.3223349797</v>
      </c>
      <c r="Q24" s="138">
        <f t="shared" si="4"/>
        <v>17525148.565405168</v>
      </c>
      <c r="R24" s="138"/>
      <c r="S24" s="138"/>
      <c r="T24" s="139"/>
    </row>
    <row r="25" spans="1:20" x14ac:dyDescent="0.3">
      <c r="B25" s="74" t="s">
        <v>28</v>
      </c>
      <c r="C25" s="142">
        <f>SUM(C18:C24)</f>
        <v>41795964.64167238</v>
      </c>
      <c r="E25" s="134">
        <v>2038</v>
      </c>
      <c r="F25" s="135">
        <v>46</v>
      </c>
      <c r="G25" s="136">
        <f>G24*(1+Income!$D$7)</f>
        <v>4331937.3723380985</v>
      </c>
      <c r="H25" s="135">
        <v>46</v>
      </c>
      <c r="I25" s="137">
        <f>I24*(1+Income!$D$8)</f>
        <v>3713089.1762897978</v>
      </c>
      <c r="J25" s="136">
        <f t="shared" si="0"/>
        <v>8045026.5486278962</v>
      </c>
      <c r="K25" s="136">
        <f>Expenses!$C$14+Expenses!$C$15+Expenses!$C$13</f>
        <v>703701.44046042813</v>
      </c>
      <c r="L25" s="136">
        <f t="shared" si="6"/>
        <v>5294265.4524368085</v>
      </c>
      <c r="M25" s="136">
        <f t="shared" si="1"/>
        <v>5997966.8928972371</v>
      </c>
      <c r="N25" s="138"/>
      <c r="O25" s="138">
        <f>'Financial Goals'!H13</f>
        <v>4641361.4703622442</v>
      </c>
      <c r="P25" s="138">
        <f t="shared" si="3"/>
        <v>-2594301.814631585</v>
      </c>
      <c r="Q25" s="138">
        <f t="shared" si="4"/>
        <v>14930846.750773583</v>
      </c>
      <c r="R25" s="138"/>
      <c r="S25" s="138"/>
      <c r="T25" s="139" t="s">
        <v>121</v>
      </c>
    </row>
    <row r="26" spans="1:20" x14ac:dyDescent="0.3">
      <c r="B26" s="24"/>
      <c r="C26" s="121"/>
      <c r="E26" s="134">
        <v>2039</v>
      </c>
      <c r="F26" s="135">
        <v>47</v>
      </c>
      <c r="G26" s="136">
        <f>G25*(1+Income!$D$7)</f>
        <v>4635172.9884017659</v>
      </c>
      <c r="H26" s="135">
        <v>47</v>
      </c>
      <c r="I26" s="137">
        <f>I25*(1+Income!$D$8)</f>
        <v>3973005.418630084</v>
      </c>
      <c r="J26" s="136">
        <f t="shared" si="0"/>
        <v>8608178.407031849</v>
      </c>
      <c r="K26" s="136">
        <f>Expenses!$C$14+Expenses!$C$15+Expenses!$C$13</f>
        <v>703701.44046042813</v>
      </c>
      <c r="L26" s="136">
        <f t="shared" si="6"/>
        <v>5664864.0341073852</v>
      </c>
      <c r="M26" s="136">
        <f t="shared" si="1"/>
        <v>6368565.4745678138</v>
      </c>
      <c r="N26" s="138"/>
      <c r="O26" s="138"/>
      <c r="P26" s="138">
        <f t="shared" si="3"/>
        <v>2239612.9324640352</v>
      </c>
      <c r="Q26" s="138">
        <f t="shared" si="4"/>
        <v>17170459.68323762</v>
      </c>
      <c r="R26" s="138"/>
      <c r="S26" s="138"/>
      <c r="T26" s="139"/>
    </row>
    <row r="27" spans="1:20" x14ac:dyDescent="0.3">
      <c r="B27" s="74" t="s">
        <v>18</v>
      </c>
      <c r="C27" s="90"/>
      <c r="E27" s="134">
        <v>2040</v>
      </c>
      <c r="F27" s="135">
        <v>48</v>
      </c>
      <c r="G27" s="136">
        <f>G26*(1+Income!$D$7)</f>
        <v>4959635.0975898895</v>
      </c>
      <c r="H27" s="135">
        <v>48</v>
      </c>
      <c r="I27" s="137">
        <f>I26*(1+Income!$D$8)</f>
        <v>4251115.7979341904</v>
      </c>
      <c r="J27" s="136">
        <f t="shared" si="0"/>
        <v>9210750.8955240808</v>
      </c>
      <c r="K27" s="136">
        <f>Expenses!$C$14+Expenses!$C$15+Expenses!$C$13</f>
        <v>703701.44046042813</v>
      </c>
      <c r="L27" s="136">
        <f t="shared" si="6"/>
        <v>6061404.5164949028</v>
      </c>
      <c r="M27" s="136">
        <f t="shared" si="1"/>
        <v>6765105.9569553304</v>
      </c>
      <c r="N27" s="138"/>
      <c r="O27" s="138"/>
      <c r="P27" s="138">
        <f t="shared" si="3"/>
        <v>2445644.9385687504</v>
      </c>
      <c r="Q27" s="138">
        <f t="shared" si="4"/>
        <v>19616104.621806368</v>
      </c>
      <c r="R27" s="138"/>
      <c r="S27" s="138"/>
      <c r="T27" s="139"/>
    </row>
    <row r="28" spans="1:20" x14ac:dyDescent="0.3">
      <c r="B28" s="24" t="s">
        <v>113</v>
      </c>
      <c r="C28" s="81">
        <v>1800000</v>
      </c>
      <c r="E28" s="134">
        <v>2041</v>
      </c>
      <c r="F28" s="135">
        <v>49</v>
      </c>
      <c r="G28" s="136">
        <f>G27*(1+Income!$D$7)</f>
        <v>5306809.5544211818</v>
      </c>
      <c r="H28" s="135">
        <v>49</v>
      </c>
      <c r="I28" s="137">
        <f>I27*(1+Income!$D$8)</f>
        <v>4548693.9037895836</v>
      </c>
      <c r="J28" s="136">
        <f t="shared" si="0"/>
        <v>9855503.4582107663</v>
      </c>
      <c r="K28" s="136">
        <f>Expenses!$C$14+Expenses!$C$15+Expenses!$C$13</f>
        <v>703701.44046042813</v>
      </c>
      <c r="L28" s="136">
        <f t="shared" si="6"/>
        <v>6485702.8326495439</v>
      </c>
      <c r="M28" s="136">
        <f t="shared" si="1"/>
        <v>7189404.2731099725</v>
      </c>
      <c r="N28" s="138"/>
      <c r="O28" s="138"/>
      <c r="P28" s="138">
        <f t="shared" si="3"/>
        <v>2666099.1851007938</v>
      </c>
      <c r="Q28" s="138">
        <f t="shared" si="4"/>
        <v>22282203.806907162</v>
      </c>
      <c r="R28" s="138"/>
      <c r="S28" s="138"/>
      <c r="T28" s="139"/>
    </row>
    <row r="29" spans="1:20" x14ac:dyDescent="0.3">
      <c r="B29" s="24"/>
      <c r="C29" s="90"/>
      <c r="E29" s="134">
        <v>2042</v>
      </c>
      <c r="F29" s="135">
        <v>50</v>
      </c>
      <c r="G29" s="136">
        <f>G28*(1+Income!$D$7)</f>
        <v>5678286.2232306646</v>
      </c>
      <c r="H29" s="135">
        <v>50</v>
      </c>
      <c r="I29" s="137">
        <f>I28*(1+Income!$D$8)</f>
        <v>4867102.4770548549</v>
      </c>
      <c r="J29" s="136">
        <f t="shared" si="0"/>
        <v>10545388.70028552</v>
      </c>
      <c r="K29" s="136">
        <f>Expenses!$C$14+Expenses!$C$15+Expenses!$C$13</f>
        <v>703701.44046042813</v>
      </c>
      <c r="L29" s="136">
        <f t="shared" si="6"/>
        <v>6939702.0309350137</v>
      </c>
      <c r="M29" s="136">
        <f t="shared" si="1"/>
        <v>7643403.4713954423</v>
      </c>
      <c r="N29" s="138"/>
      <c r="O29" s="138">
        <f>'Financial Goals'!H14</f>
        <v>8449830.6893313378</v>
      </c>
      <c r="P29" s="138">
        <f t="shared" si="3"/>
        <v>-5547845.4604412597</v>
      </c>
      <c r="Q29" s="138">
        <f t="shared" si="4"/>
        <v>16734358.346465902</v>
      </c>
      <c r="R29" s="138"/>
      <c r="S29" s="138"/>
      <c r="T29" s="139" t="s">
        <v>122</v>
      </c>
    </row>
    <row r="30" spans="1:20" x14ac:dyDescent="0.3">
      <c r="B30" s="74" t="s">
        <v>29</v>
      </c>
      <c r="C30" s="142">
        <f>C28</f>
        <v>1800000</v>
      </c>
      <c r="E30" s="134">
        <v>2043</v>
      </c>
      <c r="F30" s="135">
        <v>51</v>
      </c>
      <c r="G30" s="136">
        <f>G29*(1+Income!$D$7)</f>
        <v>6075766.2588568116</v>
      </c>
      <c r="H30" s="135">
        <v>51</v>
      </c>
      <c r="I30" s="137">
        <f>I29*(1+Income!$D$8)</f>
        <v>5207799.6504486948</v>
      </c>
      <c r="J30" s="136">
        <f t="shared" si="0"/>
        <v>11283565.909305505</v>
      </c>
      <c r="K30" s="136">
        <f>Expenses!$C$14+Expenses!$C$15+Expenses!$C$13</f>
        <v>703701.44046042813</v>
      </c>
      <c r="L30" s="136">
        <f>$L$11*(1+7%)^(H30-$H$11)+250000*(1+7%)^(H30-$H$20)</f>
        <v>6780847.6355501525</v>
      </c>
      <c r="M30" s="136">
        <f t="shared" si="1"/>
        <v>7484549.0760105811</v>
      </c>
      <c r="N30" s="138"/>
      <c r="O30" s="138"/>
      <c r="P30" s="138">
        <f t="shared" si="3"/>
        <v>3799016.8332949243</v>
      </c>
      <c r="Q30" s="138">
        <f t="shared" si="4"/>
        <v>20533375.179760829</v>
      </c>
      <c r="R30" s="138"/>
      <c r="S30" s="138"/>
      <c r="T30" s="139"/>
    </row>
    <row r="31" spans="1:20" x14ac:dyDescent="0.3">
      <c r="B31" s="24"/>
      <c r="C31" s="90"/>
      <c r="E31" s="134">
        <v>2044</v>
      </c>
      <c r="F31" s="135">
        <v>52</v>
      </c>
      <c r="G31" s="136">
        <f>G30*(1+Income!$D$7)</f>
        <v>6501069.8969767885</v>
      </c>
      <c r="H31" s="135">
        <v>52</v>
      </c>
      <c r="I31" s="137">
        <f>I30*(1+Income!$D$8)</f>
        <v>5572345.6259801034</v>
      </c>
      <c r="J31" s="136">
        <f t="shared" si="0"/>
        <v>12073415.522956893</v>
      </c>
      <c r="K31" s="136">
        <f>Expenses!$C$14+Expenses!$C$15+Expenses!$C$13</f>
        <v>703701.44046042813</v>
      </c>
      <c r="L31" s="136">
        <f t="shared" ref="L31:L32" si="7">$L$11*(1+7%)^(H31-$H$11)+250000*(1+7%)^(H31-$H$20)</f>
        <v>7255506.9700386636</v>
      </c>
      <c r="M31" s="136">
        <f t="shared" si="1"/>
        <v>7959208.4104990922</v>
      </c>
      <c r="N31" s="138"/>
      <c r="O31" s="138"/>
      <c r="P31" s="138">
        <f>J31-M31+N31-O31</f>
        <v>4114207.1124578007</v>
      </c>
      <c r="Q31" s="138">
        <f t="shared" si="4"/>
        <v>24647582.292218629</v>
      </c>
      <c r="R31" s="138"/>
      <c r="S31" s="138"/>
      <c r="T31" s="90"/>
    </row>
    <row r="32" spans="1:20" ht="16.2" thickBot="1" x14ac:dyDescent="0.35">
      <c r="A32" s="4"/>
      <c r="B32" s="75" t="s">
        <v>19</v>
      </c>
      <c r="C32" s="144">
        <f>C25-C30</f>
        <v>39995964.64167238</v>
      </c>
      <c r="E32" s="134">
        <v>2045</v>
      </c>
      <c r="F32" s="135">
        <v>53</v>
      </c>
      <c r="G32" s="136">
        <f>G31*(1+Income!$D$7)</f>
        <v>6956144.7897651643</v>
      </c>
      <c r="H32" s="135">
        <v>53</v>
      </c>
      <c r="I32" s="137">
        <f>I31*(1+Income!$D$8)</f>
        <v>5962409.8197987108</v>
      </c>
      <c r="J32" s="136">
        <f t="shared" si="0"/>
        <v>12918554.609563876</v>
      </c>
      <c r="K32" s="136">
        <f>Expenses!$C$14</f>
        <v>140724</v>
      </c>
      <c r="L32" s="136">
        <f t="shared" si="7"/>
        <v>7763392.4579413692</v>
      </c>
      <c r="M32" s="136">
        <f t="shared" si="1"/>
        <v>7904116.4579413692</v>
      </c>
      <c r="N32" s="138"/>
      <c r="O32" s="138"/>
      <c r="P32" s="138">
        <f t="shared" si="3"/>
        <v>5014438.1516225068</v>
      </c>
      <c r="Q32" s="138">
        <f t="shared" si="4"/>
        <v>29662020.443841137</v>
      </c>
      <c r="R32" s="138"/>
      <c r="S32" s="138"/>
      <c r="T32" s="139"/>
    </row>
    <row r="33" spans="1:20" x14ac:dyDescent="0.3">
      <c r="A33" s="145"/>
      <c r="E33" s="134">
        <v>2046</v>
      </c>
      <c r="F33" s="135">
        <v>54</v>
      </c>
      <c r="G33" s="136">
        <f>G32*(1+Income!$D$7)</f>
        <v>7443074.9250487266</v>
      </c>
      <c r="H33" s="135">
        <v>54</v>
      </c>
      <c r="I33" s="137">
        <f>I32*(1+Income!$D$8)</f>
        <v>6379778.5071846209</v>
      </c>
      <c r="J33" s="136">
        <f t="shared" si="0"/>
        <v>13822853.432233348</v>
      </c>
      <c r="K33" s="136">
        <f>Expenses!$C$14</f>
        <v>140724</v>
      </c>
      <c r="L33" s="136">
        <f>$L$11*(1+7%)^(H33-$H$11)+250000*(1+7%)^(H33-$H$20)</f>
        <v>8306829.9299972653</v>
      </c>
      <c r="M33" s="136">
        <f t="shared" si="1"/>
        <v>8447553.9299972653</v>
      </c>
      <c r="N33" s="138"/>
      <c r="O33" s="138"/>
      <c r="P33" s="138">
        <f t="shared" si="3"/>
        <v>5375299.5022360831</v>
      </c>
      <c r="Q33" s="138">
        <f t="shared" si="4"/>
        <v>35037319.94607722</v>
      </c>
      <c r="R33" s="138"/>
      <c r="S33" s="138"/>
      <c r="T33" s="139"/>
    </row>
    <row r="34" spans="1:20" x14ac:dyDescent="0.3">
      <c r="E34" s="134">
        <v>2047</v>
      </c>
      <c r="F34" s="135">
        <v>55</v>
      </c>
      <c r="G34" s="136">
        <f>G33*(1+Income!$D$7)</f>
        <v>7964090.1698021377</v>
      </c>
      <c r="H34" s="135">
        <v>55</v>
      </c>
      <c r="I34" s="137">
        <f>I33*(1+Income!$D$8)</f>
        <v>6826363.0026875446</v>
      </c>
      <c r="J34" s="136">
        <f t="shared" si="0"/>
        <v>14790453.172489682</v>
      </c>
      <c r="K34" s="136">
        <f>Expenses!$C$14</f>
        <v>140724</v>
      </c>
      <c r="L34" s="136">
        <f t="shared" si="6"/>
        <v>9733291.094030207</v>
      </c>
      <c r="M34" s="136">
        <f t="shared" si="1"/>
        <v>9874015.094030207</v>
      </c>
      <c r="N34" s="138"/>
      <c r="O34" s="138"/>
      <c r="P34" s="138">
        <f>J34-M34+N34-O34</f>
        <v>4916438.0784594752</v>
      </c>
      <c r="Q34" s="138">
        <f t="shared" si="4"/>
        <v>39953758.024536699</v>
      </c>
      <c r="R34" s="138"/>
      <c r="S34" s="138"/>
      <c r="T34" s="139"/>
    </row>
    <row r="35" spans="1:20" x14ac:dyDescent="0.3">
      <c r="E35" s="134">
        <v>2048</v>
      </c>
      <c r="F35" s="135">
        <v>56</v>
      </c>
      <c r="G35" s="136">
        <f>G34*(1+Income!$D$7)</f>
        <v>8521576.4816882871</v>
      </c>
      <c r="H35" s="135">
        <v>56</v>
      </c>
      <c r="I35" s="137">
        <f>I34*(1+Income!$D$8)</f>
        <v>7304208.4128756728</v>
      </c>
      <c r="J35" s="136">
        <f t="shared" si="0"/>
        <v>15825784.89456396</v>
      </c>
      <c r="K35" s="136">
        <f>Expenses!$C$14</f>
        <v>140724</v>
      </c>
      <c r="L35" s="136">
        <f t="shared" si="2"/>
        <v>8820731.7016750369</v>
      </c>
      <c r="M35" s="136">
        <f t="shared" si="1"/>
        <v>8961455.7016750369</v>
      </c>
      <c r="N35" s="138"/>
      <c r="O35" s="138">
        <f>'Financial Goals'!H8</f>
        <v>14202627.469480462</v>
      </c>
      <c r="P35" s="138">
        <f t="shared" si="3"/>
        <v>-7338298.2765915394</v>
      </c>
      <c r="Q35" s="138">
        <f t="shared" si="4"/>
        <v>32615459.74794516</v>
      </c>
      <c r="R35" s="138"/>
      <c r="S35" s="138"/>
      <c r="T35" s="139" t="s">
        <v>72</v>
      </c>
    </row>
    <row r="36" spans="1:20" x14ac:dyDescent="0.3">
      <c r="B36" s="4"/>
      <c r="C36" s="4"/>
      <c r="E36" s="134">
        <v>2049</v>
      </c>
      <c r="F36" s="135">
        <v>57</v>
      </c>
      <c r="G36" s="136">
        <f>G35*(1+Income!$D$7)</f>
        <v>9118086.8354064673</v>
      </c>
      <c r="H36" s="135">
        <v>57</v>
      </c>
      <c r="I36" s="137">
        <f>I35*(1+Income!$D$8)</f>
        <v>7815503.00177697</v>
      </c>
      <c r="J36" s="136">
        <f t="shared" si="0"/>
        <v>16933589.837183438</v>
      </c>
      <c r="K36" s="136">
        <f>Expenses!$C$14</f>
        <v>140724</v>
      </c>
      <c r="L36" s="136">
        <f t="shared" si="2"/>
        <v>9438182.9207922891</v>
      </c>
      <c r="M36" s="136">
        <f t="shared" si="1"/>
        <v>9578906.9207922891</v>
      </c>
      <c r="N36" s="138"/>
      <c r="O36" s="138"/>
      <c r="P36" s="138">
        <f t="shared" si="3"/>
        <v>7354682.9163911492</v>
      </c>
      <c r="Q36" s="138">
        <f t="shared" si="4"/>
        <v>39970142.664336309</v>
      </c>
      <c r="R36" s="138"/>
      <c r="S36" s="138"/>
      <c r="T36" s="139"/>
    </row>
    <row r="37" spans="1:20" ht="16.2" thickBot="1" x14ac:dyDescent="0.35">
      <c r="B37" s="145"/>
      <c r="C37" s="145"/>
      <c r="E37" s="146">
        <v>2050</v>
      </c>
      <c r="F37" s="147">
        <v>58</v>
      </c>
      <c r="G37" s="148">
        <f>G36*(1+Income!$D$7)</f>
        <v>9756352.913884921</v>
      </c>
      <c r="H37" s="147">
        <v>58</v>
      </c>
      <c r="I37" s="137">
        <f>I36*(1+Income!$D$8)</f>
        <v>8362588.2119013583</v>
      </c>
      <c r="J37" s="148">
        <f t="shared" si="0"/>
        <v>18118941.125786278</v>
      </c>
      <c r="K37" s="148">
        <f>Expenses!$C$14</f>
        <v>140724</v>
      </c>
      <c r="L37" s="148">
        <f t="shared" si="2"/>
        <v>10098855.725247748</v>
      </c>
      <c r="M37" s="148">
        <f t="shared" si="1"/>
        <v>10239579.725247748</v>
      </c>
      <c r="N37" s="149">
        <f>'Investment Plan'!R10+'Investment Plan'!R8</f>
        <v>219979341.42022225</v>
      </c>
      <c r="O37" s="149"/>
      <c r="P37" s="149">
        <f>J37-M37+N37-O37</f>
        <v>227858702.82076079</v>
      </c>
      <c r="Q37" s="149">
        <f t="shared" si="4"/>
        <v>267828845.48509711</v>
      </c>
      <c r="R37" s="149"/>
      <c r="S37" s="149"/>
      <c r="T37" s="150" t="s">
        <v>154</v>
      </c>
    </row>
    <row r="38" spans="1:20" x14ac:dyDescent="0.3">
      <c r="C38" s="78"/>
      <c r="E38" s="127">
        <v>2051</v>
      </c>
      <c r="F38" s="128">
        <v>59</v>
      </c>
      <c r="G38" s="129"/>
      <c r="H38" s="128">
        <v>59</v>
      </c>
      <c r="I38" s="131"/>
      <c r="J38" s="129"/>
      <c r="K38" s="129"/>
      <c r="L38" s="129">
        <f>70%*$L$11*(1+7%)^(H38-$H$11)</f>
        <v>7564042.9382105647</v>
      </c>
      <c r="M38" s="129">
        <f t="shared" si="1"/>
        <v>7564042.9382105647</v>
      </c>
      <c r="N38" s="130"/>
      <c r="O38" s="130">
        <f>'Financial Goals'!H9+'Financial Goals'!H10</f>
        <v>211271499.40900776</v>
      </c>
      <c r="P38" s="130">
        <f t="shared" si="3"/>
        <v>-218835542.34721833</v>
      </c>
      <c r="Q38" s="130">
        <f t="shared" si="4"/>
        <v>48993303.137878776</v>
      </c>
      <c r="R38" s="130"/>
      <c r="S38" s="130"/>
      <c r="T38" s="132" t="s">
        <v>199</v>
      </c>
    </row>
    <row r="39" spans="1:20" x14ac:dyDescent="0.3">
      <c r="C39" s="77"/>
      <c r="E39" s="134">
        <v>2052</v>
      </c>
      <c r="F39" s="135">
        <v>60</v>
      </c>
      <c r="G39" s="136"/>
      <c r="H39" s="135">
        <v>60</v>
      </c>
      <c r="I39" s="137"/>
      <c r="J39" s="136"/>
      <c r="K39" s="136"/>
      <c r="L39" s="136">
        <f t="shared" ref="L39:L59" si="8">70%*$L$11*(1+7%)^(H39-$H$11)</f>
        <v>8093525.9438853031</v>
      </c>
      <c r="M39" s="136">
        <f t="shared" si="1"/>
        <v>8093525.9438853031</v>
      </c>
      <c r="N39" s="138"/>
      <c r="O39" s="138"/>
      <c r="P39" s="138">
        <f>J39-M39+N39-O39</f>
        <v>-8093525.9438853031</v>
      </c>
      <c r="Q39" s="138">
        <f t="shared" si="4"/>
        <v>40899777.193993472</v>
      </c>
      <c r="R39" s="138"/>
      <c r="S39" s="138"/>
      <c r="T39" s="90"/>
    </row>
    <row r="40" spans="1:20" x14ac:dyDescent="0.3">
      <c r="C40" s="77"/>
      <c r="E40" s="134">
        <v>2053</v>
      </c>
      <c r="F40" s="135">
        <v>61</v>
      </c>
      <c r="G40" s="136"/>
      <c r="H40" s="135">
        <v>61</v>
      </c>
      <c r="I40" s="137"/>
      <c r="J40" s="136">
        <v>0</v>
      </c>
      <c r="K40" s="136"/>
      <c r="L40" s="136">
        <f t="shared" si="8"/>
        <v>8660072.7599572744</v>
      </c>
      <c r="M40" s="136">
        <f t="shared" si="1"/>
        <v>8660072.7599572744</v>
      </c>
      <c r="N40" s="151"/>
      <c r="O40" s="138"/>
      <c r="P40" s="138">
        <f>J40-M40+N40-O40</f>
        <v>-8660072.7599572744</v>
      </c>
      <c r="Q40" s="138">
        <f t="shared" si="4"/>
        <v>32239704.434036195</v>
      </c>
      <c r="R40" s="138"/>
      <c r="S40" s="138"/>
      <c r="T40" s="139"/>
    </row>
    <row r="41" spans="1:20" x14ac:dyDescent="0.3">
      <c r="C41" s="77"/>
      <c r="E41" s="134">
        <v>2054</v>
      </c>
      <c r="F41" s="135">
        <v>62</v>
      </c>
      <c r="G41" s="136"/>
      <c r="H41" s="135">
        <v>62</v>
      </c>
      <c r="I41" s="137"/>
      <c r="J41" s="136">
        <v>0</v>
      </c>
      <c r="K41" s="136"/>
      <c r="L41" s="136">
        <f t="shared" si="8"/>
        <v>9266277.853154283</v>
      </c>
      <c r="M41" s="136">
        <f>K41+L41</f>
        <v>9266277.853154283</v>
      </c>
      <c r="N41" s="136"/>
      <c r="O41" s="138"/>
      <c r="P41" s="138">
        <f>J41-M41+N41-O41</f>
        <v>-9266277.853154283</v>
      </c>
      <c r="Q41" s="138">
        <f t="shared" si="4"/>
        <v>22973426.580881912</v>
      </c>
      <c r="R41" s="138"/>
      <c r="S41" s="138"/>
      <c r="T41" s="90"/>
    </row>
    <row r="42" spans="1:20" x14ac:dyDescent="0.3">
      <c r="C42" s="77"/>
      <c r="E42" s="134">
        <v>2055</v>
      </c>
      <c r="F42" s="135">
        <v>63</v>
      </c>
      <c r="G42" s="136"/>
      <c r="H42" s="135">
        <v>63</v>
      </c>
      <c r="I42" s="137"/>
      <c r="J42" s="136">
        <v>0</v>
      </c>
      <c r="K42" s="136"/>
      <c r="L42" s="136">
        <f t="shared" si="8"/>
        <v>9914917.3028750848</v>
      </c>
      <c r="M42" s="136">
        <f>K42+L42</f>
        <v>9914917.3028750848</v>
      </c>
      <c r="N42" s="138"/>
      <c r="O42" s="138"/>
      <c r="P42" s="138">
        <f>J42-M42+N42-O42</f>
        <v>-9914917.3028750848</v>
      </c>
      <c r="Q42" s="138">
        <f t="shared" si="4"/>
        <v>13058509.278006827</v>
      </c>
      <c r="R42" s="138"/>
      <c r="S42" s="138"/>
      <c r="T42" s="90"/>
    </row>
    <row r="43" spans="1:20" x14ac:dyDescent="0.3">
      <c r="C43" s="77"/>
      <c r="E43" s="134">
        <v>2056</v>
      </c>
      <c r="F43" s="135">
        <v>64</v>
      </c>
      <c r="G43" s="136"/>
      <c r="H43" s="135">
        <v>64</v>
      </c>
      <c r="I43" s="137"/>
      <c r="J43" s="136">
        <v>0</v>
      </c>
      <c r="K43" s="136"/>
      <c r="L43" s="136">
        <f t="shared" si="8"/>
        <v>10608961.514076339</v>
      </c>
      <c r="M43" s="136">
        <f t="shared" si="1"/>
        <v>10608961.514076339</v>
      </c>
      <c r="N43" s="137"/>
      <c r="O43" s="138">
        <f>'Financial Goals'!H11</f>
        <v>261458123.95031279</v>
      </c>
      <c r="P43" s="138">
        <f>J43-M43+N43-O43</f>
        <v>-272067085.46438915</v>
      </c>
      <c r="Q43" s="138">
        <f t="shared" si="4"/>
        <v>-259008576.18638232</v>
      </c>
      <c r="R43" s="138"/>
      <c r="S43" s="138"/>
      <c r="T43" s="139" t="s">
        <v>196</v>
      </c>
    </row>
    <row r="44" spans="1:20" x14ac:dyDescent="0.3">
      <c r="C44" s="77"/>
      <c r="E44" s="134">
        <v>2057</v>
      </c>
      <c r="F44" s="135">
        <v>65</v>
      </c>
      <c r="G44" s="136"/>
      <c r="H44" s="135">
        <v>65</v>
      </c>
      <c r="I44" s="137"/>
      <c r="J44" s="136">
        <v>0</v>
      </c>
      <c r="K44" s="136"/>
      <c r="L44" s="136">
        <f t="shared" si="8"/>
        <v>11351588.820061684</v>
      </c>
      <c r="M44" s="136">
        <f t="shared" si="1"/>
        <v>11351588.820061684</v>
      </c>
      <c r="N44" s="138"/>
      <c r="O44" s="138"/>
      <c r="P44" s="138">
        <f t="shared" ref="P44:P54" si="9">J44-M44+N44-O44</f>
        <v>-11351588.820061684</v>
      </c>
      <c r="Q44" s="138">
        <f t="shared" si="4"/>
        <v>-270360165.00644398</v>
      </c>
      <c r="R44" s="138"/>
      <c r="S44" s="138"/>
      <c r="T44" s="143"/>
    </row>
    <row r="45" spans="1:20" x14ac:dyDescent="0.3">
      <c r="C45" s="77"/>
      <c r="E45" s="134">
        <v>2058</v>
      </c>
      <c r="F45" s="135">
        <v>66</v>
      </c>
      <c r="G45" s="136"/>
      <c r="H45" s="135">
        <v>66</v>
      </c>
      <c r="I45" s="137"/>
      <c r="J45" s="136">
        <v>0</v>
      </c>
      <c r="K45" s="136"/>
      <c r="L45" s="136">
        <f t="shared" si="8"/>
        <v>12146200.037466001</v>
      </c>
      <c r="M45" s="136">
        <f t="shared" si="1"/>
        <v>12146200.037466001</v>
      </c>
      <c r="N45" s="138">
        <f>'Investment Plan'!R9</f>
        <v>1113844087.1295991</v>
      </c>
      <c r="O45" s="138">
        <f>'Financial Goals'!H15</f>
        <v>179606043.66642785</v>
      </c>
      <c r="P45" s="138">
        <f t="shared" si="9"/>
        <v>922091843.42570519</v>
      </c>
      <c r="Q45" s="138">
        <f t="shared" si="4"/>
        <v>651731678.41926122</v>
      </c>
      <c r="R45" s="138"/>
      <c r="S45" s="138"/>
      <c r="T45" s="139" t="s">
        <v>156</v>
      </c>
    </row>
    <row r="46" spans="1:20" x14ac:dyDescent="0.3">
      <c r="C46" s="77"/>
      <c r="E46" s="134">
        <v>2059</v>
      </c>
      <c r="F46" s="135">
        <v>67</v>
      </c>
      <c r="G46" s="136"/>
      <c r="H46" s="135">
        <v>67</v>
      </c>
      <c r="I46" s="137"/>
      <c r="J46" s="136">
        <v>0</v>
      </c>
      <c r="K46" s="136"/>
      <c r="L46" s="136">
        <f t="shared" si="8"/>
        <v>12996434.040088622</v>
      </c>
      <c r="M46" s="136">
        <f t="shared" si="1"/>
        <v>12996434.040088622</v>
      </c>
      <c r="N46" s="138"/>
      <c r="O46" s="138"/>
      <c r="P46" s="138">
        <f t="shared" si="9"/>
        <v>-12996434.040088622</v>
      </c>
      <c r="Q46" s="138">
        <f t="shared" si="4"/>
        <v>638735244.37917256</v>
      </c>
      <c r="R46" s="138"/>
      <c r="S46" s="138"/>
      <c r="T46" s="139"/>
    </row>
    <row r="47" spans="1:20" x14ac:dyDescent="0.3">
      <c r="C47" s="77"/>
      <c r="E47" s="134">
        <v>2060</v>
      </c>
      <c r="F47" s="135">
        <v>68</v>
      </c>
      <c r="G47" s="136"/>
      <c r="H47" s="152">
        <v>68</v>
      </c>
      <c r="I47" s="137"/>
      <c r="J47" s="136">
        <v>0</v>
      </c>
      <c r="K47" s="136"/>
      <c r="L47" s="136">
        <f t="shared" si="8"/>
        <v>13906184.422894824</v>
      </c>
      <c r="M47" s="136">
        <f t="shared" si="1"/>
        <v>13906184.422894824</v>
      </c>
      <c r="N47" s="138"/>
      <c r="O47" s="138"/>
      <c r="P47" s="138">
        <f t="shared" si="9"/>
        <v>-13906184.422894824</v>
      </c>
      <c r="Q47" s="138">
        <f t="shared" si="4"/>
        <v>624829059.95627773</v>
      </c>
      <c r="R47" s="138"/>
      <c r="S47" s="138"/>
      <c r="T47" s="139"/>
    </row>
    <row r="48" spans="1:20" x14ac:dyDescent="0.3">
      <c r="C48" s="77"/>
      <c r="E48" s="134">
        <v>2061</v>
      </c>
      <c r="F48" s="135">
        <v>69</v>
      </c>
      <c r="G48" s="136"/>
      <c r="H48" s="152">
        <v>69</v>
      </c>
      <c r="I48" s="137"/>
      <c r="J48" s="136">
        <v>0</v>
      </c>
      <c r="K48" s="136"/>
      <c r="L48" s="136">
        <f t="shared" si="8"/>
        <v>14879617.332497464</v>
      </c>
      <c r="M48" s="136">
        <f>K48+L48</f>
        <v>14879617.332497464</v>
      </c>
      <c r="N48" s="138"/>
      <c r="O48" s="138"/>
      <c r="P48" s="138">
        <f t="shared" si="9"/>
        <v>-14879617.332497464</v>
      </c>
      <c r="Q48" s="138">
        <f t="shared" si="4"/>
        <v>609949442.62378025</v>
      </c>
      <c r="R48" s="138"/>
      <c r="S48" s="138"/>
      <c r="T48" s="139"/>
    </row>
    <row r="49" spans="3:20" x14ac:dyDescent="0.3">
      <c r="C49" s="77"/>
      <c r="E49" s="134">
        <v>2062</v>
      </c>
      <c r="F49" s="135">
        <v>70</v>
      </c>
      <c r="G49" s="136"/>
      <c r="H49" s="152">
        <v>70</v>
      </c>
      <c r="I49" s="137"/>
      <c r="J49" s="136">
        <v>0</v>
      </c>
      <c r="K49" s="136"/>
      <c r="L49" s="136">
        <f t="shared" si="8"/>
        <v>15921190.545772286</v>
      </c>
      <c r="M49" s="136">
        <f>K49+L49</f>
        <v>15921190.545772286</v>
      </c>
      <c r="N49" s="138"/>
      <c r="O49" s="138"/>
      <c r="P49" s="138">
        <f>J49-M49+N49-O49</f>
        <v>-15921190.545772286</v>
      </c>
      <c r="Q49" s="138">
        <f t="shared" si="4"/>
        <v>594028252.07800794</v>
      </c>
      <c r="R49" s="138"/>
      <c r="S49" s="138"/>
      <c r="T49" s="139"/>
    </row>
    <row r="50" spans="3:20" x14ac:dyDescent="0.3">
      <c r="C50" s="77"/>
      <c r="E50" s="134">
        <v>2063</v>
      </c>
      <c r="F50" s="135">
        <v>71</v>
      </c>
      <c r="G50" s="136"/>
      <c r="H50" s="135">
        <v>71</v>
      </c>
      <c r="I50" s="137"/>
      <c r="J50" s="136">
        <v>0</v>
      </c>
      <c r="K50" s="136"/>
      <c r="L50" s="136">
        <f t="shared" si="8"/>
        <v>17035673.883976348</v>
      </c>
      <c r="M50" s="136">
        <f t="shared" ref="M50:M54" si="10">K50+L50</f>
        <v>17035673.883976348</v>
      </c>
      <c r="N50" s="138"/>
      <c r="O50" s="138"/>
      <c r="P50" s="138">
        <f>J50-M50+N50-O50</f>
        <v>-17035673.883976348</v>
      </c>
      <c r="Q50" s="138">
        <f>P50+Q49</f>
        <v>576992578.1940316</v>
      </c>
      <c r="R50" s="138"/>
      <c r="S50" s="138"/>
      <c r="T50" s="153"/>
    </row>
    <row r="51" spans="3:20" x14ac:dyDescent="0.3">
      <c r="C51" s="77"/>
      <c r="E51" s="134">
        <v>2064</v>
      </c>
      <c r="F51" s="135">
        <v>72</v>
      </c>
      <c r="G51" s="136"/>
      <c r="H51" s="152">
        <v>72</v>
      </c>
      <c r="I51" s="137"/>
      <c r="J51" s="136">
        <v>0</v>
      </c>
      <c r="K51" s="136"/>
      <c r="L51" s="136">
        <f t="shared" si="8"/>
        <v>18228171.055854689</v>
      </c>
      <c r="M51" s="136">
        <f t="shared" si="10"/>
        <v>18228171.055854689</v>
      </c>
      <c r="N51" s="138"/>
      <c r="O51" s="138"/>
      <c r="P51" s="138">
        <f t="shared" si="9"/>
        <v>-18228171.055854689</v>
      </c>
      <c r="Q51" s="138">
        <f t="shared" si="4"/>
        <v>558764407.13817692</v>
      </c>
      <c r="R51" s="138"/>
      <c r="S51" s="138"/>
      <c r="T51" s="139"/>
    </row>
    <row r="52" spans="3:20" x14ac:dyDescent="0.3">
      <c r="C52" s="77"/>
      <c r="E52" s="134">
        <v>2065</v>
      </c>
      <c r="F52" s="135">
        <v>73</v>
      </c>
      <c r="G52" s="136"/>
      <c r="H52" s="152">
        <v>73</v>
      </c>
      <c r="I52" s="137"/>
      <c r="J52" s="136">
        <v>0</v>
      </c>
      <c r="K52" s="136"/>
      <c r="L52" s="136">
        <f t="shared" si="8"/>
        <v>19504143.029764518</v>
      </c>
      <c r="M52" s="136">
        <f t="shared" si="10"/>
        <v>19504143.029764518</v>
      </c>
      <c r="N52" s="138"/>
      <c r="O52" s="138"/>
      <c r="P52" s="138">
        <f t="shared" si="9"/>
        <v>-19504143.029764518</v>
      </c>
      <c r="Q52" s="138">
        <f t="shared" si="4"/>
        <v>539260264.10841238</v>
      </c>
      <c r="R52" s="138"/>
      <c r="S52" s="138"/>
      <c r="T52" s="139"/>
    </row>
    <row r="53" spans="3:20" x14ac:dyDescent="0.3">
      <c r="C53" s="77"/>
      <c r="E53" s="134">
        <v>2066</v>
      </c>
      <c r="F53" s="135">
        <v>74</v>
      </c>
      <c r="G53" s="136"/>
      <c r="H53" s="152">
        <v>74</v>
      </c>
      <c r="I53" s="137"/>
      <c r="J53" s="136">
        <v>0</v>
      </c>
      <c r="K53" s="136"/>
      <c r="L53" s="136">
        <f t="shared" si="8"/>
        <v>20869433.041848034</v>
      </c>
      <c r="M53" s="136">
        <f t="shared" si="10"/>
        <v>20869433.041848034</v>
      </c>
      <c r="N53" s="138"/>
      <c r="O53" s="138"/>
      <c r="P53" s="138">
        <f t="shared" si="9"/>
        <v>-20869433.041848034</v>
      </c>
      <c r="Q53" s="138">
        <f t="shared" si="4"/>
        <v>518390831.06656432</v>
      </c>
      <c r="R53" s="138"/>
      <c r="S53" s="138"/>
      <c r="T53" s="153"/>
    </row>
    <row r="54" spans="3:20" x14ac:dyDescent="0.3">
      <c r="C54" s="77"/>
      <c r="E54" s="134">
        <v>2067</v>
      </c>
      <c r="F54" s="135">
        <v>75</v>
      </c>
      <c r="G54" s="136"/>
      <c r="H54" s="135">
        <v>75</v>
      </c>
      <c r="I54" s="137"/>
      <c r="J54" s="136">
        <v>0</v>
      </c>
      <c r="K54" s="136"/>
      <c r="L54" s="136">
        <f t="shared" si="8"/>
        <v>22330293.354777399</v>
      </c>
      <c r="M54" s="136">
        <f t="shared" si="10"/>
        <v>22330293.354777399</v>
      </c>
      <c r="N54" s="138"/>
      <c r="O54" s="138"/>
      <c r="P54" s="138">
        <f t="shared" si="9"/>
        <v>-22330293.354777399</v>
      </c>
      <c r="Q54" s="138">
        <f t="shared" si="4"/>
        <v>496060537.71178693</v>
      </c>
      <c r="R54" s="138"/>
      <c r="S54" s="138"/>
      <c r="T54" s="153"/>
    </row>
    <row r="55" spans="3:20" x14ac:dyDescent="0.3">
      <c r="C55" s="77"/>
      <c r="E55" s="134">
        <v>2068</v>
      </c>
      <c r="F55" s="135">
        <v>76</v>
      </c>
      <c r="G55" s="53"/>
      <c r="H55" s="152">
        <v>76</v>
      </c>
      <c r="I55" s="53"/>
      <c r="J55" s="136">
        <v>0</v>
      </c>
      <c r="K55" s="136"/>
      <c r="L55" s="136">
        <f t="shared" si="8"/>
        <v>23893413.889611814</v>
      </c>
      <c r="M55" s="136">
        <f t="shared" ref="M55:M59" si="11">K55+L55</f>
        <v>23893413.889611814</v>
      </c>
      <c r="N55" s="138"/>
      <c r="O55" s="138"/>
      <c r="P55" s="138">
        <f t="shared" ref="P55:P59" si="12">J55-M55+N55-O55</f>
        <v>-23893413.889611814</v>
      </c>
      <c r="Q55" s="138">
        <f t="shared" ref="Q55:Q59" si="13">P55+Q54</f>
        <v>472167123.82217509</v>
      </c>
      <c r="R55" s="138"/>
      <c r="S55" s="138"/>
      <c r="T55" s="139"/>
    </row>
    <row r="56" spans="3:20" x14ac:dyDescent="0.3">
      <c r="C56" s="77"/>
      <c r="E56" s="134">
        <v>2069</v>
      </c>
      <c r="F56" s="135">
        <v>77</v>
      </c>
      <c r="G56" s="53"/>
      <c r="H56" s="135">
        <v>77</v>
      </c>
      <c r="I56" s="53"/>
      <c r="J56" s="136">
        <v>0</v>
      </c>
      <c r="K56" s="136"/>
      <c r="L56" s="136">
        <f t="shared" si="8"/>
        <v>25565952.861884642</v>
      </c>
      <c r="M56" s="136">
        <f t="shared" si="11"/>
        <v>25565952.861884642</v>
      </c>
      <c r="N56" s="138"/>
      <c r="O56" s="138"/>
      <c r="P56" s="138">
        <f t="shared" si="12"/>
        <v>-25565952.861884642</v>
      </c>
      <c r="Q56" s="138">
        <f t="shared" si="13"/>
        <v>446601170.96029043</v>
      </c>
      <c r="R56" s="138"/>
      <c r="S56" s="138"/>
      <c r="T56" s="139"/>
    </row>
    <row r="57" spans="3:20" x14ac:dyDescent="0.3">
      <c r="C57" s="77"/>
      <c r="E57" s="134">
        <v>2070</v>
      </c>
      <c r="F57" s="135">
        <v>78</v>
      </c>
      <c r="G57" s="53"/>
      <c r="H57" s="152">
        <v>78</v>
      </c>
      <c r="I57" s="53"/>
      <c r="J57" s="136">
        <v>0</v>
      </c>
      <c r="K57" s="136"/>
      <c r="L57" s="136">
        <f t="shared" si="8"/>
        <v>27355569.562216569</v>
      </c>
      <c r="M57" s="136">
        <f t="shared" si="11"/>
        <v>27355569.562216569</v>
      </c>
      <c r="N57" s="113"/>
      <c r="O57" s="138"/>
      <c r="P57" s="138">
        <f t="shared" si="12"/>
        <v>-27355569.562216569</v>
      </c>
      <c r="Q57" s="138">
        <f t="shared" si="13"/>
        <v>419245601.39807385</v>
      </c>
      <c r="R57" s="138"/>
      <c r="S57" s="138"/>
      <c r="T57" s="153"/>
    </row>
    <row r="58" spans="3:20" x14ac:dyDescent="0.3">
      <c r="C58" s="77"/>
      <c r="E58" s="134">
        <v>2071</v>
      </c>
      <c r="F58" s="135">
        <v>79</v>
      </c>
      <c r="G58" s="53"/>
      <c r="H58" s="135">
        <v>79</v>
      </c>
      <c r="I58" s="53"/>
      <c r="J58" s="136">
        <v>0</v>
      </c>
      <c r="K58" s="136"/>
      <c r="L58" s="136">
        <f t="shared" si="8"/>
        <v>29270459.431571729</v>
      </c>
      <c r="M58" s="136">
        <f t="shared" si="11"/>
        <v>29270459.431571729</v>
      </c>
      <c r="N58" s="138"/>
      <c r="O58" s="138"/>
      <c r="P58" s="138">
        <f t="shared" si="12"/>
        <v>-29270459.431571729</v>
      </c>
      <c r="Q58" s="138">
        <f t="shared" si="13"/>
        <v>389975141.96650213</v>
      </c>
      <c r="R58" s="138"/>
      <c r="S58" s="138"/>
      <c r="T58" s="139"/>
    </row>
    <row r="59" spans="3:20" ht="16.2" thickBot="1" x14ac:dyDescent="0.35">
      <c r="C59" s="77"/>
      <c r="E59" s="154">
        <v>2072</v>
      </c>
      <c r="F59" s="155">
        <v>80</v>
      </c>
      <c r="G59" s="83"/>
      <c r="H59" s="156">
        <v>80</v>
      </c>
      <c r="I59" s="83"/>
      <c r="J59" s="157">
        <v>0</v>
      </c>
      <c r="K59" s="157"/>
      <c r="L59" s="157">
        <f t="shared" si="8"/>
        <v>31319391.59178175</v>
      </c>
      <c r="M59" s="157">
        <f t="shared" si="11"/>
        <v>31319391.59178175</v>
      </c>
      <c r="N59" s="159">
        <f>'Investment Plan'!R13</f>
        <v>142854784.77579251</v>
      </c>
      <c r="O59" s="158">
        <f>500000000</f>
        <v>500000000</v>
      </c>
      <c r="P59" s="159">
        <f t="shared" si="12"/>
        <v>-388464606.81598926</v>
      </c>
      <c r="Q59" s="159">
        <f t="shared" si="13"/>
        <v>1510535.1505128741</v>
      </c>
      <c r="R59" s="159"/>
      <c r="S59" s="159"/>
      <c r="T59" s="160" t="s">
        <v>201</v>
      </c>
    </row>
    <row r="60" spans="3:20" x14ac:dyDescent="0.3">
      <c r="C60" s="77"/>
    </row>
    <row r="61" spans="3:20" x14ac:dyDescent="0.3">
      <c r="C61" s="77"/>
    </row>
    <row r="62" spans="3:20" x14ac:dyDescent="0.3">
      <c r="C62" s="77"/>
    </row>
    <row r="63" spans="3:20" x14ac:dyDescent="0.3">
      <c r="C63" s="77"/>
    </row>
    <row r="64" spans="3:20" x14ac:dyDescent="0.3">
      <c r="C64" s="77"/>
    </row>
  </sheetData>
  <mergeCells count="2">
    <mergeCell ref="J5:N6"/>
    <mergeCell ref="B5:C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1BAA1-A73C-46FD-B30D-2737C0A841B7}">
  <dimension ref="C3:H43"/>
  <sheetViews>
    <sheetView topLeftCell="A21" zoomScale="94" workbookViewId="0">
      <selection activeCell="C44" sqref="C44"/>
    </sheetView>
  </sheetViews>
  <sheetFormatPr defaultRowHeight="15.6" x14ac:dyDescent="0.3"/>
  <cols>
    <col min="1" max="2" width="8.88671875" style="3"/>
    <col min="3" max="3" width="8.88671875" style="3" customWidth="1"/>
    <col min="4" max="4" width="22.33203125" style="3" bestFit="1" customWidth="1"/>
    <col min="5" max="5" width="19.6640625" style="3" bestFit="1" customWidth="1"/>
    <col min="6" max="16384" width="8.88671875" style="3"/>
  </cols>
  <sheetData>
    <row r="3" spans="3:8" ht="14.4" customHeight="1" x14ac:dyDescent="0.3">
      <c r="C3" s="227" t="s">
        <v>171</v>
      </c>
      <c r="D3" s="227"/>
      <c r="E3" s="227"/>
      <c r="F3" s="227"/>
      <c r="G3" s="188"/>
      <c r="H3" s="188"/>
    </row>
    <row r="4" spans="3:8" ht="14.4" customHeight="1" x14ac:dyDescent="0.3">
      <c r="C4" s="227"/>
      <c r="D4" s="227"/>
      <c r="E4" s="227"/>
      <c r="F4" s="227"/>
      <c r="G4" s="188"/>
      <c r="H4" s="188"/>
    </row>
    <row r="6" spans="3:8" ht="16.2" thickBot="1" x14ac:dyDescent="0.35"/>
    <row r="7" spans="3:8" x14ac:dyDescent="0.3">
      <c r="D7" s="50" t="s">
        <v>64</v>
      </c>
      <c r="E7" s="184">
        <v>32</v>
      </c>
    </row>
    <row r="8" spans="3:8" x14ac:dyDescent="0.3">
      <c r="D8" s="24" t="s">
        <v>158</v>
      </c>
      <c r="E8" s="90">
        <v>58</v>
      </c>
    </row>
    <row r="9" spans="3:8" x14ac:dyDescent="0.3">
      <c r="D9" s="24" t="s">
        <v>159</v>
      </c>
      <c r="E9" s="90">
        <f>E8-E7+1</f>
        <v>27</v>
      </c>
    </row>
    <row r="10" spans="3:8" x14ac:dyDescent="0.3">
      <c r="D10" s="24" t="s">
        <v>160</v>
      </c>
      <c r="E10" s="90">
        <v>80</v>
      </c>
    </row>
    <row r="11" spans="3:8" x14ac:dyDescent="0.3">
      <c r="D11" s="24" t="s">
        <v>161</v>
      </c>
      <c r="E11" s="90">
        <f>E10-E8</f>
        <v>22</v>
      </c>
    </row>
    <row r="13" spans="3:8" ht="16.2" thickBot="1" x14ac:dyDescent="0.35"/>
    <row r="14" spans="3:8" s="145" customFormat="1" ht="31.8" customHeight="1" x14ac:dyDescent="0.3">
      <c r="C14" s="164" t="s">
        <v>32</v>
      </c>
      <c r="D14" s="185" t="s">
        <v>195</v>
      </c>
      <c r="E14" s="186" t="s">
        <v>194</v>
      </c>
    </row>
    <row r="15" spans="3:8" x14ac:dyDescent="0.3">
      <c r="C15" s="24">
        <v>1</v>
      </c>
      <c r="D15" s="136">
        <v>7564042.9382105647</v>
      </c>
      <c r="E15" s="45">
        <f>PV(7%,C15,0,-D15,1)</f>
        <v>7069199.0076734247</v>
      </c>
    </row>
    <row r="16" spans="3:8" x14ac:dyDescent="0.3">
      <c r="C16" s="24">
        <v>2</v>
      </c>
      <c r="D16" s="136">
        <v>8093525.9438853031</v>
      </c>
      <c r="E16" s="45">
        <f t="shared" ref="E16:E36" si="0">PV(7%,C16,0,-D16,1)</f>
        <v>7069199.0076734237</v>
      </c>
    </row>
    <row r="17" spans="3:5" x14ac:dyDescent="0.3">
      <c r="C17" s="24">
        <v>3</v>
      </c>
      <c r="D17" s="136">
        <v>8660072.7599572744</v>
      </c>
      <c r="E17" s="45">
        <f t="shared" si="0"/>
        <v>7069199.0076734237</v>
      </c>
    </row>
    <row r="18" spans="3:5" x14ac:dyDescent="0.3">
      <c r="C18" s="24">
        <v>4</v>
      </c>
      <c r="D18" s="136">
        <v>9266277.853154283</v>
      </c>
      <c r="E18" s="45">
        <f t="shared" si="0"/>
        <v>7069199.0076734237</v>
      </c>
    </row>
    <row r="19" spans="3:5" x14ac:dyDescent="0.3">
      <c r="C19" s="24">
        <v>5</v>
      </c>
      <c r="D19" s="136">
        <v>9914917.3028750848</v>
      </c>
      <c r="E19" s="45">
        <f t="shared" si="0"/>
        <v>7069199.0076734237</v>
      </c>
    </row>
    <row r="20" spans="3:5" x14ac:dyDescent="0.3">
      <c r="C20" s="24">
        <v>6</v>
      </c>
      <c r="D20" s="136">
        <v>10608961.514076339</v>
      </c>
      <c r="E20" s="45">
        <f t="shared" si="0"/>
        <v>7069199.0076734237</v>
      </c>
    </row>
    <row r="21" spans="3:5" x14ac:dyDescent="0.3">
      <c r="C21" s="24">
        <v>7</v>
      </c>
      <c r="D21" s="136">
        <v>11351588.820061684</v>
      </c>
      <c r="E21" s="45">
        <f t="shared" si="0"/>
        <v>7069199.0076734237</v>
      </c>
    </row>
    <row r="22" spans="3:5" x14ac:dyDescent="0.3">
      <c r="C22" s="24">
        <v>8</v>
      </c>
      <c r="D22" s="136">
        <v>12146200.037466001</v>
      </c>
      <c r="E22" s="45">
        <f t="shared" si="0"/>
        <v>7069199.0076734237</v>
      </c>
    </row>
    <row r="23" spans="3:5" x14ac:dyDescent="0.3">
      <c r="C23" s="24">
        <v>9</v>
      </c>
      <c r="D23" s="136">
        <v>12996434.040088622</v>
      </c>
      <c r="E23" s="45">
        <f t="shared" si="0"/>
        <v>7069199.0076734228</v>
      </c>
    </row>
    <row r="24" spans="3:5" x14ac:dyDescent="0.3">
      <c r="C24" s="24">
        <v>10</v>
      </c>
      <c r="D24" s="136">
        <v>13906184.422894824</v>
      </c>
      <c r="E24" s="45">
        <f t="shared" si="0"/>
        <v>7069199.0076734228</v>
      </c>
    </row>
    <row r="25" spans="3:5" x14ac:dyDescent="0.3">
      <c r="C25" s="24">
        <v>11</v>
      </c>
      <c r="D25" s="136">
        <v>14879617.332497464</v>
      </c>
      <c r="E25" s="45">
        <f t="shared" si="0"/>
        <v>7069199.0076734237</v>
      </c>
    </row>
    <row r="26" spans="3:5" x14ac:dyDescent="0.3">
      <c r="C26" s="24">
        <v>12</v>
      </c>
      <c r="D26" s="136">
        <v>15921190.545772286</v>
      </c>
      <c r="E26" s="45">
        <f t="shared" si="0"/>
        <v>7069199.0076734247</v>
      </c>
    </row>
    <row r="27" spans="3:5" x14ac:dyDescent="0.3">
      <c r="C27" s="24">
        <v>13</v>
      </c>
      <c r="D27" s="136">
        <v>17035673.883976348</v>
      </c>
      <c r="E27" s="45">
        <f t="shared" si="0"/>
        <v>7069199.0076734247</v>
      </c>
    </row>
    <row r="28" spans="3:5" x14ac:dyDescent="0.3">
      <c r="C28" s="24">
        <v>14</v>
      </c>
      <c r="D28" s="136">
        <v>18228171.055854689</v>
      </c>
      <c r="E28" s="45">
        <f t="shared" si="0"/>
        <v>7069199.0076734237</v>
      </c>
    </row>
    <row r="29" spans="3:5" x14ac:dyDescent="0.3">
      <c r="C29" s="24">
        <v>15</v>
      </c>
      <c r="D29" s="136">
        <v>19504143.029764518</v>
      </c>
      <c r="E29" s="45">
        <f t="shared" si="0"/>
        <v>7069199.0076734228</v>
      </c>
    </row>
    <row r="30" spans="3:5" x14ac:dyDescent="0.3">
      <c r="C30" s="24">
        <v>16</v>
      </c>
      <c r="D30" s="136">
        <v>20869433.041848034</v>
      </c>
      <c r="E30" s="45">
        <f t="shared" si="0"/>
        <v>7069199.0076734237</v>
      </c>
    </row>
    <row r="31" spans="3:5" x14ac:dyDescent="0.3">
      <c r="C31" s="24">
        <v>17</v>
      </c>
      <c r="D31" s="136">
        <v>22330293.354777399</v>
      </c>
      <c r="E31" s="45">
        <f t="shared" si="0"/>
        <v>7069199.0076734247</v>
      </c>
    </row>
    <row r="32" spans="3:5" x14ac:dyDescent="0.3">
      <c r="C32" s="24">
        <v>18</v>
      </c>
      <c r="D32" s="136">
        <v>23893413.889611814</v>
      </c>
      <c r="E32" s="45">
        <f t="shared" si="0"/>
        <v>7069199.0076734237</v>
      </c>
    </row>
    <row r="33" spans="3:6" x14ac:dyDescent="0.3">
      <c r="C33" s="24">
        <v>19</v>
      </c>
      <c r="D33" s="136">
        <v>25565952.861884642</v>
      </c>
      <c r="E33" s="45">
        <f t="shared" si="0"/>
        <v>7069199.0076734237</v>
      </c>
    </row>
    <row r="34" spans="3:6" x14ac:dyDescent="0.3">
      <c r="C34" s="24">
        <v>20</v>
      </c>
      <c r="D34" s="136">
        <v>27355569.562216569</v>
      </c>
      <c r="E34" s="45">
        <f t="shared" si="0"/>
        <v>7069199.0076734247</v>
      </c>
    </row>
    <row r="35" spans="3:6" x14ac:dyDescent="0.3">
      <c r="C35" s="24">
        <v>21</v>
      </c>
      <c r="D35" s="136">
        <v>29270459.431571729</v>
      </c>
      <c r="E35" s="45">
        <f t="shared" si="0"/>
        <v>7069199.0076734247</v>
      </c>
    </row>
    <row r="36" spans="3:6" ht="16.2" thickBot="1" x14ac:dyDescent="0.35">
      <c r="C36" s="82">
        <v>22</v>
      </c>
      <c r="D36" s="157">
        <v>31319391.59178175</v>
      </c>
      <c r="E36" s="187">
        <f t="shared" si="0"/>
        <v>7069199.0076734247</v>
      </c>
    </row>
    <row r="38" spans="3:6" x14ac:dyDescent="0.3">
      <c r="D38" s="4" t="s">
        <v>207</v>
      </c>
      <c r="E38" s="209">
        <f t="array" ref="E38">SUM(E15:E36)</f>
        <v>155522378.16881531</v>
      </c>
    </row>
    <row r="40" spans="3:6" x14ac:dyDescent="0.3">
      <c r="C40" s="275" t="s">
        <v>208</v>
      </c>
      <c r="D40" s="275"/>
      <c r="E40" s="275"/>
      <c r="F40" s="275"/>
    </row>
    <row r="41" spans="3:6" x14ac:dyDescent="0.3">
      <c r="C41" s="275"/>
      <c r="D41" s="275"/>
      <c r="E41" s="275"/>
      <c r="F41" s="275"/>
    </row>
    <row r="42" spans="3:6" x14ac:dyDescent="0.3">
      <c r="C42" s="275"/>
      <c r="D42" s="275"/>
      <c r="E42" s="275"/>
      <c r="F42" s="275"/>
    </row>
    <row r="43" spans="3:6" x14ac:dyDescent="0.3">
      <c r="C43" s="275"/>
      <c r="D43" s="275"/>
      <c r="E43" s="275"/>
      <c r="F43" s="275"/>
    </row>
  </sheetData>
  <mergeCells count="2">
    <mergeCell ref="C3:F4"/>
    <mergeCell ref="C40:F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Details</vt:lpstr>
      <vt:lpstr>Financial Goals</vt:lpstr>
      <vt:lpstr>Income</vt:lpstr>
      <vt:lpstr>Expenses</vt:lpstr>
      <vt:lpstr>Amortisation Table - Car Loan</vt:lpstr>
      <vt:lpstr>Insurance Policies</vt:lpstr>
      <vt:lpstr>Investment Plan</vt:lpstr>
      <vt:lpstr>Cash Flow &amp; Balance Sheet</vt:lpstr>
      <vt:lpstr>Retirement Corpus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 Dhillon</dc:creator>
  <cp:lastModifiedBy>Admin</cp:lastModifiedBy>
  <dcterms:created xsi:type="dcterms:W3CDTF">2024-02-13T12:28:31Z</dcterms:created>
  <dcterms:modified xsi:type="dcterms:W3CDTF">2024-04-02T03:11:46Z</dcterms:modified>
</cp:coreProperties>
</file>