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1 The Basics" sheetId="1" r:id="rId4"/>
    <sheet state="visible" name="Task 2 Cell References" sheetId="2" r:id="rId5"/>
    <sheet state="visible" name="Task 3 Basic Functions" sheetId="3" r:id="rId6"/>
    <sheet state="visible" name="Task 4 Error Messages" sheetId="4" r:id="rId7"/>
    <sheet state="visible" name="Task 5 Advanced Functions" sheetId="5" r:id="rId8"/>
    <sheet state="visible" name="Task 6 Formatting &amp; Sorting" sheetId="6" r:id="rId9"/>
    <sheet state="visible" name="Task 7a Analyse your expenses" sheetId="7" r:id="rId10"/>
    <sheet state="visible" name="Task 7b Expense data" sheetId="8" r:id="rId11"/>
    <sheet state="visible" name="Task 8 Basic charts" sheetId="9" r:id="rId12"/>
    <sheet state="visible" name="Task 7 &amp; 8 Solution example" sheetId="10" r:id="rId13"/>
    <sheet state="visible" name="Task 7 &amp; 8 Solution data" sheetId="11" r:id="rId14"/>
  </sheets>
  <definedNames>
    <definedName hidden="1" localSheetId="5" name="_xlnm._FilterDatabase">'Task 6 Formatting &amp; Sorting'!$A$16:$AC$36</definedName>
    <definedName hidden="1" localSheetId="5" name="Z_B2413DBA_BED6_4F98_A586_4351D3D3574E_.wvu.FilterData">'Task 6 Formatting &amp; Sorting'!$P$14</definedName>
  </definedNames>
  <calcPr/>
  <customWorkbookViews>
    <customWorkbookView activeSheetId="0" maximized="1" windowHeight="0" windowWidth="0" guid="{B2413DBA-BED6-4F98-A586-4351D3D3574E}" name="Filtro 1"/>
  </customWorkbookViews>
</workbook>
</file>

<file path=xl/sharedStrings.xml><?xml version="1.0" encoding="utf-8"?>
<sst xmlns="http://schemas.openxmlformats.org/spreadsheetml/2006/main" count="1302" uniqueCount="421">
  <si>
    <t>THE BASICS: DATA ENTRY &amp; FORMATTING</t>
  </si>
  <si>
    <t>Column F</t>
  </si>
  <si>
    <t>Row 4</t>
  </si>
  <si>
    <t>Cell F4</t>
  </si>
  <si>
    <t>Example</t>
  </si>
  <si>
    <t>Try it out</t>
  </si>
  <si>
    <t>TEXT</t>
  </si>
  <si>
    <t>normal</t>
  </si>
  <si>
    <t>Coursera</t>
  </si>
  <si>
    <t>Bold</t>
  </si>
  <si>
    <t>Italic</t>
  </si>
  <si>
    <t>Strikethrough</t>
  </si>
  <si>
    <t>Combination</t>
  </si>
  <si>
    <t>NUMBERS</t>
  </si>
  <si>
    <t>Integer</t>
  </si>
  <si>
    <t xml:space="preserve">Decimal </t>
  </si>
  <si>
    <r>
      <rPr>
        <rFont val="Arial"/>
        <b/>
        <color rgb="FF000000"/>
        <sz val="10.0"/>
      </rPr>
      <t>Note:</t>
    </r>
    <r>
      <rPr>
        <rFont val="Arial"/>
        <color rgb="FF000000"/>
        <sz val="10.0"/>
      </rPr>
      <t xml:space="preserve"> Some countries use "," instead of "." for decimals</t>
    </r>
  </si>
  <si>
    <t xml:space="preserve">Percentage </t>
  </si>
  <si>
    <t>87.03%</t>
  </si>
  <si>
    <t>Currency</t>
  </si>
  <si>
    <t>Accounting</t>
  </si>
  <si>
    <t>Scientific</t>
  </si>
  <si>
    <t>DATES</t>
  </si>
  <si>
    <t xml:space="preserve">Date long </t>
  </si>
  <si>
    <t>Date short</t>
  </si>
  <si>
    <t>Date text long</t>
  </si>
  <si>
    <t>Date text Short</t>
  </si>
  <si>
    <t>BASIC CALCULATIONS</t>
  </si>
  <si>
    <t>Addition: +</t>
  </si>
  <si>
    <t>=6+3</t>
  </si>
  <si>
    <t>Subtraction: -</t>
  </si>
  <si>
    <t>=6-3</t>
  </si>
  <si>
    <t>Multiplication: *</t>
  </si>
  <si>
    <t>=6*3</t>
  </si>
  <si>
    <t>Division: /</t>
  </si>
  <si>
    <t>=6/3</t>
  </si>
  <si>
    <t>Exponential: ^</t>
  </si>
  <si>
    <t>=6^3</t>
  </si>
  <si>
    <t>ORDER OF OPERATIONS</t>
  </si>
  <si>
    <t>PEMDAS</t>
  </si>
  <si>
    <r>
      <rPr>
        <rFont val="Arial"/>
        <b/>
        <color theme="1"/>
        <sz val="10.0"/>
      </rPr>
      <t>P</t>
    </r>
    <r>
      <rPr>
        <rFont val="Arial"/>
        <color rgb="FF000000"/>
        <sz val="10.0"/>
      </rPr>
      <t>arenthesis</t>
    </r>
  </si>
  <si>
    <r>
      <rPr>
        <rFont val="Arial"/>
        <b/>
        <color theme="1"/>
        <sz val="10.0"/>
      </rPr>
      <t>E</t>
    </r>
    <r>
      <rPr>
        <rFont val="Arial"/>
        <color rgb="FF000000"/>
        <sz val="10.0"/>
      </rPr>
      <t>xponential</t>
    </r>
  </si>
  <si>
    <r>
      <rPr>
        <rFont val="Arial"/>
        <b/>
        <color theme="1"/>
        <sz val="10.0"/>
      </rPr>
      <t>M</t>
    </r>
    <r>
      <rPr>
        <rFont val="Arial"/>
        <color rgb="FF000000"/>
        <sz val="10.0"/>
      </rPr>
      <t xml:space="preserve">ultiplication &amp; </t>
    </r>
    <r>
      <rPr>
        <rFont val="Arial"/>
        <b/>
        <color theme="1"/>
        <sz val="10.0"/>
      </rPr>
      <t>D</t>
    </r>
    <r>
      <rPr>
        <rFont val="Arial"/>
        <color rgb="FF000000"/>
        <sz val="10.0"/>
      </rPr>
      <t>ivision: from left to right</t>
    </r>
  </si>
  <si>
    <r>
      <rPr>
        <rFont val="Arial"/>
        <b/>
        <color theme="1"/>
        <sz val="10.0"/>
      </rPr>
      <t>A</t>
    </r>
    <r>
      <rPr>
        <rFont val="Arial"/>
        <color rgb="FF000000"/>
        <sz val="10.0"/>
      </rPr>
      <t xml:space="preserve">ddition &amp; </t>
    </r>
    <r>
      <rPr>
        <rFont val="Arial"/>
        <b/>
        <color theme="1"/>
        <sz val="10.0"/>
      </rPr>
      <t>S</t>
    </r>
    <r>
      <rPr>
        <rFont val="Arial"/>
        <color rgb="FF000000"/>
        <sz val="10.0"/>
      </rPr>
      <t>ubtraction: from left to right</t>
    </r>
  </si>
  <si>
    <t>5+8</t>
  </si>
  <si>
    <t>(5+8)^2</t>
  </si>
  <si>
    <t>4/12</t>
  </si>
  <si>
    <t>4/12*3</t>
  </si>
  <si>
    <t>4/(12*3)</t>
  </si>
  <si>
    <t>(5+8)^2-4/12*3</t>
  </si>
  <si>
    <t>BASIC FORMATTING</t>
  </si>
  <si>
    <t>Horizontal align left</t>
  </si>
  <si>
    <t>Hello</t>
  </si>
  <si>
    <t>Hola</t>
  </si>
  <si>
    <t>Horizontal align middle</t>
  </si>
  <si>
    <t>Horizontal align right</t>
  </si>
  <si>
    <t>Vertical align top</t>
  </si>
  <si>
    <t>Vertical align middle</t>
  </si>
  <si>
    <t>Vertical align bottom</t>
  </si>
  <si>
    <t>Text color</t>
  </si>
  <si>
    <t>Pick a text color</t>
  </si>
  <si>
    <t>Elegi colo de texto</t>
  </si>
  <si>
    <t>Fill color</t>
  </si>
  <si>
    <t>Pick a fill color</t>
  </si>
  <si>
    <t>Elegi color de celda</t>
  </si>
  <si>
    <t>Text wrapping</t>
  </si>
  <si>
    <t>This text is very long, so I want to wrap it to keep the column dimensions right</t>
  </si>
  <si>
    <t>Wrapping long tex big big big</t>
  </si>
  <si>
    <t>Merge Cells</t>
  </si>
  <si>
    <t>Merged</t>
  </si>
  <si>
    <t>Borders</t>
  </si>
  <si>
    <t>CELL REFERENCES</t>
  </si>
  <si>
    <t>RELATIVE REFERENCES</t>
  </si>
  <si>
    <t>(1)</t>
  </si>
  <si>
    <t>(2)</t>
  </si>
  <si>
    <t>(3)</t>
  </si>
  <si>
    <t>(4)</t>
  </si>
  <si>
    <t>(1)*(3)</t>
  </si>
  <si>
    <t>(2)*(4)</t>
  </si>
  <si>
    <t>Item</t>
  </si>
  <si>
    <t>Unit Cost</t>
  </si>
  <si>
    <t>Sell Price</t>
  </si>
  <si>
    <t>Qty Purchased</t>
  </si>
  <si>
    <t>Qty Sold</t>
  </si>
  <si>
    <t>COGS</t>
  </si>
  <si>
    <t>Revenue</t>
  </si>
  <si>
    <t>Water</t>
  </si>
  <si>
    <t>Soft Drink</t>
  </si>
  <si>
    <t>Milk</t>
  </si>
  <si>
    <t>Banana</t>
  </si>
  <si>
    <t>Cereal</t>
  </si>
  <si>
    <t>ABSOLUTE REFERENCES</t>
  </si>
  <si>
    <t>(1)*(2)</t>
  </si>
  <si>
    <t>Quantity</t>
  </si>
  <si>
    <t>Cost</t>
  </si>
  <si>
    <t>Tax rate (1)</t>
  </si>
  <si>
    <t>(4) = (2) * (3)</t>
  </si>
  <si>
    <t>(5) = (1)*(4)</t>
  </si>
  <si>
    <t>(4)+(5)</t>
  </si>
  <si>
    <t>Pre-Tax Rev.</t>
  </si>
  <si>
    <t>Sales Tax</t>
  </si>
  <si>
    <t>Quantity (1)</t>
  </si>
  <si>
    <t>BASIC FUNCTIONS</t>
  </si>
  <si>
    <t>=&gt; use ' = '  +  'FUNCTION NAME'</t>
  </si>
  <si>
    <t>CONCATENATE (1)</t>
  </si>
  <si>
    <t>=CONCATENATE(string1, [string2, …])</t>
  </si>
  <si>
    <t>SPLIT (2)</t>
  </si>
  <si>
    <t>=SPLIT(text, delimiter, [split_by_each], [remove_empty_text])</t>
  </si>
  <si>
    <t>SUM (3)</t>
  </si>
  <si>
    <t>=SUM(value1, [value2, …])</t>
  </si>
  <si>
    <t>AVERAGE (4)</t>
  </si>
  <si>
    <t>=AVERAGE(value1, [value2, …])</t>
  </si>
  <si>
    <t>MEDIAN (5)</t>
  </si>
  <si>
    <t>=MEDIAN(value1, [value2, …])</t>
  </si>
  <si>
    <t>MIN (6)</t>
  </si>
  <si>
    <t>=MIN(value1, [value2, …])</t>
  </si>
  <si>
    <t>MAX (7)</t>
  </si>
  <si>
    <t>=MAX(value1, [value2, …])</t>
  </si>
  <si>
    <t>COUNT (8)</t>
  </si>
  <si>
    <t>=COUNT(value1, [value2, …])</t>
  </si>
  <si>
    <t>COUNTA (9)</t>
  </si>
  <si>
    <t>=COUNTA(value1, [value2, …])</t>
  </si>
  <si>
    <t>First Name</t>
  </si>
  <si>
    <t>Last Name</t>
  </si>
  <si>
    <t>First &amp; Last Name</t>
  </si>
  <si>
    <t>Gender</t>
  </si>
  <si>
    <t>Age</t>
  </si>
  <si>
    <t>Monthly Salary</t>
  </si>
  <si>
    <t>Annual Salary</t>
  </si>
  <si>
    <t>City, State</t>
  </si>
  <si>
    <t>City</t>
  </si>
  <si>
    <t>State</t>
  </si>
  <si>
    <t>Rigoberto</t>
  </si>
  <si>
    <t>Montoya</t>
  </si>
  <si>
    <t>Male</t>
  </si>
  <si>
    <t>Phoenix, AZ</t>
  </si>
  <si>
    <t>Valentine</t>
  </si>
  <si>
    <t>Ramirez</t>
  </si>
  <si>
    <t>Female</t>
  </si>
  <si>
    <t>New York, NY</t>
  </si>
  <si>
    <t>Benedict</t>
  </si>
  <si>
    <t>Carney</t>
  </si>
  <si>
    <t>Miami, FL</t>
  </si>
  <si>
    <t>Lisa</t>
  </si>
  <si>
    <t>Villa</t>
  </si>
  <si>
    <t>San Francisco, CA</t>
  </si>
  <si>
    <t>Beverly</t>
  </si>
  <si>
    <t>Landry</t>
  </si>
  <si>
    <t>Los Angeles, CA</t>
  </si>
  <si>
    <t>Raquel</t>
  </si>
  <si>
    <t>Pierce</t>
  </si>
  <si>
    <t>Porltland, OR</t>
  </si>
  <si>
    <t>Total</t>
  </si>
  <si>
    <t>Average</t>
  </si>
  <si>
    <t>Max</t>
  </si>
  <si>
    <t>(5)</t>
  </si>
  <si>
    <t>Min</t>
  </si>
  <si>
    <t>(6)</t>
  </si>
  <si>
    <t>Median</t>
  </si>
  <si>
    <t>(7)</t>
  </si>
  <si>
    <t>Number of people</t>
  </si>
  <si>
    <t>(8)</t>
  </si>
  <si>
    <t>(9)</t>
  </si>
  <si>
    <t>ERROR MESSAGES</t>
  </si>
  <si>
    <t>#DIV/0!</t>
  </si>
  <si>
    <t>Occurs when the second paramer of a division is zero</t>
  </si>
  <si>
    <t>#VALUE!</t>
  </si>
  <si>
    <t>Occurs when your formula is expecting a certain data type as an input but receives the wrong type</t>
  </si>
  <si>
    <t>#REF!</t>
  </si>
  <si>
    <t>Occurs when there is an invalid cell reference from circular dependency or a deleted cell, row or column</t>
  </si>
  <si>
    <t>#NAME?</t>
  </si>
  <si>
    <t>Occurs when there is an error in your formula syntax</t>
  </si>
  <si>
    <t>#NUM!</t>
  </si>
  <si>
    <t>Occurs when the formula contains a numeric value that isn't valid</t>
  </si>
  <si>
    <t>Occurs when the value is not available, i.e. the searched term is not found</t>
  </si>
  <si>
    <t>#ERROR!</t>
  </si>
  <si>
    <t>Occurs when Google Sheets can't understand the formula you've entered (doens't exist in Microsoft Excel)</t>
  </si>
  <si>
    <t># of months</t>
  </si>
  <si>
    <t>Total Salary</t>
  </si>
  <si>
    <t>Valentina</t>
  </si>
  <si>
    <t>Total # months</t>
  </si>
  <si>
    <t>Number</t>
  </si>
  <si>
    <t>Square Root</t>
  </si>
  <si>
    <t>Date 1</t>
  </si>
  <si>
    <t>Date 2</t>
  </si>
  <si>
    <t># days in between</t>
  </si>
  <si>
    <t>Cell $A$26</t>
  </si>
  <si>
    <t>31/1/2019</t>
  </si>
  <si>
    <t>ADVANCED FUNCTIONS</t>
  </si>
  <si>
    <t>VLOOKUP (1)</t>
  </si>
  <si>
    <t>=VLOOKUP(search_key, range, index, [is_sorted])</t>
  </si>
  <si>
    <t>IF (2)</t>
  </si>
  <si>
    <t>=IF(logical_expression, value_if_true, value_if_false)</t>
  </si>
  <si>
    <t>AND (3)</t>
  </si>
  <si>
    <t>=AND(logical_expression1, [logical_expression2, …])</t>
  </si>
  <si>
    <t>OR (4)</t>
  </si>
  <si>
    <t>=OR((logical_expression1, [logical_expression2, …])</t>
  </si>
  <si>
    <t>IFERROR (5)</t>
  </si>
  <si>
    <t>=IFERROR(value, [value_if_error])</t>
  </si>
  <si>
    <t>COUNTIF (6)</t>
  </si>
  <si>
    <t>=COUNTIF(range, criterion)</t>
  </si>
  <si>
    <t>COUNTIFS (7)</t>
  </si>
  <si>
    <t>=COUNTIFS(criteria_range1, criterion1, [criteria_range2, …], [criterion2, …])</t>
  </si>
  <si>
    <t>AVERAGEIF (8)</t>
  </si>
  <si>
    <t>=AVERAGEIF(range, criterion)</t>
  </si>
  <si>
    <t>AVERAGEIFS (9)</t>
  </si>
  <si>
    <t>=AVERAGEIFS(average_range, criteria_range1, criterion1, [criteria_range2, …], [criterion2, …])</t>
  </si>
  <si>
    <t>SUMIF (10)</t>
  </si>
  <si>
    <t>=SUMIF(range, criterion)</t>
  </si>
  <si>
    <t>SUMIFS (11)</t>
  </si>
  <si>
    <t>=SUMIFS(sum_range, criteria_range1, criterion1, [criteria_range2, …], [criterion2, …])</t>
  </si>
  <si>
    <t>True or False (3)</t>
  </si>
  <si>
    <t>Yes or No (2) + (4)</t>
  </si>
  <si>
    <t>Female and &gt;45</t>
  </si>
  <si>
    <t>Male or &lt;=45</t>
  </si>
  <si>
    <t>Rigoberto Montoya</t>
  </si>
  <si>
    <t>Valentine Ramirez</t>
  </si>
  <si>
    <t>Benedict Carney</t>
  </si>
  <si>
    <t>Lisa Villa</t>
  </si>
  <si>
    <t>Beverly Landry</t>
  </si>
  <si>
    <t>Raquel Pierce</t>
  </si>
  <si>
    <t>Melba Beasly</t>
  </si>
  <si>
    <t>Name</t>
  </si>
  <si>
    <t>Marital Status</t>
  </si>
  <si>
    <t>Number of females</t>
  </si>
  <si>
    <t>Married</t>
  </si>
  <si>
    <t>Number of individuals over 45</t>
  </si>
  <si>
    <t>Number of males of 45 or less</t>
  </si>
  <si>
    <t>Charlotte King</t>
  </si>
  <si>
    <t>Single</t>
  </si>
  <si>
    <t>Average age of females</t>
  </si>
  <si>
    <t>Clara Spencer</t>
  </si>
  <si>
    <t>Average males over 45 salaries</t>
  </si>
  <si>
    <t>Clarence Kirby</t>
  </si>
  <si>
    <t>Sum of females' salaries</t>
  </si>
  <si>
    <t>(10)</t>
  </si>
  <si>
    <t>Emery Reid</t>
  </si>
  <si>
    <t>Sum of females under 41 salaries</t>
  </si>
  <si>
    <t>(11)</t>
  </si>
  <si>
    <t>Ernest Vaughn</t>
  </si>
  <si>
    <t>Frances Camacho</t>
  </si>
  <si>
    <t>Horacio Fisher</t>
  </si>
  <si>
    <t>Jaime Compton</t>
  </si>
  <si>
    <t>Jed Bauer</t>
  </si>
  <si>
    <t>Martin Beasley</t>
  </si>
  <si>
    <t>Melba Buchanan</t>
  </si>
  <si>
    <t>Phyllis Jefferson</t>
  </si>
  <si>
    <t>Terra Greer</t>
  </si>
  <si>
    <t>Valarie Thornton</t>
  </si>
  <si>
    <t>FORMATTING &amp; SORTING</t>
  </si>
  <si>
    <t>Task:</t>
  </si>
  <si>
    <t>1) Split Names into First and Last Names using 'Split text to column' under 'Data' in the menu bar --&gt; Hint: You will need to insert a column first</t>
  </si>
  <si>
    <t>2) Format Salary with currency in South African Rand and no decimals --&gt; example R1234</t>
  </si>
  <si>
    <t>3) Add an Annual Salary column</t>
  </si>
  <si>
    <t>4) Format phone number as (123) 456-789</t>
  </si>
  <si>
    <r>
      <rPr>
        <rFont val="Arial"/>
        <strike/>
        <color theme="1"/>
        <sz val="10.0"/>
      </rPr>
      <t xml:space="preserve">5) Make the header </t>
    </r>
    <r>
      <rPr>
        <rFont val="Arial"/>
        <b/>
        <strike/>
        <color theme="1"/>
        <sz val="10.0"/>
      </rPr>
      <t>Bold</t>
    </r>
    <r>
      <rPr>
        <rFont val="Arial"/>
        <strike/>
        <color theme="1"/>
        <sz val="10.0"/>
      </rPr>
      <t xml:space="preserve"> and align it to the center                                                        </t>
    </r>
  </si>
  <si>
    <t>6) Add borders</t>
  </si>
  <si>
    <t>7) Add alternating colors for each row</t>
  </si>
  <si>
    <t>8) Using conditional formatting - Highlight ages over 45</t>
  </si>
  <si>
    <t>9) Adjust the columns width to ensure everything fits</t>
  </si>
  <si>
    <t>10) Sort the table by alphabetical order using the first name</t>
  </si>
  <si>
    <t>11) Filter out individuals who have 3 children or more</t>
  </si>
  <si>
    <t>Phone</t>
  </si>
  <si>
    <t>Education</t>
  </si>
  <si>
    <t>Number of Children</t>
  </si>
  <si>
    <t>Miami</t>
  </si>
  <si>
    <t>FL</t>
  </si>
  <si>
    <t>Master</t>
  </si>
  <si>
    <t>Los Angeles</t>
  </si>
  <si>
    <t>CA</t>
  </si>
  <si>
    <t>Primary</t>
  </si>
  <si>
    <t>Tampa</t>
  </si>
  <si>
    <t>Upper secondary</t>
  </si>
  <si>
    <t>Dallas</t>
  </si>
  <si>
    <t>TX</t>
  </si>
  <si>
    <t>Athens</t>
  </si>
  <si>
    <t>GA</t>
  </si>
  <si>
    <t>Lower secondary</t>
  </si>
  <si>
    <t>Seatle</t>
  </si>
  <si>
    <t>WA</t>
  </si>
  <si>
    <t>Doctoral</t>
  </si>
  <si>
    <t>Boston</t>
  </si>
  <si>
    <t>MA</t>
  </si>
  <si>
    <t>New York</t>
  </si>
  <si>
    <t>NY</t>
  </si>
  <si>
    <t>Detroit</t>
  </si>
  <si>
    <t>MI</t>
  </si>
  <si>
    <t>Raleigh</t>
  </si>
  <si>
    <t>NC</t>
  </si>
  <si>
    <t>San Francisco</t>
  </si>
  <si>
    <t>Bachelor</t>
  </si>
  <si>
    <t>Chicago</t>
  </si>
  <si>
    <t>IL</t>
  </si>
  <si>
    <t>Washington</t>
  </si>
  <si>
    <t>DC</t>
  </si>
  <si>
    <t>Houston</t>
  </si>
  <si>
    <t>Porltland</t>
  </si>
  <si>
    <t>OR</t>
  </si>
  <si>
    <t>Phoenix</t>
  </si>
  <si>
    <t>AZ</t>
  </si>
  <si>
    <t>Las Vegas</t>
  </si>
  <si>
    <t>NV</t>
  </si>
  <si>
    <t>Austin</t>
  </si>
  <si>
    <t>Monthly Expenses</t>
  </si>
  <si>
    <t>Month</t>
  </si>
  <si>
    <t>diciembre 2017</t>
  </si>
  <si>
    <t>Actuales</t>
  </si>
  <si>
    <t>Monthly Budget</t>
  </si>
  <si>
    <t>Differences</t>
  </si>
  <si>
    <t>Total income</t>
  </si>
  <si>
    <t>Paycheck</t>
  </si>
  <si>
    <t>Freelance</t>
  </si>
  <si>
    <t>Total Expenses</t>
  </si>
  <si>
    <t>House</t>
  </si>
  <si>
    <t>Home Improvements</t>
  </si>
  <si>
    <t>Mortgage</t>
  </si>
  <si>
    <t>Bills</t>
  </si>
  <si>
    <t>Utilities</t>
  </si>
  <si>
    <t>Food</t>
  </si>
  <si>
    <t>Groceries</t>
  </si>
  <si>
    <t>Eating out</t>
  </si>
  <si>
    <t>Coffee</t>
  </si>
  <si>
    <t>Vehicle</t>
  </si>
  <si>
    <t>Auto and gas</t>
  </si>
  <si>
    <t>Parking</t>
  </si>
  <si>
    <t>Donations</t>
  </si>
  <si>
    <t>Charity</t>
  </si>
  <si>
    <t>Miscelaneous</t>
  </si>
  <si>
    <t>Travel</t>
  </si>
  <si>
    <t>Stuff</t>
  </si>
  <si>
    <t>Classes</t>
  </si>
  <si>
    <t>Gear and clothing</t>
  </si>
  <si>
    <t>Subscriptions</t>
  </si>
  <si>
    <t>Net Income/Savings</t>
  </si>
  <si>
    <t>Date</t>
  </si>
  <si>
    <t>Description</t>
  </si>
  <si>
    <t>Category</t>
  </si>
  <si>
    <t>Amount</t>
  </si>
  <si>
    <t>Account #</t>
  </si>
  <si>
    <t>Account</t>
  </si>
  <si>
    <t>Owner</t>
  </si>
  <si>
    <t>Methow Conservancy</t>
  </si>
  <si>
    <t>xxxx3244</t>
  </si>
  <si>
    <t>Family Checking</t>
  </si>
  <si>
    <t>Family</t>
  </si>
  <si>
    <t>Zeitgeist Coffee, Seattle, WA</t>
  </si>
  <si>
    <t>xxxx1561</t>
  </si>
  <si>
    <t>xxxx1005</t>
  </si>
  <si>
    <t>Dad - American Express</t>
  </si>
  <si>
    <t>Dad</t>
  </si>
  <si>
    <t>Shell Oil, Auto Fuel Dispenser</t>
  </si>
  <si>
    <t>Auto and Gas</t>
  </si>
  <si>
    <t>xxxx3827</t>
  </si>
  <si>
    <t>Dad - Mastercard Credit Card</t>
  </si>
  <si>
    <t>Winthrop Mountain Sports Winthrop, WA</t>
  </si>
  <si>
    <t>Gear and Clothing</t>
  </si>
  <si>
    <t>xxxx3499</t>
  </si>
  <si>
    <t>xxxx5345</t>
  </si>
  <si>
    <t>Mom - Mastercard Credit Card</t>
  </si>
  <si>
    <t>Mom</t>
  </si>
  <si>
    <t>Toyota of Seattle, Seattle, WA</t>
  </si>
  <si>
    <t>Daughter - Visa Credit Card</t>
  </si>
  <si>
    <t>Daughter</t>
  </si>
  <si>
    <t>Amazon.com</t>
  </si>
  <si>
    <t>xxxx2387</t>
  </si>
  <si>
    <t>Mom - Visa Credit Card</t>
  </si>
  <si>
    <t>Chase Bank Mortgage</t>
  </si>
  <si>
    <t>Dad - Visa Credit Card</t>
  </si>
  <si>
    <t>Audible</t>
  </si>
  <si>
    <t>Storyville Coffee, Seattle, WA</t>
  </si>
  <si>
    <t>Eating Out</t>
  </si>
  <si>
    <t>Hank's Harvest Foodstwisp WA</t>
  </si>
  <si>
    <t>Ikea Seattle, Renton, WA</t>
  </si>
  <si>
    <t>Itunes.com</t>
  </si>
  <si>
    <t>Mazama Store, Mazama</t>
  </si>
  <si>
    <t>New York Times Digital</t>
  </si>
  <si>
    <t>Roadpost Usa</t>
  </si>
  <si>
    <t>Chevron Service Stn</t>
  </si>
  <si>
    <t>Texaco Service Stn</t>
  </si>
  <si>
    <t>Costco Gas, Burlington</t>
  </si>
  <si>
    <t>Dropbox</t>
  </si>
  <si>
    <t>Zoka Coffee Roa, Seattle, WA</t>
  </si>
  <si>
    <t>Okanogan County Energy, Winthrop, WA</t>
  </si>
  <si>
    <t>Alaska Air</t>
  </si>
  <si>
    <t>Seattle YMCA</t>
  </si>
  <si>
    <t>Trader Joe's #130, Seattle</t>
  </si>
  <si>
    <t>Tiller (tillerhq.com)</t>
  </si>
  <si>
    <t>Alaska Wilderness League</t>
  </si>
  <si>
    <t>Big Star Montessori</t>
  </si>
  <si>
    <t>PCC Natural Market - Issaquah WA</t>
  </si>
  <si>
    <t>Etsy</t>
  </si>
  <si>
    <t>Espresso Vivace Seattle, Seattle, WA</t>
  </si>
  <si>
    <t>The Essential Baking Co, Seattle, WA</t>
  </si>
  <si>
    <t>AT&amp;T</t>
  </si>
  <si>
    <t>Centurylink</t>
  </si>
  <si>
    <t>Portage Bay Cafe and Cate, Seattle, WA</t>
  </si>
  <si>
    <t>Whole Foods - Seattle WA</t>
  </si>
  <si>
    <t>REI, Store 11, Seattle</t>
  </si>
  <si>
    <t>Union Garage</t>
  </si>
  <si>
    <t>Evergreen Iga Market</t>
  </si>
  <si>
    <t>Glover Street Market</t>
  </si>
  <si>
    <t>Home Depot</t>
  </si>
  <si>
    <t>United Way</t>
  </si>
  <si>
    <t>Khan Academy</t>
  </si>
  <si>
    <t>North Valley Lumber</t>
  </si>
  <si>
    <t>December 2017</t>
  </si>
  <si>
    <t>EXPENSES BY FAMILY MEMBER</t>
  </si>
  <si>
    <t>Income</t>
  </si>
  <si>
    <t>Expense</t>
  </si>
  <si>
    <t>EXPENSES BY MONTH</t>
  </si>
  <si>
    <t>January 2018</t>
  </si>
  <si>
    <t>February 2018</t>
  </si>
  <si>
    <t>Expenses</t>
  </si>
  <si>
    <t>enero 2018</t>
  </si>
  <si>
    <t>MONTHLY EXPENSES</t>
  </si>
  <si>
    <t>Actual</t>
  </si>
  <si>
    <t>Difference</t>
  </si>
  <si>
    <t>TOTAL INCOME</t>
  </si>
  <si>
    <t>TOTAL EXPENSES</t>
  </si>
  <si>
    <t>NET INCOME/SAVINGS</t>
  </si>
  <si>
    <t>Date Formatted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</si>
</sst>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1">
    <numFmt numFmtId="164" formatCode="&quot;$&quot;#,##0.00"/>
    <numFmt numFmtId="165" formatCode="#,##0.00\ [$€-1]"/>
    <numFmt numFmtId="166" formatCode="_(&quot;$&quot;* #,##0.00_);_(&quot;$&quot;* \(#,##0.00\);_(&quot;$&quot;* &quot;-&quot;??_);_(@_)"/>
    <numFmt numFmtId="167" formatCode="#,##0.00;(#,##0.00)"/>
    <numFmt numFmtId="168" formatCode="m/d/yyyy"/>
    <numFmt numFmtId="169" formatCode="d/m/yyyy"/>
    <numFmt numFmtId="170" formatCode="m/d"/>
    <numFmt numFmtId="171" formatCode="d/m"/>
    <numFmt numFmtId="172" formatCode="mmmm\ d\,\ yyyy"/>
    <numFmt numFmtId="173" formatCode="mmmm d,yyyy"/>
    <numFmt numFmtId="174" formatCode="mmm\ d\,\ yyyy"/>
    <numFmt numFmtId="175" formatCode="dddd&quot;, &quot;d&quot; de &quot;mmmm&quot; de &quot;yyyy"/>
    <numFmt numFmtId="176" formatCode="&quot;$&quot;#,##0"/>
    <numFmt numFmtId="177" formatCode="[$$]#,##0.00"/>
    <numFmt numFmtId="178" formatCode="[$R]#,##0"/>
    <numFmt numFmtId="179" formatCode="(000) 000-000"/>
    <numFmt numFmtId="180" formatCode="_-&quot;$&quot;* #,##0.00_-;_-&quot;$&quot;* \-#,##0.00_-;_-&quot;$&quot;* &quot;-&quot;??_-;_-@"/>
    <numFmt numFmtId="181" formatCode="D/M/YYYY"/>
    <numFmt numFmtId="182" formatCode="mmmm\ yyyy"/>
    <numFmt numFmtId="183" formatCode="m/d/yyyy\ h:mm:ss"/>
    <numFmt numFmtId="184" formatCode="mmm&quot; &quot;yyyy"/>
  </numFmts>
  <fonts count="25">
    <font>
      <sz val="10.0"/>
      <color rgb="FF000000"/>
      <name val="Arial"/>
      <scheme val="minor"/>
    </font>
    <font>
      <b/>
      <u/>
      <sz val="14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FFFF00"/>
      <name val="Arial"/>
    </font>
    <font>
      <b/>
      <u/>
      <sz val="10.0"/>
      <color theme="1"/>
      <name val="Arial"/>
    </font>
    <font>
      <sz val="12.0"/>
      <color theme="1"/>
      <name val="Arial"/>
    </font>
    <font>
      <i/>
      <sz val="10.0"/>
      <color theme="1"/>
      <name val="Arial"/>
    </font>
    <font>
      <strike/>
      <sz val="10.0"/>
      <color theme="1"/>
      <name val="Arial"/>
    </font>
    <font>
      <b/>
      <i/>
      <strike/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>
      <sz val="10.0"/>
      <color rgb="FF0000FF"/>
      <name val="Arial"/>
    </font>
    <font>
      <sz val="10.0"/>
      <color rgb="FFFF0000"/>
      <name val="Arial"/>
    </font>
    <font/>
    <font>
      <b/>
      <u/>
      <sz val="14.0"/>
      <color theme="1"/>
      <name val="Arial"/>
    </font>
    <font>
      <b/>
      <u/>
      <sz val="10.0"/>
      <color theme="1"/>
      <name val="Arial"/>
    </font>
    <font>
      <b/>
      <color theme="1"/>
      <name val="Arial"/>
      <scheme val="minor"/>
    </font>
    <font>
      <color theme="1"/>
      <name val="Arial"/>
    </font>
    <font>
      <sz val="11.0"/>
      <color theme="1"/>
      <name val="Arial"/>
    </font>
    <font>
      <b/>
      <sz val="15.0"/>
      <color theme="1"/>
      <name val="Arial"/>
      <scheme val="minor"/>
    </font>
    <font>
      <b/>
      <sz val="11.0"/>
      <color theme="1"/>
      <name val="Arial"/>
      <scheme val="minor"/>
    </font>
    <font>
      <b/>
      <sz val="11.0"/>
      <color theme="1"/>
      <name val="Arial"/>
    </font>
    <font>
      <sz val="10.0"/>
      <color rgb="FFFFFFFF"/>
      <name val="Overpass"/>
    </font>
    <font>
      <b/>
      <i/>
      <sz val="10.0"/>
      <color theme="1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06666"/>
        <bgColor rgb="FFE06666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D5A6BD"/>
        <bgColor rgb="FFD5A6BD"/>
      </patternFill>
    </fill>
    <fill>
      <patternFill patternType="solid">
        <fgColor theme="4"/>
        <bgColor theme="4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2E86DE"/>
        <bgColor rgb="FF2E86DE"/>
      </patternFill>
    </fill>
    <fill>
      <patternFill patternType="solid">
        <fgColor rgb="FFB7E1CD"/>
        <bgColor rgb="FFB7E1CD"/>
      </patternFill>
    </fill>
    <fill>
      <patternFill patternType="solid">
        <fgColor rgb="FFFEF8E3"/>
        <bgColor rgb="FFFEF8E3"/>
      </patternFill>
    </fill>
    <fill>
      <patternFill patternType="solid">
        <fgColor rgb="FFF9CB9C"/>
        <bgColor rgb="FFF9CB9C"/>
      </patternFill>
    </fill>
    <fill>
      <patternFill patternType="solid">
        <fgColor rgb="FFFFE6DD"/>
        <bgColor rgb="FFFFE6DD"/>
      </patternFill>
    </fill>
    <fill>
      <patternFill patternType="solid">
        <fgColor rgb="FFF6B26B"/>
        <bgColor rgb="FFF6B26B"/>
      </patternFill>
    </fill>
  </fills>
  <borders count="4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/>
    </border>
    <border>
      <top style="thick">
        <color rgb="FF000000"/>
      </top>
      <bottom/>
    </border>
    <border>
      <right style="thick">
        <color rgb="FF000000"/>
      </right>
      <top style="thick">
        <color rgb="FF000000"/>
      </top>
      <bottom/>
    </border>
    <border>
      <left style="thick">
        <color rgb="FF000000"/>
      </left>
      <top/>
      <bottom/>
    </border>
    <border>
      <right style="thick">
        <color rgb="FF000000"/>
      </right>
      <top/>
      <bottom/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bottom style="double">
        <color rgb="FF000000"/>
      </bottom>
    </border>
    <border>
      <left style="thick">
        <color rgb="FF000000"/>
      </left>
      <right style="thick">
        <color rgb="FF000000"/>
      </right>
      <top/>
      <bottom style="double">
        <color rgb="FF000000"/>
      </bottom>
    </border>
    <border>
      <left style="thick">
        <color rgb="FF000000"/>
      </left>
      <right style="thick">
        <color rgb="FF000000"/>
      </right>
      <top style="double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double">
        <color rgb="FF000000"/>
      </top>
    </border>
    <border>
      <left style="thick">
        <color rgb="FF000000"/>
      </left>
      <right style="thick">
        <color rgb="FF000000"/>
      </right>
      <top style="double">
        <color rgb="FF000000"/>
      </top>
      <bottom/>
    </border>
    <border>
      <left style="thick">
        <color rgb="FF000000"/>
      </left>
      <right style="thick">
        <color rgb="FF000000"/>
      </right>
      <top style="double">
        <color rgb="FF000000"/>
      </top>
      <bottom style="double">
        <color rgb="FF000000"/>
      </bottom>
    </border>
    <border>
      <left style="thick">
        <color rgb="FF000000"/>
      </left>
      <right style="thick">
        <color rgb="FF000000"/>
      </right>
      <top/>
      <bottom/>
    </border>
  </borders>
  <cellStyleXfs count="1">
    <xf borderId="0" fillId="0" fontId="0" numFmtId="0" applyAlignment="1" applyFont="1"/>
  </cellStyleXfs>
  <cellXfs count="2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Border="1" applyFill="1" applyFont="1"/>
    <xf borderId="1" fillId="2" fontId="3" numFmtId="0" xfId="0" applyBorder="1" applyFont="1"/>
    <xf borderId="0" fillId="0" fontId="2" numFmtId="0" xfId="0" applyFont="1"/>
    <xf borderId="1" fillId="3" fontId="4" numFmtId="0" xfId="0" applyAlignment="1" applyBorder="1" applyFill="1" applyFont="1">
      <alignment horizontal="left"/>
    </xf>
    <xf borderId="1" fillId="3" fontId="3" numFmtId="0" xfId="0" applyBorder="1" applyFont="1"/>
    <xf borderId="2" fillId="4" fontId="3" numFmtId="0" xfId="0" applyAlignment="1" applyBorder="1" applyFill="1" applyFont="1">
      <alignment horizontal="center"/>
    </xf>
    <xf borderId="0" fillId="0" fontId="5" numFmtId="0" xfId="0" applyAlignment="1" applyFont="1">
      <alignment horizontal="center"/>
    </xf>
    <xf borderId="0" fillId="0" fontId="3" numFmtId="0" xfId="0" applyAlignment="1" applyFont="1">
      <alignment horizontal="left"/>
    </xf>
    <xf borderId="1" fillId="5" fontId="6" numFmtId="0" xfId="0" applyAlignment="1" applyBorder="1" applyFill="1" applyFont="1">
      <alignment readingOrder="0"/>
    </xf>
    <xf borderId="0" fillId="0" fontId="2" numFmtId="0" xfId="0" applyAlignment="1" applyFont="1">
      <alignment horizontal="left"/>
    </xf>
    <xf borderId="1" fillId="5" fontId="2" numFmtId="0" xfId="0" applyAlignment="1" applyBorder="1" applyFont="1">
      <alignment readingOrder="0"/>
    </xf>
    <xf borderId="0" fillId="0" fontId="7" numFmtId="0" xfId="0" applyFont="1"/>
    <xf borderId="0" fillId="0" fontId="7" numFmtId="0" xfId="0" applyAlignment="1" applyFont="1">
      <alignment horizontal="left"/>
    </xf>
    <xf borderId="1" fillId="5" fontId="7" numFmtId="0" xfId="0" applyAlignment="1" applyBorder="1" applyFont="1">
      <alignment readingOrder="0"/>
    </xf>
    <xf borderId="0" fillId="0" fontId="8" numFmtId="0" xfId="0" applyFont="1"/>
    <xf borderId="0" fillId="0" fontId="8" numFmtId="0" xfId="0" applyAlignment="1" applyFont="1">
      <alignment horizontal="left"/>
    </xf>
    <xf borderId="1" fillId="5" fontId="8" numFmtId="0" xfId="0" applyAlignment="1" applyBorder="1" applyFont="1">
      <alignment readingOrder="0"/>
    </xf>
    <xf borderId="0" fillId="0" fontId="9" numFmtId="0" xfId="0" applyFont="1"/>
    <xf borderId="0" fillId="0" fontId="9" numFmtId="0" xfId="0" applyAlignment="1" applyFont="1">
      <alignment horizontal="left"/>
    </xf>
    <xf borderId="1" fillId="5" fontId="9" numFmtId="0" xfId="0" applyAlignment="1" applyBorder="1" applyFont="1">
      <alignment readingOrder="0"/>
    </xf>
    <xf borderId="0" fillId="0" fontId="3" numFmtId="0" xfId="0" applyFont="1"/>
    <xf borderId="0" fillId="0" fontId="3" numFmtId="0" xfId="0" applyAlignment="1" applyFont="1">
      <alignment horizontal="right"/>
    </xf>
    <xf borderId="1" fillId="5" fontId="3" numFmtId="0" xfId="0" applyAlignment="1" applyBorder="1" applyFont="1">
      <alignment readingOrder="0"/>
    </xf>
    <xf borderId="1" fillId="5" fontId="3" numFmtId="3" xfId="0" applyAlignment="1" applyBorder="1" applyFont="1" applyNumberFormat="1">
      <alignment readingOrder="0"/>
    </xf>
    <xf borderId="1" fillId="6" fontId="10" numFmtId="0" xfId="0" applyBorder="1" applyFill="1" applyFont="1"/>
    <xf borderId="1" fillId="6" fontId="3" numFmtId="0" xfId="0" applyBorder="1" applyFont="1"/>
    <xf borderId="0" fillId="0" fontId="3" numFmtId="10" xfId="0" applyAlignment="1" applyFont="1" applyNumberFormat="1">
      <alignment horizontal="right"/>
    </xf>
    <xf borderId="0" fillId="0" fontId="3" numFmtId="164" xfId="0" applyAlignment="1" applyFont="1" applyNumberFormat="1">
      <alignment horizontal="right"/>
    </xf>
    <xf borderId="1" fillId="5" fontId="3" numFmtId="165" xfId="0" applyAlignment="1" applyBorder="1" applyFont="1" applyNumberFormat="1">
      <alignment readingOrder="0"/>
    </xf>
    <xf borderId="0" fillId="0" fontId="3" numFmtId="166" xfId="0" applyAlignment="1" applyFont="1" applyNumberFormat="1">
      <alignment horizontal="right"/>
    </xf>
    <xf borderId="1" fillId="5" fontId="3" numFmtId="167" xfId="0" applyAlignment="1" applyBorder="1" applyFont="1" applyNumberFormat="1">
      <alignment readingOrder="0"/>
    </xf>
    <xf borderId="0" fillId="0" fontId="3" numFmtId="11" xfId="0" applyAlignment="1" applyFont="1" applyNumberFormat="1">
      <alignment horizontal="right"/>
    </xf>
    <xf borderId="1" fillId="5" fontId="3" numFmtId="11" xfId="0" applyAlignment="1" applyBorder="1" applyFont="1" applyNumberFormat="1">
      <alignment readingOrder="0"/>
    </xf>
    <xf borderId="0" fillId="0" fontId="3" numFmtId="168" xfId="0" applyFont="1" applyNumberFormat="1"/>
    <xf borderId="1" fillId="5" fontId="3" numFmtId="169" xfId="0" applyAlignment="1" applyBorder="1" applyFont="1" applyNumberFormat="1">
      <alignment readingOrder="0"/>
    </xf>
    <xf borderId="0" fillId="0" fontId="11" numFmtId="169" xfId="0" applyAlignment="1" applyFont="1" applyNumberFormat="1">
      <alignment readingOrder="0"/>
    </xf>
    <xf borderId="0" fillId="0" fontId="3" numFmtId="170" xfId="0" applyFont="1" applyNumberFormat="1"/>
    <xf borderId="1" fillId="5" fontId="3" numFmtId="171" xfId="0" applyAlignment="1" applyBorder="1" applyFont="1" applyNumberFormat="1">
      <alignment readingOrder="0"/>
    </xf>
    <xf borderId="0" fillId="0" fontId="3" numFmtId="172" xfId="0" applyFont="1" applyNumberFormat="1"/>
    <xf borderId="1" fillId="5" fontId="3" numFmtId="173" xfId="0" applyAlignment="1" applyBorder="1" applyFont="1" applyNumberFormat="1">
      <alignment readingOrder="0"/>
    </xf>
    <xf borderId="0" fillId="0" fontId="3" numFmtId="174" xfId="0" applyFont="1" applyNumberFormat="1"/>
    <xf borderId="1" fillId="5" fontId="3" numFmtId="175" xfId="0" applyAlignment="1" applyBorder="1" applyFont="1" applyNumberFormat="1">
      <alignment readingOrder="0"/>
    </xf>
    <xf quotePrefix="1" borderId="0" fillId="0" fontId="3" numFmtId="0" xfId="0" applyAlignment="1" applyFont="1">
      <alignment horizontal="left"/>
    </xf>
    <xf borderId="1" fillId="5" fontId="3" numFmtId="0" xfId="0" applyBorder="1" applyFont="1"/>
    <xf quotePrefix="1" borderId="0" fillId="0" fontId="3" numFmtId="0" xfId="0" applyFont="1"/>
    <xf borderId="1" fillId="5" fontId="3" numFmtId="0" xfId="0" applyAlignment="1" applyBorder="1" applyFont="1">
      <alignment horizontal="left" readingOrder="0"/>
    </xf>
    <xf borderId="0" fillId="0" fontId="3" numFmtId="0" xfId="0" applyAlignment="1" applyFont="1">
      <alignment horizontal="center"/>
    </xf>
    <xf borderId="1" fillId="5" fontId="3" numFmtId="0" xfId="0" applyAlignment="1" applyBorder="1" applyFont="1">
      <alignment horizontal="center" readingOrder="0"/>
    </xf>
    <xf borderId="1" fillId="5" fontId="3" numFmtId="0" xfId="0" applyAlignment="1" applyBorder="1" applyFont="1">
      <alignment horizontal="right" readingOrder="0"/>
    </xf>
    <xf borderId="0" fillId="0" fontId="3" numFmtId="0" xfId="0" applyAlignment="1" applyFont="1">
      <alignment vertical="top"/>
    </xf>
    <xf borderId="1" fillId="5" fontId="3" numFmtId="0" xfId="0" applyAlignment="1" applyBorder="1" applyFont="1">
      <alignment readingOrder="0" vertical="top"/>
    </xf>
    <xf borderId="0" fillId="0" fontId="3" numFmtId="0" xfId="0" applyAlignment="1" applyFont="1">
      <alignment vertical="center"/>
    </xf>
    <xf borderId="1" fillId="5" fontId="3" numFmtId="0" xfId="0" applyAlignment="1" applyBorder="1" applyFont="1">
      <alignment readingOrder="0" vertical="center"/>
    </xf>
    <xf borderId="0" fillId="0" fontId="12" numFmtId="0" xfId="0" applyFont="1"/>
    <xf borderId="1" fillId="5" fontId="13" numFmtId="0" xfId="0" applyAlignment="1" applyBorder="1" applyFont="1">
      <alignment readingOrder="0"/>
    </xf>
    <xf borderId="1" fillId="7" fontId="3" numFmtId="0" xfId="0" applyBorder="1" applyFill="1" applyFont="1"/>
    <xf borderId="1" fillId="8" fontId="3" numFmtId="0" xfId="0" applyAlignment="1" applyBorder="1" applyFill="1" applyFont="1">
      <alignment readingOrder="0"/>
    </xf>
    <xf borderId="0" fillId="0" fontId="3" numFmtId="0" xfId="0" applyAlignment="1" applyFont="1">
      <alignment shrinkToFit="0" wrapText="1"/>
    </xf>
    <xf borderId="1" fillId="5" fontId="3" numFmtId="0" xfId="0" applyAlignment="1" applyBorder="1" applyFont="1">
      <alignment readingOrder="0" shrinkToFit="0" wrapText="1"/>
    </xf>
    <xf borderId="0" fillId="0" fontId="3" numFmtId="0" xfId="0" applyAlignment="1" applyFont="1">
      <alignment horizontal="center" vertical="center"/>
    </xf>
    <xf borderId="3" fillId="5" fontId="3" numFmtId="0" xfId="0" applyAlignment="1" applyBorder="1" applyFont="1">
      <alignment readingOrder="0"/>
    </xf>
    <xf borderId="4" fillId="0" fontId="14" numFmtId="0" xfId="0" applyBorder="1" applyFont="1"/>
    <xf borderId="5" fillId="0" fontId="3" numFmtId="0" xfId="0" applyBorder="1" applyFont="1"/>
    <xf borderId="6" fillId="5" fontId="3" numFmtId="0" xfId="0" applyAlignment="1" applyBorder="1" applyFont="1">
      <alignment readingOrder="0"/>
    </xf>
    <xf borderId="7" fillId="0" fontId="3" numFmtId="0" xfId="0" applyBorder="1" applyFont="1"/>
    <xf borderId="8" fillId="5" fontId="3" numFmtId="0" xfId="0" applyBorder="1" applyFont="1"/>
    <xf quotePrefix="1" borderId="0" fillId="0" fontId="3" numFmtId="0" xfId="0" applyAlignment="1" applyFont="1">
      <alignment horizontal="center"/>
    </xf>
    <xf borderId="0" fillId="9" fontId="2" numFmtId="0" xfId="0" applyAlignment="1" applyFill="1" applyFont="1">
      <alignment horizontal="center"/>
    </xf>
    <xf borderId="0" fillId="10" fontId="3" numFmtId="0" xfId="0" applyFill="1" applyFont="1"/>
    <xf borderId="0" fillId="10" fontId="3" numFmtId="164" xfId="0" applyFont="1" applyNumberFormat="1"/>
    <xf borderId="0" fillId="10" fontId="3" numFmtId="0" xfId="0" applyAlignment="1" applyFont="1">
      <alignment horizontal="center"/>
    </xf>
    <xf borderId="0" fillId="5" fontId="3" numFmtId="0" xfId="0" applyAlignment="1" applyFont="1">
      <alignment horizontal="center"/>
    </xf>
    <xf borderId="0" fillId="0" fontId="3" numFmtId="164" xfId="0" applyFont="1" applyNumberFormat="1"/>
    <xf borderId="0" fillId="0" fontId="2" numFmtId="0" xfId="0" applyAlignment="1" applyFont="1">
      <alignment horizontal="right"/>
    </xf>
    <xf borderId="1" fillId="11" fontId="2" numFmtId="9" xfId="0" applyAlignment="1" applyBorder="1" applyFill="1" applyFont="1" applyNumberFormat="1">
      <alignment horizontal="center"/>
    </xf>
    <xf borderId="0" fillId="10" fontId="3" numFmtId="164" xfId="0" applyAlignment="1" applyFont="1" applyNumberFormat="1">
      <alignment horizontal="right"/>
    </xf>
    <xf borderId="1" fillId="11" fontId="2" numFmtId="0" xfId="0" applyAlignment="1" applyBorder="1" applyFont="1">
      <alignment horizontal="center" readingOrder="0"/>
    </xf>
    <xf borderId="0" fillId="0" fontId="15" numFmtId="0" xfId="0" applyFont="1"/>
    <xf quotePrefix="1" borderId="9" fillId="12" fontId="2" numFmtId="0" xfId="0" applyAlignment="1" applyBorder="1" applyFill="1" applyFont="1">
      <alignment vertical="center"/>
    </xf>
    <xf borderId="10" fillId="0" fontId="14" numFmtId="0" xfId="0" applyBorder="1" applyFont="1"/>
    <xf borderId="2" fillId="11" fontId="2" numFmtId="0" xfId="0" applyBorder="1" applyFont="1"/>
    <xf quotePrefix="1" borderId="11" fillId="11" fontId="3" numFmtId="0" xfId="0" applyBorder="1" applyFont="1"/>
    <xf borderId="12" fillId="0" fontId="14" numFmtId="0" xfId="0" applyBorder="1" applyFont="1"/>
    <xf borderId="13" fillId="0" fontId="14" numFmtId="0" xfId="0" applyBorder="1" applyFont="1"/>
    <xf borderId="1" fillId="13" fontId="3" numFmtId="0" xfId="0" applyBorder="1" applyFill="1" applyFont="1"/>
    <xf borderId="0" fillId="0" fontId="16" numFmtId="0" xfId="0" applyFont="1"/>
    <xf borderId="0" fillId="9" fontId="2" numFmtId="0" xfId="0" applyFont="1"/>
    <xf borderId="0" fillId="10" fontId="3" numFmtId="176" xfId="0" applyFont="1" applyNumberFormat="1"/>
    <xf borderId="1" fillId="5" fontId="3" numFmtId="177" xfId="0" applyBorder="1" applyFont="1" applyNumberFormat="1"/>
    <xf borderId="0" fillId="0" fontId="3" numFmtId="176" xfId="0" applyFont="1" applyNumberFormat="1"/>
    <xf borderId="0" fillId="0" fontId="2" numFmtId="0" xfId="0" applyAlignment="1" applyFont="1">
      <alignment horizontal="center"/>
    </xf>
    <xf borderId="1" fillId="5" fontId="3" numFmtId="176" xfId="0" applyBorder="1" applyFont="1" applyNumberFormat="1"/>
    <xf borderId="11" fillId="11" fontId="3" numFmtId="0" xfId="0" applyBorder="1" applyFont="1"/>
    <xf borderId="0" fillId="9" fontId="17" numFmtId="0" xfId="0" applyAlignment="1" applyFont="1">
      <alignment readingOrder="0"/>
    </xf>
    <xf borderId="0" fillId="10" fontId="1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1" numFmtId="0" xfId="0" applyAlignment="1" applyFont="1">
      <alignment readingOrder="0"/>
    </xf>
    <xf borderId="1" fillId="13" fontId="2" numFmtId="0" xfId="0" applyAlignment="1" applyBorder="1" applyFont="1">
      <alignment horizontal="right"/>
    </xf>
    <xf borderId="1" fillId="5" fontId="3" numFmtId="0" xfId="0" applyAlignment="1" applyBorder="1" applyFont="1">
      <alignment horizontal="center"/>
    </xf>
    <xf borderId="0" fillId="0" fontId="3" numFmtId="168" xfId="0" applyAlignment="1" applyFont="1" applyNumberFormat="1">
      <alignment horizontal="center"/>
    </xf>
    <xf borderId="0" fillId="0" fontId="3" numFmtId="169" xfId="0" applyAlignment="1" applyFont="1" applyNumberFormat="1">
      <alignment horizontal="center" readingOrder="0"/>
    </xf>
    <xf borderId="1" fillId="5" fontId="3" numFmtId="4" xfId="0" applyBorder="1" applyFont="1" applyNumberFormat="1"/>
    <xf borderId="1" fillId="5" fontId="3" numFmtId="168" xfId="0" applyBorder="1" applyFont="1" applyNumberFormat="1"/>
    <xf borderId="0" fillId="0" fontId="2" numFmtId="0" xfId="0" applyAlignment="1" applyFont="1">
      <alignment vertical="center"/>
    </xf>
    <xf borderId="0" fillId="5" fontId="18" numFmtId="0" xfId="0" applyFont="1"/>
    <xf borderId="0" fillId="5" fontId="11" numFmtId="0" xfId="0" applyFont="1"/>
    <xf borderId="14" fillId="12" fontId="2" numFmtId="0" xfId="0" applyBorder="1" applyFont="1"/>
    <xf borderId="15" fillId="12" fontId="2" numFmtId="0" xfId="0" applyBorder="1" applyFont="1"/>
    <xf borderId="16" fillId="12" fontId="2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0" fillId="5" fontId="11" numFmtId="4" xfId="0" applyFont="1" applyNumberFormat="1"/>
    <xf borderId="0" fillId="5" fontId="11" numFmtId="164" xfId="0" applyFont="1" applyNumberFormat="1"/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11" fontId="2" numFmtId="0" xfId="0" applyBorder="1" applyFont="1"/>
    <xf borderId="24" fillId="0" fontId="14" numFmtId="0" xfId="0" applyBorder="1" applyFont="1"/>
    <xf borderId="25" fillId="0" fontId="14" numFmtId="0" xfId="0" applyBorder="1" applyFont="1"/>
    <xf borderId="26" fillId="11" fontId="8" numFmtId="0" xfId="0" applyAlignment="1" applyBorder="1" applyFont="1">
      <alignment readingOrder="0"/>
    </xf>
    <xf borderId="27" fillId="0" fontId="14" numFmtId="0" xfId="0" applyBorder="1" applyFont="1"/>
    <xf borderId="26" fillId="11" fontId="8" numFmtId="0" xfId="0" applyBorder="1" applyFont="1"/>
    <xf borderId="26" fillId="11" fontId="3" numFmtId="0" xfId="0" applyAlignment="1" applyBorder="1" applyFont="1">
      <alignment readingOrder="0"/>
    </xf>
    <xf borderId="28" fillId="11" fontId="8" numFmtId="0" xfId="0" applyAlignment="1" applyBorder="1" applyFont="1">
      <alignment readingOrder="0"/>
    </xf>
    <xf borderId="29" fillId="0" fontId="14" numFmtId="0" xfId="0" applyBorder="1" applyFont="1"/>
    <xf borderId="30" fillId="0" fontId="14" numFmtId="0" xfId="0" applyBorder="1" applyFont="1"/>
    <xf borderId="31" fillId="14" fontId="2" numFmtId="0" xfId="0" applyAlignment="1" applyBorder="1" applyFill="1" applyFont="1">
      <alignment horizontal="center"/>
    </xf>
    <xf borderId="32" fillId="14" fontId="2" numFmtId="0" xfId="0" applyAlignment="1" applyBorder="1" applyFont="1">
      <alignment horizontal="center" readingOrder="0"/>
    </xf>
    <xf borderId="32" fillId="14" fontId="2" numFmtId="0" xfId="0" applyAlignment="1" applyBorder="1" applyFont="1">
      <alignment horizontal="center"/>
    </xf>
    <xf borderId="33" fillId="14" fontId="2" numFmtId="0" xfId="0" applyAlignment="1" applyBorder="1" applyFont="1">
      <alignment horizontal="center"/>
    </xf>
    <xf borderId="34" fillId="13" fontId="3" numFmtId="0" xfId="0" applyBorder="1" applyFont="1"/>
    <xf borderId="0" fillId="13" fontId="3" numFmtId="0" xfId="0" applyFont="1"/>
    <xf borderId="0" fillId="13" fontId="3" numFmtId="178" xfId="0" applyFont="1" applyNumberFormat="1"/>
    <xf borderId="0" fillId="13" fontId="3" numFmtId="179" xfId="0" applyFont="1" applyNumberFormat="1"/>
    <xf borderId="35" fillId="13" fontId="3" numFmtId="0" xfId="0" applyBorder="1" applyFont="1"/>
    <xf borderId="34" fillId="15" fontId="3" numFmtId="0" xfId="0" applyBorder="1" applyFill="1" applyFont="1"/>
    <xf borderId="0" fillId="15" fontId="3" numFmtId="0" xfId="0" applyFont="1"/>
    <xf borderId="0" fillId="15" fontId="3" numFmtId="178" xfId="0" applyFont="1" applyNumberFormat="1"/>
    <xf borderId="0" fillId="15" fontId="3" numFmtId="179" xfId="0" applyFont="1" applyNumberFormat="1"/>
    <xf borderId="35" fillId="15" fontId="3" numFmtId="0" xfId="0" applyBorder="1" applyFont="1"/>
    <xf borderId="0" fillId="13" fontId="3" numFmtId="1" xfId="0" applyFont="1" applyNumberFormat="1"/>
    <xf borderId="36" fillId="15" fontId="3" numFmtId="0" xfId="0" applyBorder="1" applyFont="1"/>
    <xf borderId="37" fillId="15" fontId="3" numFmtId="0" xfId="0" applyBorder="1" applyFont="1"/>
    <xf borderId="37" fillId="15" fontId="3" numFmtId="178" xfId="0" applyBorder="1" applyFont="1" applyNumberFormat="1"/>
    <xf borderId="37" fillId="15" fontId="3" numFmtId="179" xfId="0" applyBorder="1" applyFont="1" applyNumberFormat="1"/>
    <xf borderId="38" fillId="15" fontId="3" numFmtId="0" xfId="0" applyBorder="1" applyFont="1"/>
    <xf borderId="1" fillId="13" fontId="19" numFmtId="0" xfId="0" applyBorder="1" applyFont="1"/>
    <xf borderId="4" fillId="13" fontId="19" numFmtId="0" xfId="0" applyBorder="1" applyFont="1"/>
    <xf borderId="0" fillId="0" fontId="17" numFmtId="0" xfId="0" applyAlignment="1" applyFont="1">
      <alignment horizontal="center"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horizontal="center" readingOrder="0"/>
    </xf>
    <xf borderId="0" fillId="0" fontId="22" numFmtId="0" xfId="0" applyAlignment="1" applyFont="1">
      <alignment horizontal="center" readingOrder="0"/>
    </xf>
    <xf borderId="0" fillId="0" fontId="11" numFmtId="49" xfId="0" applyAlignment="1" applyFont="1" applyNumberFormat="1">
      <alignment readingOrder="0"/>
    </xf>
    <xf borderId="39" fillId="0" fontId="21" numFmtId="0" xfId="0" applyAlignment="1" applyBorder="1" applyFont="1">
      <alignment horizontal="center" readingOrder="0"/>
    </xf>
    <xf borderId="39" fillId="0" fontId="22" numFmtId="0" xfId="0" applyAlignment="1" applyBorder="1" applyFont="1">
      <alignment horizontal="center" readingOrder="0"/>
    </xf>
    <xf borderId="40" fillId="16" fontId="21" numFmtId="0" xfId="0" applyAlignment="1" applyBorder="1" applyFill="1" applyFont="1">
      <alignment horizontal="center" readingOrder="0"/>
    </xf>
    <xf borderId="39" fillId="0" fontId="11" numFmtId="180" xfId="0" applyBorder="1" applyFont="1" applyNumberFormat="1"/>
    <xf borderId="40" fillId="0" fontId="11" numFmtId="0" xfId="0" applyAlignment="1" applyBorder="1" applyFont="1">
      <alignment horizontal="right" readingOrder="0"/>
    </xf>
    <xf borderId="39" fillId="0" fontId="11" numFmtId="180" xfId="0" applyAlignment="1" applyBorder="1" applyFont="1" applyNumberFormat="1">
      <alignment readingOrder="0"/>
    </xf>
    <xf borderId="40" fillId="17" fontId="21" numFmtId="0" xfId="0" applyAlignment="1" applyBorder="1" applyFill="1" applyFont="1">
      <alignment horizontal="center" readingOrder="0"/>
    </xf>
    <xf borderId="40" fillId="18" fontId="17" numFmtId="0" xfId="0" applyAlignment="1" applyBorder="1" applyFill="1" applyFont="1">
      <alignment readingOrder="0"/>
    </xf>
    <xf borderId="40" fillId="19" fontId="21" numFmtId="0" xfId="0" applyAlignment="1" applyBorder="1" applyFill="1" applyFont="1">
      <alignment horizontal="center" readingOrder="0"/>
    </xf>
    <xf quotePrefix="1" borderId="1" fillId="20" fontId="23" numFmtId="49" xfId="0" applyAlignment="1" applyBorder="1" applyFill="1" applyFont="1" applyNumberFormat="1">
      <alignment horizontal="center"/>
    </xf>
    <xf borderId="1" fillId="20" fontId="23" numFmtId="0" xfId="0" applyBorder="1" applyFont="1"/>
    <xf borderId="1" fillId="20" fontId="23" numFmtId="164" xfId="0" applyAlignment="1" applyBorder="1" applyFont="1" applyNumberFormat="1">
      <alignment horizontal="center"/>
    </xf>
    <xf borderId="1" fillId="20" fontId="23" numFmtId="164" xfId="0" applyBorder="1" applyFont="1" applyNumberFormat="1"/>
    <xf borderId="0" fillId="0" fontId="3" numFmtId="181" xfId="0" applyAlignment="1" applyFont="1" applyNumberFormat="1">
      <alignment horizontal="right"/>
    </xf>
    <xf borderId="0" fillId="0" fontId="2" numFmtId="164" xfId="0" applyAlignment="1" applyFont="1" applyNumberFormat="1">
      <alignment horizontal="right"/>
    </xf>
    <xf borderId="15" fillId="2" fontId="2" numFmtId="49" xfId="0" applyAlignment="1" applyBorder="1" applyFont="1" applyNumberFormat="1">
      <alignment horizontal="center"/>
    </xf>
    <xf borderId="0" fillId="0" fontId="2" numFmtId="182" xfId="0" applyAlignment="1" applyFont="1" applyNumberFormat="1">
      <alignment horizontal="center"/>
    </xf>
    <xf borderId="0" fillId="0" fontId="3" numFmtId="0" xfId="0" applyFont="1"/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166" xfId="0" applyFont="1" applyNumberFormat="1"/>
    <xf borderId="0" fillId="0" fontId="2" numFmtId="166" xfId="0" applyFont="1" applyNumberFormat="1"/>
    <xf quotePrefix="1" borderId="0" fillId="0" fontId="2" numFmtId="0" xfId="0" applyFont="1"/>
    <xf borderId="15" fillId="2" fontId="2" numFmtId="49" xfId="0" applyAlignment="1" applyBorder="1" applyFont="1" applyNumberFormat="1">
      <alignment horizontal="center" readingOrder="0"/>
    </xf>
    <xf borderId="15" fillId="0" fontId="2" numFmtId="0" xfId="0" applyAlignment="1" applyBorder="1" applyFont="1">
      <alignment horizontal="center"/>
    </xf>
    <xf borderId="15" fillId="21" fontId="2" numFmtId="0" xfId="0" applyBorder="1" applyFill="1" applyFont="1"/>
    <xf borderId="15" fillId="21" fontId="2" numFmtId="166" xfId="0" applyBorder="1" applyFont="1" applyNumberFormat="1"/>
    <xf borderId="41" fillId="0" fontId="7" numFmtId="0" xfId="0" applyAlignment="1" applyBorder="1" applyFont="1">
      <alignment horizontal="right"/>
    </xf>
    <xf borderId="41" fillId="0" fontId="7" numFmtId="166" xfId="0" applyBorder="1" applyFont="1" applyNumberFormat="1"/>
    <xf borderId="42" fillId="22" fontId="7" numFmtId="166" xfId="0" applyBorder="1" applyFill="1" applyFont="1" applyNumberFormat="1"/>
    <xf borderId="43" fillId="0" fontId="7" numFmtId="0" xfId="0" applyAlignment="1" applyBorder="1" applyFont="1">
      <alignment horizontal="right"/>
    </xf>
    <xf borderId="43" fillId="0" fontId="7" numFmtId="166" xfId="0" applyBorder="1" applyFont="1" applyNumberFormat="1"/>
    <xf borderId="43" fillId="22" fontId="7" numFmtId="166" xfId="0" applyBorder="1" applyFont="1" applyNumberFormat="1"/>
    <xf borderId="15" fillId="23" fontId="2" numFmtId="0" xfId="0" applyBorder="1" applyFill="1" applyFont="1"/>
    <xf borderId="15" fillId="23" fontId="2" numFmtId="166" xfId="0" applyBorder="1" applyFont="1" applyNumberFormat="1"/>
    <xf borderId="15" fillId="24" fontId="24" numFmtId="0" xfId="0" applyBorder="1" applyFill="1" applyFont="1"/>
    <xf borderId="15" fillId="24" fontId="2" numFmtId="166" xfId="0" applyBorder="1" applyFont="1" applyNumberFormat="1"/>
    <xf borderId="44" fillId="0" fontId="7" numFmtId="0" xfId="0" applyAlignment="1" applyBorder="1" applyFont="1">
      <alignment horizontal="right"/>
    </xf>
    <xf borderId="44" fillId="0" fontId="7" numFmtId="166" xfId="0" applyBorder="1" applyFont="1" applyNumberFormat="1"/>
    <xf borderId="45" fillId="22" fontId="7" numFmtId="166" xfId="0" applyBorder="1" applyFont="1" applyNumberFormat="1"/>
    <xf borderId="15" fillId="24" fontId="2" numFmtId="0" xfId="0" applyBorder="1" applyFont="1"/>
    <xf borderId="46" fillId="0" fontId="7" numFmtId="0" xfId="0" applyAlignment="1" applyBorder="1" applyFont="1">
      <alignment horizontal="right"/>
    </xf>
    <xf borderId="46" fillId="0" fontId="7" numFmtId="166" xfId="0" applyBorder="1" applyFont="1" applyNumberFormat="1"/>
    <xf borderId="46" fillId="22" fontId="7" numFmtId="166" xfId="0" applyBorder="1" applyFont="1" applyNumberFormat="1"/>
    <xf borderId="18" fillId="0" fontId="7" numFmtId="0" xfId="0" applyAlignment="1" applyBorder="1" applyFont="1">
      <alignment horizontal="right"/>
    </xf>
    <xf borderId="18" fillId="0" fontId="7" numFmtId="166" xfId="0" applyBorder="1" applyFont="1" applyNumberFormat="1"/>
    <xf borderId="47" fillId="22" fontId="7" numFmtId="166" xfId="0" applyBorder="1" applyFont="1" applyNumberFormat="1"/>
    <xf borderId="15" fillId="25" fontId="2" numFmtId="0" xfId="0" applyBorder="1" applyFill="1" applyFont="1"/>
    <xf borderId="15" fillId="25" fontId="2" numFmtId="166" xfId="0" applyBorder="1" applyFont="1" applyNumberFormat="1"/>
    <xf borderId="1" fillId="20" fontId="23" numFmtId="183" xfId="0" applyAlignment="1" applyBorder="1" applyFont="1" applyNumberFormat="1">
      <alignment horizontal="center"/>
    </xf>
    <xf borderId="0" fillId="0" fontId="3" numFmtId="184" xfId="0" applyFont="1" applyNumberFormat="1"/>
  </cellXfs>
  <cellStyles count="1">
    <cellStyle xfId="0" name="Normal" builtinId="0"/>
  </cellStyles>
  <dxfs count="13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none"/>
      </fill>
      <border/>
    </dxf>
    <dxf>
      <font>
        <b/>
        <color rgb="FF0B8043"/>
      </font>
      <fill>
        <patternFill patternType="solid">
          <fgColor rgb="FFB6D7A8"/>
          <bgColor rgb="FFB6D7A8"/>
        </patternFill>
      </fill>
      <border/>
    </dxf>
    <dxf>
      <font>
        <b/>
        <color rgb="FFCC0000"/>
      </font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A2E8F1"/>
          <bgColor rgb="FFA2E8F1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>
        <color rgb="FFFFFF00"/>
      </font>
      <fill>
        <patternFill patternType="solid">
          <fgColor rgb="FFFF0000"/>
          <bgColor rgb="FFFF0000"/>
        </patternFill>
      </fill>
      <border/>
    </dxf>
  </dxfs>
  <tableStyles count="4">
    <tableStyle count="4" pivot="0" name="Task 8 Basic charts-style">
      <tableStyleElement dxfId="4" type="headerRow"/>
      <tableStyleElement dxfId="5" type="firstRowStripe"/>
      <tableStyleElement dxfId="6" type="secondRowStripe"/>
      <tableStyleElement dxfId="7" type="totalRow"/>
    </tableStyle>
    <tableStyle count="4" pivot="0" name="Task 8 Basic charts-style 2">
      <tableStyleElement dxfId="8" type="headerRow"/>
      <tableStyleElement dxfId="5" type="firstRowStripe"/>
      <tableStyleElement dxfId="9" type="secondRowStripe"/>
      <tableStyleElement dxfId="10" type="totalRow"/>
    </tableStyle>
    <tableStyle count="4" pivot="0" name="Task 7 &amp; 8 Solution example-style">
      <tableStyleElement dxfId="4" type="headerRow"/>
      <tableStyleElement dxfId="5" type="firstRowStripe"/>
      <tableStyleElement dxfId="6" type="secondRowStripe"/>
      <tableStyleElement dxfId="7" type="totalRow"/>
    </tableStyle>
    <tableStyle count="4" pivot="0" name="Task 7 &amp; 8 Solution example-style 2">
      <tableStyleElement dxfId="8" type="headerRow"/>
      <tableStyleElement dxfId="5" type="firstRowStripe"/>
      <tableStyleElement dxfId="9" type="secondRowStripe"/>
      <tableStyleElement dxfId="10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Income and Expense by Family Member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'Task 7 &amp; 8 Solution example'!$F$6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'Task 7 &amp; 8 Solution example'!$G$5:$H$5</c:f>
            </c:strRef>
          </c:cat>
          <c:val>
            <c:numRef>
              <c:f>'Task 7 &amp; 8 Solution example'!$G$6:$H$6</c:f>
              <c:numCache/>
            </c:numRef>
          </c:val>
        </c:ser>
        <c:ser>
          <c:idx val="1"/>
          <c:order val="1"/>
          <c:tx>
            <c:strRef>
              <c:f>'Task 7 &amp; 8 Solution example'!$F$7</c:f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'Task 7 &amp; 8 Solution example'!$G$5:$H$5</c:f>
            </c:strRef>
          </c:cat>
          <c:val>
            <c:numRef>
              <c:f>'Task 7 &amp; 8 Solution example'!$G$7:$H$7</c:f>
              <c:numCache/>
            </c:numRef>
          </c:val>
        </c:ser>
        <c:ser>
          <c:idx val="2"/>
          <c:order val="2"/>
          <c:tx>
            <c:strRef>
              <c:f>'Task 7 &amp; 8 Solution example'!$F$8</c:f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'Task 7 &amp; 8 Solution example'!$G$5:$H$5</c:f>
            </c:strRef>
          </c:cat>
          <c:val>
            <c:numRef>
              <c:f>'Task 7 &amp; 8 Solution example'!$G$8:$H$8</c:f>
              <c:numCache/>
            </c:numRef>
          </c:val>
        </c:ser>
        <c:ser>
          <c:idx val="3"/>
          <c:order val="3"/>
          <c:tx>
            <c:strRef>
              <c:f>'Task 7 &amp; 8 Solution example'!$F$9</c:f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'Task 7 &amp; 8 Solution example'!$G$5:$H$5</c:f>
            </c:strRef>
          </c:cat>
          <c:val>
            <c:numRef>
              <c:f>'Task 7 &amp; 8 Solution example'!$G$9:$H$9</c:f>
              <c:numCache/>
            </c:numRef>
          </c:val>
        </c:ser>
        <c:overlap val="100"/>
        <c:axId val="751139397"/>
        <c:axId val="1581516248"/>
      </c:barChart>
      <c:catAx>
        <c:axId val="751139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581516248"/>
      </c:catAx>
      <c:valAx>
        <c:axId val="1581516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75113939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Income and Expenses by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'Task 7 &amp; 8 Solution example'!$F$16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'Task 7 &amp; 8 Solution example'!$G$15:$I$15</c:f>
            </c:strRef>
          </c:cat>
          <c:val>
            <c:numRef>
              <c:f>'Task 7 &amp; 8 Solution example'!$G$16:$I$16</c:f>
              <c:numCache/>
            </c:numRef>
          </c:val>
        </c:ser>
        <c:ser>
          <c:idx val="1"/>
          <c:order val="1"/>
          <c:tx>
            <c:strRef>
              <c:f>'Task 7 &amp; 8 Solution example'!$F$17</c:f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'Task 7 &amp; 8 Solution example'!$G$15:$I$15</c:f>
            </c:strRef>
          </c:cat>
          <c:val>
            <c:numRef>
              <c:f>'Task 7 &amp; 8 Solution example'!$G$17:$I$17</c:f>
              <c:numCache/>
            </c:numRef>
          </c:val>
        </c:ser>
        <c:ser>
          <c:idx val="2"/>
          <c:order val="2"/>
          <c:tx>
            <c:strRef>
              <c:f>'Task 7 &amp; 8 Solution example'!$F$18</c:f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'Task 7 &amp; 8 Solution example'!$G$15:$I$15</c:f>
            </c:strRef>
          </c:cat>
          <c:val>
            <c:numRef>
              <c:f>'Task 7 &amp; 8 Solution example'!$G$18:$I$18</c:f>
              <c:numCache/>
            </c:numRef>
          </c:val>
        </c:ser>
        <c:axId val="1828131636"/>
        <c:axId val="7065606"/>
      </c:barChart>
      <c:catAx>
        <c:axId val="1828131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7065606"/>
      </c:catAx>
      <c:valAx>
        <c:axId val="7065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82813163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247650</xdr:colOff>
      <xdr:row>1</xdr:row>
      <xdr:rowOff>85725</xdr:rowOff>
    </xdr:from>
    <xdr:ext cx="4724400" cy="2924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247650</xdr:colOff>
      <xdr:row>16</xdr:row>
      <xdr:rowOff>161925</xdr:rowOff>
    </xdr:from>
    <xdr:ext cx="4724400" cy="2924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5:C10" displayName="Table_1" id="1">
  <tableColumns count="3">
    <tableColumn name="Column1" id="1"/>
    <tableColumn name="Column2" id="2"/>
    <tableColumn name="Column3" id="3"/>
  </tableColumns>
  <tableStyleInfo name="Task 8 Basic char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5:D18" displayName="Table_2" id="2">
  <tableColumns count="4">
    <tableColumn name="Column1" id="1"/>
    <tableColumn name="Column2" id="2"/>
    <tableColumn name="Column3" id="3"/>
    <tableColumn name="Column4" id="4"/>
  </tableColumns>
  <tableStyleInfo name="Task 8 Basic chart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F5:H10" displayName="Table_3" id="3">
  <tableColumns count="3">
    <tableColumn name="Column1" id="1"/>
    <tableColumn name="Column2" id="2"/>
    <tableColumn name="Column3" id="3"/>
  </tableColumns>
  <tableStyleInfo name="Task 7 &amp; 8 Solution exampl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F15:I18" displayName="Table_4" id="4">
  <tableColumns count="4">
    <tableColumn name="Column1" id="1"/>
    <tableColumn name="Column2" id="2"/>
    <tableColumn name="Column3" id="3"/>
    <tableColumn name="Column4" id="4"/>
  </tableColumns>
  <tableStyleInfo name="Task 7 &amp; 8 Solution example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7.75"/>
    <col customWidth="1" min="2" max="2" width="21.0"/>
    <col customWidth="1" min="3" max="3" width="15.38"/>
    <col customWidth="1" min="4" max="4" width="14.38"/>
    <col customWidth="1" min="5" max="5" width="16.25"/>
    <col customWidth="1" min="6" max="6" width="15.75"/>
    <col customWidth="1" min="7" max="7" width="17.25"/>
    <col customWidth="1" min="8" max="26" width="14.38"/>
  </cols>
  <sheetData>
    <row r="1" ht="15.75" customHeight="1">
      <c r="A1" s="1" t="s">
        <v>0</v>
      </c>
      <c r="F1" s="2" t="s">
        <v>1</v>
      </c>
    </row>
    <row r="2" ht="15.75" customHeight="1">
      <c r="F2" s="3"/>
    </row>
    <row r="3" ht="15.75" customHeight="1">
      <c r="A3" s="4"/>
      <c r="F3" s="3"/>
    </row>
    <row r="4" ht="15.75" customHeight="1">
      <c r="A4" s="5" t="s">
        <v>2</v>
      </c>
      <c r="B4" s="6"/>
      <c r="C4" s="6"/>
      <c r="D4" s="6"/>
      <c r="E4" s="6"/>
      <c r="F4" s="7" t="s">
        <v>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7.25" customHeight="1">
      <c r="F5" s="3"/>
    </row>
    <row r="6" ht="15.75" customHeight="1">
      <c r="C6" s="8" t="s">
        <v>4</v>
      </c>
      <c r="D6" s="8" t="s">
        <v>5</v>
      </c>
      <c r="F6" s="3"/>
    </row>
    <row r="7" ht="15.75" customHeight="1">
      <c r="A7" s="4" t="s">
        <v>6</v>
      </c>
      <c r="B7" s="9" t="s">
        <v>7</v>
      </c>
      <c r="C7" s="9" t="s">
        <v>8</v>
      </c>
      <c r="D7" s="10" t="s">
        <v>8</v>
      </c>
      <c r="F7" s="3"/>
    </row>
    <row r="8" ht="15.75" customHeight="1">
      <c r="B8" s="4" t="s">
        <v>9</v>
      </c>
      <c r="C8" s="11" t="s">
        <v>8</v>
      </c>
      <c r="D8" s="12" t="s">
        <v>8</v>
      </c>
      <c r="F8" s="3"/>
    </row>
    <row r="9" ht="15.75" customHeight="1">
      <c r="B9" s="13" t="s">
        <v>10</v>
      </c>
      <c r="C9" s="14" t="s">
        <v>8</v>
      </c>
      <c r="D9" s="15" t="s">
        <v>8</v>
      </c>
      <c r="F9" s="3"/>
    </row>
    <row r="10" ht="15.75" customHeight="1">
      <c r="B10" s="16" t="s">
        <v>11</v>
      </c>
      <c r="C10" s="17" t="s">
        <v>8</v>
      </c>
      <c r="D10" s="18" t="s">
        <v>8</v>
      </c>
      <c r="F10" s="3"/>
    </row>
    <row r="11" ht="15.75" customHeight="1">
      <c r="B11" s="19" t="s">
        <v>12</v>
      </c>
      <c r="C11" s="20" t="s">
        <v>8</v>
      </c>
      <c r="D11" s="21" t="s">
        <v>8</v>
      </c>
      <c r="F11" s="3"/>
    </row>
    <row r="12" ht="15.75" customHeight="1">
      <c r="F12" s="3"/>
    </row>
    <row r="13" ht="15.75" customHeight="1">
      <c r="A13" s="4" t="s">
        <v>13</v>
      </c>
      <c r="B13" s="22" t="s">
        <v>14</v>
      </c>
      <c r="C13" s="23">
        <v>5.0</v>
      </c>
      <c r="D13" s="24">
        <v>5.0</v>
      </c>
      <c r="F13" s="3"/>
    </row>
    <row r="14" ht="15.75" customHeight="1">
      <c r="B14" s="22" t="s">
        <v>15</v>
      </c>
      <c r="C14" s="23">
        <v>109.34</v>
      </c>
      <c r="D14" s="25">
        <v>100222.0</v>
      </c>
      <c r="E14" s="26" t="s">
        <v>16</v>
      </c>
      <c r="F14" s="27"/>
      <c r="G14" s="27"/>
    </row>
    <row r="15" ht="15.75" customHeight="1">
      <c r="B15" s="22" t="s">
        <v>17</v>
      </c>
      <c r="C15" s="28">
        <v>0.8703</v>
      </c>
      <c r="D15" s="24" t="s">
        <v>18</v>
      </c>
      <c r="F15" s="3"/>
    </row>
    <row r="16" ht="15.75" customHeight="1">
      <c r="B16" s="22" t="s">
        <v>19</v>
      </c>
      <c r="C16" s="29">
        <v>750.5</v>
      </c>
      <c r="D16" s="30">
        <v>750.0</v>
      </c>
      <c r="F16" s="3"/>
    </row>
    <row r="17" ht="15.75" customHeight="1">
      <c r="B17" s="22" t="s">
        <v>20</v>
      </c>
      <c r="C17" s="31">
        <v>-1300.5</v>
      </c>
      <c r="D17" s="32">
        <v>-1300.0</v>
      </c>
      <c r="F17" s="3"/>
    </row>
    <row r="18" ht="15.75" customHeight="1">
      <c r="B18" s="22" t="s">
        <v>21</v>
      </c>
      <c r="C18" s="33">
        <v>1.0E11</v>
      </c>
      <c r="D18" s="34">
        <v>1.0E15</v>
      </c>
      <c r="F18" s="3"/>
    </row>
    <row r="19" ht="15.75" customHeight="1">
      <c r="F19" s="3"/>
    </row>
    <row r="20" ht="15.75" customHeight="1">
      <c r="A20" s="4" t="s">
        <v>22</v>
      </c>
      <c r="B20" s="22" t="s">
        <v>23</v>
      </c>
      <c r="C20" s="35">
        <v>43842.0</v>
      </c>
      <c r="D20" s="36">
        <v>44896.0</v>
      </c>
      <c r="E20" s="37">
        <v>43855.0</v>
      </c>
      <c r="F20" s="3"/>
    </row>
    <row r="21" ht="15.75" customHeight="1">
      <c r="B21" s="22" t="s">
        <v>24</v>
      </c>
      <c r="C21" s="38">
        <v>43842.0</v>
      </c>
      <c r="D21" s="39">
        <v>45261.0</v>
      </c>
      <c r="F21" s="3"/>
    </row>
    <row r="22" ht="15.75" customHeight="1">
      <c r="B22" s="22" t="s">
        <v>25</v>
      </c>
      <c r="C22" s="40">
        <v>43842.0</v>
      </c>
      <c r="D22" s="41">
        <v>43842.0</v>
      </c>
      <c r="F22" s="3"/>
    </row>
    <row r="23" ht="15.75" customHeight="1">
      <c r="B23" s="22" t="s">
        <v>26</v>
      </c>
      <c r="C23" s="42">
        <v>43842.0</v>
      </c>
      <c r="D23" s="43">
        <v>43842.0</v>
      </c>
      <c r="F23" s="3"/>
    </row>
    <row r="24" ht="15.75" customHeight="1">
      <c r="F24" s="3"/>
    </row>
    <row r="25" ht="15.75" customHeight="1">
      <c r="A25" s="11" t="s">
        <v>27</v>
      </c>
      <c r="B25" s="22" t="s">
        <v>28</v>
      </c>
      <c r="C25" s="44" t="s">
        <v>29</v>
      </c>
      <c r="D25" s="45">
        <f>13+13</f>
        <v>26</v>
      </c>
      <c r="F25" s="3"/>
    </row>
    <row r="26" ht="15.75" customHeight="1">
      <c r="B26" s="22" t="s">
        <v>30</v>
      </c>
      <c r="C26" s="44" t="s">
        <v>31</v>
      </c>
      <c r="D26" s="45">
        <f>6-3</f>
        <v>3</v>
      </c>
      <c r="F26" s="3"/>
    </row>
    <row r="27" ht="15.75" customHeight="1">
      <c r="B27" s="22" t="s">
        <v>32</v>
      </c>
      <c r="C27" s="44" t="s">
        <v>33</v>
      </c>
      <c r="D27" s="45">
        <f>13*13</f>
        <v>169</v>
      </c>
      <c r="F27" s="3"/>
    </row>
    <row r="28" ht="15.75" customHeight="1">
      <c r="B28" s="22" t="s">
        <v>34</v>
      </c>
      <c r="C28" s="44" t="s">
        <v>35</v>
      </c>
      <c r="D28" s="45">
        <f>6/3</f>
        <v>2</v>
      </c>
      <c r="F28" s="3"/>
    </row>
    <row r="29" ht="15.75" customHeight="1">
      <c r="B29" s="22" t="s">
        <v>36</v>
      </c>
      <c r="C29" s="44" t="s">
        <v>37</v>
      </c>
      <c r="D29" s="45">
        <f>6^2</f>
        <v>36</v>
      </c>
      <c r="F29" s="3"/>
    </row>
    <row r="30" ht="15.75" customHeight="1">
      <c r="F30" s="3"/>
    </row>
    <row r="31" ht="15.75" customHeight="1">
      <c r="A31" s="4" t="s">
        <v>38</v>
      </c>
      <c r="B31" s="4" t="s">
        <v>39</v>
      </c>
      <c r="F31" s="3"/>
    </row>
    <row r="32" ht="15.75" customHeight="1">
      <c r="B32" s="22" t="s">
        <v>40</v>
      </c>
      <c r="F32" s="3"/>
    </row>
    <row r="33" ht="15.75" customHeight="1">
      <c r="B33" s="22" t="s">
        <v>41</v>
      </c>
      <c r="F33" s="3"/>
    </row>
    <row r="34" ht="15.75" customHeight="1">
      <c r="B34" s="22" t="s">
        <v>42</v>
      </c>
      <c r="F34" s="3"/>
    </row>
    <row r="35" ht="15.75" customHeight="1">
      <c r="B35" s="22" t="s">
        <v>43</v>
      </c>
      <c r="F35" s="3"/>
    </row>
    <row r="36" ht="15.75" customHeight="1">
      <c r="F36" s="3"/>
    </row>
    <row r="37" ht="15.75" customHeight="1">
      <c r="B37" s="22" t="s">
        <v>44</v>
      </c>
      <c r="C37" s="22">
        <f>5+8</f>
        <v>13</v>
      </c>
      <c r="D37" s="24">
        <f>5+5+5</f>
        <v>15</v>
      </c>
      <c r="F37" s="3"/>
    </row>
    <row r="38" ht="15.75" customHeight="1">
      <c r="B38" s="22" t="s">
        <v>45</v>
      </c>
      <c r="C38" s="22">
        <f>(5+8)^2</f>
        <v>169</v>
      </c>
      <c r="D38" s="24">
        <f>(3+3)^2</f>
        <v>36</v>
      </c>
      <c r="F38" s="3"/>
    </row>
    <row r="39" ht="15.75" customHeight="1">
      <c r="B39" s="44" t="s">
        <v>46</v>
      </c>
      <c r="C39" s="22">
        <f>4/12</f>
        <v>0.3333333333</v>
      </c>
      <c r="D39" s="45">
        <f>4/122</f>
        <v>0.03278688525</v>
      </c>
      <c r="F39" s="3"/>
    </row>
    <row r="40" ht="15.75" customHeight="1">
      <c r="B40" s="46" t="s">
        <v>47</v>
      </c>
      <c r="C40" s="22">
        <f>4/12*3</f>
        <v>1</v>
      </c>
      <c r="D40" s="24">
        <f>4/12*2</f>
        <v>0.6666666667</v>
      </c>
      <c r="F40" s="3"/>
    </row>
    <row r="41" ht="15.75" customHeight="1">
      <c r="B41" s="22" t="s">
        <v>48</v>
      </c>
      <c r="C41" s="22">
        <f>4/(12*3)</f>
        <v>0.1111111111</v>
      </c>
      <c r="D41" s="24">
        <f>4/(12*3)</f>
        <v>0.1111111111</v>
      </c>
      <c r="F41" s="3"/>
    </row>
    <row r="42" ht="15.75" customHeight="1">
      <c r="B42" s="22" t="s">
        <v>49</v>
      </c>
      <c r="C42" s="22">
        <f>(5+8)^2-4/12*3</f>
        <v>168</v>
      </c>
      <c r="D42" s="24">
        <f>(5+3)^2-4/10*3</f>
        <v>62.8</v>
      </c>
      <c r="F42" s="3"/>
    </row>
    <row r="43" ht="15.75" customHeight="1">
      <c r="F43" s="3"/>
    </row>
    <row r="44" ht="15.75" customHeight="1">
      <c r="F44" s="3"/>
    </row>
    <row r="45" ht="15.75" customHeight="1">
      <c r="A45" s="4" t="s">
        <v>50</v>
      </c>
      <c r="B45" s="22" t="s">
        <v>51</v>
      </c>
      <c r="C45" s="22" t="s">
        <v>52</v>
      </c>
      <c r="D45" s="47" t="s">
        <v>53</v>
      </c>
      <c r="F45" s="3"/>
    </row>
    <row r="46" ht="15.75" customHeight="1">
      <c r="B46" s="22" t="s">
        <v>54</v>
      </c>
      <c r="C46" s="48" t="s">
        <v>52</v>
      </c>
      <c r="D46" s="49" t="s">
        <v>53</v>
      </c>
      <c r="F46" s="3"/>
    </row>
    <row r="47" ht="15.75" customHeight="1">
      <c r="B47" s="22" t="s">
        <v>55</v>
      </c>
      <c r="C47" s="23" t="s">
        <v>52</v>
      </c>
      <c r="D47" s="50" t="s">
        <v>53</v>
      </c>
      <c r="F47" s="3"/>
    </row>
    <row r="48" ht="15.75" customHeight="1">
      <c r="F48" s="3"/>
    </row>
    <row r="49" ht="36.0" customHeight="1">
      <c r="B49" s="22" t="s">
        <v>56</v>
      </c>
      <c r="C49" s="51" t="s">
        <v>52</v>
      </c>
      <c r="D49" s="52" t="s">
        <v>53</v>
      </c>
      <c r="F49" s="3"/>
    </row>
    <row r="50" ht="33.0" customHeight="1">
      <c r="B50" s="22" t="s">
        <v>57</v>
      </c>
      <c r="C50" s="53" t="s">
        <v>52</v>
      </c>
      <c r="D50" s="54" t="s">
        <v>53</v>
      </c>
      <c r="F50" s="3"/>
    </row>
    <row r="51" ht="33.75" customHeight="1">
      <c r="B51" s="22" t="s">
        <v>58</v>
      </c>
      <c r="C51" s="22" t="s">
        <v>52</v>
      </c>
      <c r="D51" s="24" t="s">
        <v>53</v>
      </c>
      <c r="F51" s="3"/>
    </row>
    <row r="52" ht="15.75" customHeight="1">
      <c r="F52" s="3"/>
    </row>
    <row r="53" ht="15.75" customHeight="1">
      <c r="B53" s="22" t="s">
        <v>59</v>
      </c>
      <c r="C53" s="55" t="s">
        <v>60</v>
      </c>
      <c r="D53" s="56" t="s">
        <v>61</v>
      </c>
      <c r="F53" s="3"/>
    </row>
    <row r="54" ht="15.75" customHeight="1">
      <c r="B54" s="22" t="s">
        <v>62</v>
      </c>
      <c r="C54" s="57" t="s">
        <v>63</v>
      </c>
      <c r="D54" s="58" t="s">
        <v>64</v>
      </c>
      <c r="F54" s="3"/>
    </row>
    <row r="55" ht="15.75" customHeight="1">
      <c r="F55" s="3"/>
    </row>
    <row r="56" ht="15.75" customHeight="1">
      <c r="B56" s="22" t="s">
        <v>65</v>
      </c>
      <c r="C56" s="59" t="s">
        <v>66</v>
      </c>
      <c r="D56" s="60" t="s">
        <v>67</v>
      </c>
      <c r="F56" s="3"/>
    </row>
    <row r="57" ht="15.75" customHeight="1">
      <c r="F57" s="3"/>
    </row>
    <row r="58" ht="15.75" customHeight="1">
      <c r="B58" s="22" t="s">
        <v>68</v>
      </c>
      <c r="C58" s="61" t="s">
        <v>69</v>
      </c>
      <c r="D58" s="62" t="s">
        <v>69</v>
      </c>
      <c r="F58" s="3"/>
    </row>
    <row r="59" ht="15.75" customHeight="1">
      <c r="D59" s="63"/>
      <c r="F59" s="3"/>
    </row>
    <row r="60" ht="15.75" customHeight="1">
      <c r="F60" s="3"/>
    </row>
    <row r="61" ht="15.75" customHeight="1">
      <c r="B61" s="22" t="s">
        <v>70</v>
      </c>
      <c r="C61" s="64"/>
      <c r="D61" s="65" t="s">
        <v>70</v>
      </c>
      <c r="F61" s="3"/>
    </row>
    <row r="62" ht="15.75" customHeight="1">
      <c r="C62" s="66"/>
      <c r="D62" s="67"/>
      <c r="F62" s="3"/>
    </row>
    <row r="63" ht="15.75" customHeight="1">
      <c r="F63" s="3"/>
    </row>
    <row r="64" ht="15.75" customHeight="1">
      <c r="F64" s="3"/>
    </row>
    <row r="65" ht="15.75" customHeight="1">
      <c r="F65" s="3"/>
    </row>
    <row r="66" ht="15.75" customHeight="1">
      <c r="F66" s="3"/>
    </row>
    <row r="67" ht="15.75" customHeight="1">
      <c r="F67" s="3"/>
    </row>
    <row r="68" ht="15.75" customHeight="1">
      <c r="F68" s="3"/>
    </row>
    <row r="69" ht="15.75" customHeight="1">
      <c r="F69" s="3"/>
    </row>
    <row r="70" ht="15.75" customHeight="1">
      <c r="F70" s="3"/>
    </row>
    <row r="71" ht="15.75" customHeight="1">
      <c r="F71" s="3"/>
    </row>
    <row r="72" ht="15.75" customHeight="1">
      <c r="F72" s="3"/>
    </row>
    <row r="73" ht="15.75" customHeight="1">
      <c r="F73" s="3"/>
    </row>
    <row r="74" ht="15.75" customHeight="1">
      <c r="F74" s="3"/>
    </row>
    <row r="75" ht="15.75" customHeight="1">
      <c r="F75" s="3"/>
    </row>
    <row r="76" ht="15.75" customHeight="1">
      <c r="F76" s="3"/>
    </row>
    <row r="77" ht="15.75" customHeight="1">
      <c r="F77" s="3"/>
    </row>
    <row r="78" ht="15.75" customHeight="1">
      <c r="F78" s="3"/>
    </row>
    <row r="79" ht="15.75" customHeight="1">
      <c r="F79" s="3"/>
    </row>
    <row r="80" ht="15.75" customHeight="1">
      <c r="F80" s="3"/>
    </row>
    <row r="81" ht="15.75" customHeight="1">
      <c r="F81" s="3"/>
    </row>
    <row r="82" ht="15.75" customHeight="1">
      <c r="F82" s="3"/>
    </row>
    <row r="83" ht="15.75" customHeight="1">
      <c r="F83" s="3"/>
    </row>
    <row r="84" ht="15.75" customHeight="1">
      <c r="F84" s="3"/>
    </row>
    <row r="85" ht="15.75" customHeight="1">
      <c r="F85" s="3"/>
    </row>
    <row r="86" ht="15.75" customHeight="1">
      <c r="F86" s="3"/>
    </row>
    <row r="87" ht="15.75" customHeight="1">
      <c r="F87" s="3"/>
    </row>
    <row r="88" ht="15.75" customHeight="1">
      <c r="F88" s="3"/>
    </row>
    <row r="89" ht="15.75" customHeight="1">
      <c r="F89" s="3"/>
    </row>
    <row r="90" ht="15.75" customHeight="1">
      <c r="F90" s="3"/>
    </row>
    <row r="91" ht="15.75" customHeight="1">
      <c r="F91" s="3"/>
    </row>
    <row r="92" ht="15.75" customHeight="1">
      <c r="F92" s="3"/>
    </row>
    <row r="93" ht="15.75" customHeight="1">
      <c r="F93" s="3"/>
    </row>
    <row r="94" ht="15.75" customHeight="1">
      <c r="F94" s="3"/>
    </row>
    <row r="95" ht="15.75" customHeight="1">
      <c r="F95" s="3"/>
    </row>
    <row r="96" ht="15.75" customHeight="1">
      <c r="F96" s="3"/>
    </row>
    <row r="97" ht="15.75" customHeight="1">
      <c r="F97" s="3"/>
    </row>
    <row r="98" ht="15.75" customHeight="1">
      <c r="F98" s="3"/>
    </row>
    <row r="99" ht="15.75" customHeight="1">
      <c r="F99" s="3"/>
    </row>
    <row r="100" ht="15.75" customHeight="1">
      <c r="F100" s="3"/>
    </row>
    <row r="101" ht="15.75" customHeight="1">
      <c r="F101" s="3"/>
    </row>
    <row r="102" ht="15.75" customHeight="1">
      <c r="F102" s="3"/>
    </row>
    <row r="103" ht="15.75" customHeight="1">
      <c r="F103" s="3"/>
    </row>
    <row r="104" ht="15.75" customHeight="1">
      <c r="F104" s="3"/>
    </row>
    <row r="105" ht="15.75" customHeight="1">
      <c r="F105" s="3"/>
    </row>
    <row r="106" ht="15.75" customHeight="1">
      <c r="F106" s="3"/>
    </row>
    <row r="107" ht="15.75" customHeight="1">
      <c r="F107" s="3"/>
    </row>
    <row r="108" ht="15.75" customHeight="1">
      <c r="F108" s="3"/>
    </row>
    <row r="109" ht="15.75" customHeight="1">
      <c r="F109" s="3"/>
    </row>
    <row r="110" ht="15.75" customHeight="1">
      <c r="F110" s="3"/>
    </row>
    <row r="111" ht="15.75" customHeight="1">
      <c r="F111" s="3"/>
    </row>
    <row r="112" ht="15.75" customHeight="1">
      <c r="F112" s="3"/>
    </row>
    <row r="113" ht="15.75" customHeight="1">
      <c r="F113" s="3"/>
    </row>
    <row r="114" ht="15.75" customHeight="1">
      <c r="F114" s="3"/>
    </row>
    <row r="115" ht="15.75" customHeight="1">
      <c r="F115" s="3"/>
    </row>
    <row r="116" ht="15.75" customHeight="1">
      <c r="F116" s="3"/>
    </row>
    <row r="117" ht="15.75" customHeight="1">
      <c r="F117" s="3"/>
    </row>
    <row r="118" ht="15.75" customHeight="1">
      <c r="F118" s="3"/>
    </row>
    <row r="119" ht="15.75" customHeight="1">
      <c r="F119" s="3"/>
    </row>
    <row r="120" ht="15.75" customHeight="1">
      <c r="F120" s="3"/>
    </row>
    <row r="121" ht="15.75" customHeight="1">
      <c r="F121" s="3"/>
    </row>
    <row r="122" ht="15.75" customHeight="1">
      <c r="F122" s="3"/>
    </row>
    <row r="123" ht="15.75" customHeight="1">
      <c r="F123" s="3"/>
    </row>
    <row r="124" ht="15.75" customHeight="1">
      <c r="F124" s="3"/>
    </row>
    <row r="125" ht="15.75" customHeight="1">
      <c r="F125" s="3"/>
    </row>
    <row r="126" ht="15.75" customHeight="1">
      <c r="F126" s="3"/>
    </row>
    <row r="127" ht="15.75" customHeight="1">
      <c r="F127" s="3"/>
    </row>
    <row r="128" ht="15.75" customHeight="1">
      <c r="F128" s="3"/>
    </row>
    <row r="129" ht="15.75" customHeight="1">
      <c r="F129" s="3"/>
    </row>
    <row r="130" ht="15.75" customHeight="1">
      <c r="F130" s="3"/>
    </row>
    <row r="131" ht="15.75" customHeight="1">
      <c r="F131" s="3"/>
    </row>
    <row r="132" ht="15.75" customHeight="1">
      <c r="F132" s="3"/>
    </row>
    <row r="133" ht="15.75" customHeight="1">
      <c r="F133" s="3"/>
    </row>
    <row r="134" ht="15.75" customHeight="1">
      <c r="F134" s="3"/>
    </row>
    <row r="135" ht="15.75" customHeight="1">
      <c r="F135" s="3"/>
    </row>
    <row r="136" ht="15.75" customHeight="1">
      <c r="F136" s="3"/>
    </row>
    <row r="137" ht="15.75" customHeight="1">
      <c r="F137" s="3"/>
    </row>
    <row r="138" ht="15.75" customHeight="1">
      <c r="F138" s="3"/>
    </row>
    <row r="139" ht="15.75" customHeight="1">
      <c r="F139" s="3"/>
    </row>
    <row r="140" ht="15.75" customHeight="1">
      <c r="F140" s="3"/>
    </row>
    <row r="141" ht="15.75" customHeight="1">
      <c r="F141" s="3"/>
    </row>
    <row r="142" ht="15.75" customHeight="1">
      <c r="F142" s="3"/>
    </row>
    <row r="143" ht="15.75" customHeight="1">
      <c r="F143" s="3"/>
    </row>
    <row r="144" ht="15.75" customHeight="1">
      <c r="F144" s="3"/>
    </row>
    <row r="145" ht="15.75" customHeight="1">
      <c r="F145" s="3"/>
    </row>
    <row r="146" ht="15.75" customHeight="1">
      <c r="F146" s="3"/>
    </row>
    <row r="147" ht="15.75" customHeight="1">
      <c r="F147" s="3"/>
    </row>
    <row r="148" ht="15.75" customHeight="1">
      <c r="F148" s="3"/>
    </row>
    <row r="149" ht="15.75" customHeight="1">
      <c r="F149" s="3"/>
    </row>
    <row r="150" ht="15.75" customHeight="1">
      <c r="F150" s="3"/>
    </row>
    <row r="151" ht="15.75" customHeight="1">
      <c r="F151" s="3"/>
    </row>
    <row r="152" ht="15.75" customHeight="1">
      <c r="F152" s="3"/>
    </row>
    <row r="153" ht="15.75" customHeight="1">
      <c r="F153" s="3"/>
    </row>
    <row r="154" ht="15.75" customHeight="1">
      <c r="F154" s="3"/>
    </row>
    <row r="155" ht="15.75" customHeight="1">
      <c r="F155" s="3"/>
    </row>
    <row r="156" ht="15.75" customHeight="1">
      <c r="F156" s="3"/>
    </row>
    <row r="157" ht="15.75" customHeight="1">
      <c r="F157" s="3"/>
    </row>
    <row r="158" ht="15.75" customHeight="1">
      <c r="F158" s="3"/>
    </row>
    <row r="159" ht="15.75" customHeight="1">
      <c r="F159" s="3"/>
    </row>
    <row r="160" ht="15.75" customHeight="1">
      <c r="F160" s="3"/>
    </row>
    <row r="161" ht="15.75" customHeight="1">
      <c r="F161" s="3"/>
    </row>
    <row r="162" ht="15.75" customHeight="1">
      <c r="F162" s="3"/>
    </row>
    <row r="163" ht="15.75" customHeight="1">
      <c r="F163" s="3"/>
    </row>
    <row r="164" ht="15.75" customHeight="1">
      <c r="F164" s="3"/>
    </row>
    <row r="165" ht="15.75" customHeight="1">
      <c r="F165" s="3"/>
    </row>
    <row r="166" ht="15.75" customHeight="1">
      <c r="F166" s="3"/>
    </row>
    <row r="167" ht="15.75" customHeight="1">
      <c r="F167" s="3"/>
    </row>
    <row r="168" ht="15.75" customHeight="1">
      <c r="F168" s="3"/>
    </row>
    <row r="169" ht="15.75" customHeight="1">
      <c r="F169" s="3"/>
    </row>
    <row r="170" ht="15.75" customHeight="1">
      <c r="F170" s="3"/>
    </row>
    <row r="171" ht="15.75" customHeight="1">
      <c r="F171" s="3"/>
    </row>
    <row r="172" ht="15.75" customHeight="1">
      <c r="F172" s="3"/>
    </row>
    <row r="173" ht="15.75" customHeight="1">
      <c r="F173" s="3"/>
    </row>
    <row r="174" ht="15.75" customHeight="1">
      <c r="F174" s="3"/>
    </row>
    <row r="175" ht="15.75" customHeight="1">
      <c r="F175" s="3"/>
    </row>
    <row r="176" ht="15.75" customHeight="1">
      <c r="F176" s="3"/>
    </row>
    <row r="177" ht="15.75" customHeight="1">
      <c r="F177" s="3"/>
    </row>
    <row r="178" ht="15.75" customHeight="1">
      <c r="F178" s="3"/>
    </row>
    <row r="179" ht="15.75" customHeight="1">
      <c r="F179" s="3"/>
    </row>
    <row r="180" ht="15.75" customHeight="1">
      <c r="F180" s="3"/>
    </row>
    <row r="181" ht="15.75" customHeight="1">
      <c r="F181" s="3"/>
    </row>
    <row r="182" ht="15.75" customHeight="1">
      <c r="F182" s="3"/>
    </row>
    <row r="183" ht="15.75" customHeight="1">
      <c r="F183" s="3"/>
    </row>
    <row r="184" ht="15.75" customHeight="1">
      <c r="F184" s="3"/>
    </row>
    <row r="185" ht="15.75" customHeight="1">
      <c r="F185" s="3"/>
    </row>
    <row r="186" ht="15.75" customHeight="1">
      <c r="F186" s="3"/>
    </row>
    <row r="187" ht="15.75" customHeight="1">
      <c r="F187" s="3"/>
    </row>
    <row r="188" ht="15.75" customHeight="1">
      <c r="F188" s="3"/>
    </row>
    <row r="189" ht="15.75" customHeight="1">
      <c r="F189" s="3"/>
    </row>
    <row r="190" ht="15.75" customHeight="1">
      <c r="F190" s="3"/>
    </row>
    <row r="191" ht="15.75" customHeight="1">
      <c r="F191" s="3"/>
    </row>
    <row r="192" ht="15.75" customHeight="1">
      <c r="F192" s="3"/>
    </row>
    <row r="193" ht="15.75" customHeight="1">
      <c r="F193" s="3"/>
    </row>
    <row r="194" ht="15.75" customHeight="1">
      <c r="F194" s="3"/>
    </row>
    <row r="195" ht="15.75" customHeight="1">
      <c r="F195" s="3"/>
    </row>
    <row r="196" ht="15.75" customHeight="1">
      <c r="F196" s="3"/>
    </row>
    <row r="197" ht="15.75" customHeight="1">
      <c r="F197" s="3"/>
    </row>
    <row r="198" ht="15.75" customHeight="1">
      <c r="F198" s="3"/>
    </row>
    <row r="199" ht="15.75" customHeight="1">
      <c r="F199" s="3"/>
    </row>
    <row r="200" ht="15.75" customHeight="1">
      <c r="F200" s="3"/>
    </row>
    <row r="201" ht="15.75" customHeight="1">
      <c r="F201" s="3"/>
    </row>
    <row r="202" ht="15.75" customHeight="1">
      <c r="F202" s="3"/>
    </row>
    <row r="203" ht="15.75" customHeight="1">
      <c r="F203" s="3"/>
    </row>
    <row r="204" ht="15.75" customHeight="1">
      <c r="F204" s="3"/>
    </row>
    <row r="205" ht="15.75" customHeight="1">
      <c r="F205" s="3"/>
    </row>
    <row r="206" ht="15.75" customHeight="1">
      <c r="F206" s="3"/>
    </row>
    <row r="207" ht="15.75" customHeight="1">
      <c r="F207" s="3"/>
    </row>
    <row r="208" ht="15.75" customHeight="1">
      <c r="F208" s="3"/>
    </row>
    <row r="209" ht="15.75" customHeight="1">
      <c r="F209" s="3"/>
    </row>
    <row r="210" ht="15.75" customHeight="1">
      <c r="F210" s="3"/>
    </row>
    <row r="211" ht="15.75" customHeight="1">
      <c r="F211" s="3"/>
    </row>
    <row r="212" ht="15.75" customHeight="1">
      <c r="F212" s="3"/>
    </row>
    <row r="213" ht="15.75" customHeight="1">
      <c r="F213" s="3"/>
    </row>
    <row r="214" ht="15.75" customHeight="1">
      <c r="F214" s="3"/>
    </row>
    <row r="215" ht="15.75" customHeight="1">
      <c r="F215" s="3"/>
    </row>
    <row r="216" ht="15.75" customHeight="1">
      <c r="F216" s="3"/>
    </row>
    <row r="217" ht="15.75" customHeight="1">
      <c r="F217" s="3"/>
    </row>
    <row r="218" ht="15.75" customHeight="1">
      <c r="F218" s="3"/>
    </row>
    <row r="219" ht="15.75" customHeight="1">
      <c r="F219" s="3"/>
    </row>
    <row r="220" ht="15.75" customHeight="1">
      <c r="F220" s="3"/>
    </row>
    <row r="221" ht="15.75" customHeight="1">
      <c r="F221" s="3"/>
    </row>
    <row r="222" ht="15.75" customHeight="1">
      <c r="F222" s="3"/>
    </row>
    <row r="223" ht="15.75" customHeight="1">
      <c r="F223" s="3"/>
    </row>
    <row r="224" ht="15.75" customHeight="1">
      <c r="F224" s="3"/>
    </row>
    <row r="225" ht="15.75" customHeight="1">
      <c r="F225" s="3"/>
    </row>
    <row r="226" ht="15.75" customHeight="1">
      <c r="F226" s="3"/>
    </row>
    <row r="227" ht="15.75" customHeight="1">
      <c r="F227" s="3"/>
    </row>
    <row r="228" ht="15.75" customHeight="1">
      <c r="F228" s="3"/>
    </row>
    <row r="229" ht="15.75" customHeight="1">
      <c r="F229" s="3"/>
    </row>
    <row r="230" ht="15.75" customHeight="1">
      <c r="F230" s="3"/>
    </row>
    <row r="231" ht="15.75" customHeight="1">
      <c r="F231" s="3"/>
    </row>
    <row r="232" ht="15.75" customHeight="1">
      <c r="F232" s="3"/>
    </row>
    <row r="233" ht="15.75" customHeight="1">
      <c r="F233" s="3"/>
    </row>
    <row r="234" ht="15.75" customHeight="1">
      <c r="F234" s="3"/>
    </row>
    <row r="235" ht="15.75" customHeight="1">
      <c r="F235" s="3"/>
    </row>
    <row r="236" ht="15.75" customHeight="1">
      <c r="F236" s="3"/>
    </row>
    <row r="237" ht="15.75" customHeight="1">
      <c r="F237" s="3"/>
    </row>
    <row r="238" ht="15.75" customHeight="1">
      <c r="F238" s="3"/>
    </row>
    <row r="239" ht="15.75" customHeight="1">
      <c r="F239" s="3"/>
    </row>
    <row r="240" ht="15.75" customHeight="1">
      <c r="F240" s="3"/>
    </row>
    <row r="241" ht="15.75" customHeight="1">
      <c r="F241" s="3"/>
    </row>
    <row r="242" ht="15.75" customHeight="1">
      <c r="F242" s="3"/>
    </row>
    <row r="243" ht="15.75" customHeight="1">
      <c r="F243" s="3"/>
    </row>
    <row r="244" ht="15.75" customHeight="1">
      <c r="F244" s="3"/>
    </row>
    <row r="245" ht="15.75" customHeight="1">
      <c r="F245" s="3"/>
    </row>
    <row r="246" ht="15.75" customHeight="1">
      <c r="F246" s="3"/>
    </row>
    <row r="247" ht="15.75" customHeight="1">
      <c r="F247" s="3"/>
    </row>
    <row r="248" ht="15.75" customHeight="1">
      <c r="F248" s="3"/>
    </row>
    <row r="249" ht="15.75" customHeight="1">
      <c r="F249" s="3"/>
    </row>
    <row r="250" ht="15.75" customHeight="1">
      <c r="F250" s="3"/>
    </row>
    <row r="251" ht="15.75" customHeight="1">
      <c r="F251" s="3"/>
    </row>
    <row r="252" ht="15.75" customHeight="1">
      <c r="F252" s="3"/>
    </row>
    <row r="253" ht="15.75" customHeight="1">
      <c r="F253" s="3"/>
    </row>
    <row r="254" ht="15.75" customHeight="1">
      <c r="F254" s="3"/>
    </row>
    <row r="255" ht="15.75" customHeight="1">
      <c r="F255" s="3"/>
    </row>
    <row r="256" ht="15.75" customHeight="1">
      <c r="F256" s="3"/>
    </row>
    <row r="257" ht="15.75" customHeight="1">
      <c r="F257" s="3"/>
    </row>
    <row r="258" ht="15.75" customHeight="1">
      <c r="F258" s="3"/>
    </row>
    <row r="259" ht="15.75" customHeight="1">
      <c r="F259" s="3"/>
    </row>
    <row r="260" ht="15.75" customHeight="1">
      <c r="F260" s="3"/>
    </row>
    <row r="261" ht="15.75" customHeight="1">
      <c r="F261" s="3"/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58:C59"/>
    <mergeCell ref="D58:D59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A7D6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25"/>
    <col customWidth="1" min="2" max="2" width="17.0"/>
    <col customWidth="1" min="3" max="3" width="17.25"/>
    <col customWidth="1" min="4" max="4" width="18.25"/>
    <col customWidth="1" min="5" max="5" width="14.38"/>
    <col customWidth="1" min="6" max="6" width="19.38"/>
    <col customWidth="1" min="7" max="26" width="14.38"/>
  </cols>
  <sheetData>
    <row r="1" ht="15.75" customHeight="1">
      <c r="A1" s="92" t="s">
        <v>304</v>
      </c>
      <c r="B1" s="179" t="s">
        <v>413</v>
      </c>
      <c r="E1" s="172"/>
      <c r="F1" s="172"/>
      <c r="G1" s="172"/>
      <c r="H1" s="172"/>
    </row>
    <row r="2" ht="15.75" customHeight="1">
      <c r="E2" s="48"/>
      <c r="F2" s="48"/>
      <c r="G2" s="172"/>
      <c r="H2" s="48"/>
    </row>
    <row r="3" ht="15.75" customHeight="1">
      <c r="A3" s="87" t="s">
        <v>414</v>
      </c>
      <c r="F3" s="87" t="s">
        <v>406</v>
      </c>
      <c r="G3" s="172"/>
      <c r="H3" s="48"/>
    </row>
    <row r="4" ht="15.75" customHeight="1"/>
    <row r="5" ht="15.75" customHeight="1">
      <c r="B5" s="180" t="s">
        <v>415</v>
      </c>
      <c r="C5" s="180" t="s">
        <v>307</v>
      </c>
      <c r="D5" s="180" t="s">
        <v>416</v>
      </c>
      <c r="F5" s="173"/>
      <c r="G5" s="174" t="s">
        <v>407</v>
      </c>
      <c r="H5" s="174" t="s">
        <v>408</v>
      </c>
    </row>
    <row r="6" ht="15.75" customHeight="1">
      <c r="A6" s="181" t="s">
        <v>417</v>
      </c>
      <c r="B6" s="182">
        <f t="shared" ref="B6:C6" si="1">SUM(B7:B8)</f>
        <v>6467</v>
      </c>
      <c r="C6" s="182">
        <f t="shared" si="1"/>
        <v>5544</v>
      </c>
      <c r="D6" s="182">
        <f t="shared" ref="D6:D30" si="2">B6-C6</f>
        <v>923</v>
      </c>
      <c r="F6" s="175" t="s">
        <v>344</v>
      </c>
      <c r="G6" s="176">
        <f>SUMIFS('Task 7 &amp; 8 Solution data'!$E:$E,'Task 7 &amp; 8 Solution data'!$G:$G,$F6,'Task 7 &amp; 8 Solution data'!$B:$B,$B$1,'Task 7 &amp; 8 Solution data'!$E:$E,"&gt;0")</f>
        <v>6467</v>
      </c>
      <c r="H6" s="176">
        <f>-SUMIFS('Task 7 &amp; 8 Solution data'!$E:$E,'Task 7 &amp; 8 Solution data'!$G:$G,$F6,'Task 7 &amp; 8 Solution data'!$B:$B,$B$1,'Task 7 &amp; 8 Solution data'!$E:$E,"&lt;0")</f>
        <v>3043</v>
      </c>
    </row>
    <row r="7" ht="15.75" customHeight="1">
      <c r="A7" s="183" t="s">
        <v>310</v>
      </c>
      <c r="B7" s="184">
        <f>SUMIFS('Task 7 &amp; 8 Solution data'!E:E,'Task 7 &amp; 8 Solution data'!B:B,$B$1,'Task 7 &amp; 8 Solution data'!D:D,$A7)</f>
        <v>5544</v>
      </c>
      <c r="C7" s="185">
        <v>5544.0</v>
      </c>
      <c r="D7" s="184">
        <f t="shared" si="2"/>
        <v>0</v>
      </c>
      <c r="F7" s="175" t="s">
        <v>349</v>
      </c>
      <c r="G7" s="176">
        <f>SUMIFS('Task 7 &amp; 8 Solution data'!$E:$E,'Task 7 &amp; 8 Solution data'!$G:$G,$F7,'Task 7 &amp; 8 Solution data'!$B:$B,$B$1,'Task 7 &amp; 8 Solution data'!$E:$E,"&gt;0")</f>
        <v>0</v>
      </c>
      <c r="H7" s="176">
        <f>-SUMIFS('Task 7 &amp; 8 Solution data'!$E:$E,'Task 7 &amp; 8 Solution data'!$G:$G,$F7,'Task 7 &amp; 8 Solution data'!$B:$B,$B$1,'Task 7 &amp; 8 Solution data'!$E:$E,"&lt;0")</f>
        <v>1811.457782</v>
      </c>
    </row>
    <row r="8" ht="15.75" customHeight="1">
      <c r="A8" s="186" t="s">
        <v>311</v>
      </c>
      <c r="B8" s="187">
        <f>SUMIFS('Task 7 &amp; 8 Solution data'!E:E,'Task 7 &amp; 8 Solution data'!B:B,$B$1,'Task 7 &amp; 8 Solution data'!D:D,$A8)</f>
        <v>923</v>
      </c>
      <c r="C8" s="188">
        <v>0.0</v>
      </c>
      <c r="D8" s="187">
        <f t="shared" si="2"/>
        <v>923</v>
      </c>
      <c r="F8" s="175" t="s">
        <v>359</v>
      </c>
      <c r="G8" s="176">
        <f>SUMIFS('Task 7 &amp; 8 Solution data'!$E:$E,'Task 7 &amp; 8 Solution data'!$G:$G,$F8,'Task 7 &amp; 8 Solution data'!$B:$B,$B$1,'Task 7 &amp; 8 Solution data'!$E:$E,"&gt;0")</f>
        <v>0</v>
      </c>
      <c r="H8" s="176">
        <f>-SUMIFS('Task 7 &amp; 8 Solution data'!$E:$E,'Task 7 &amp; 8 Solution data'!$G:$G,$F8,'Task 7 &amp; 8 Solution data'!$B:$B,$B$1,'Task 7 &amp; 8 Solution data'!$E:$E,"&lt;0")</f>
        <v>1304.71</v>
      </c>
    </row>
    <row r="9" ht="15.75" customHeight="1">
      <c r="A9" s="189" t="s">
        <v>418</v>
      </c>
      <c r="B9" s="190">
        <f t="shared" ref="B9:C9" si="3">B10+B13+B16+B20+B23+B25</f>
        <v>6333.442737</v>
      </c>
      <c r="C9" s="190">
        <f t="shared" si="3"/>
        <v>5300</v>
      </c>
      <c r="D9" s="190">
        <f t="shared" si="2"/>
        <v>1033.442737</v>
      </c>
      <c r="F9" s="175" t="s">
        <v>362</v>
      </c>
      <c r="G9" s="176">
        <f>SUMIFS('Task 7 &amp; 8 Solution data'!$E:$E,'Task 7 &amp; 8 Solution data'!$G:$G,$F9,'Task 7 &amp; 8 Solution data'!$B:$B,$B$1,'Task 7 &amp; 8 Solution data'!$E:$E,"&gt;0")</f>
        <v>0</v>
      </c>
      <c r="H9" s="176">
        <f>-SUMIFS('Task 7 &amp; 8 Solution data'!$E:$E,'Task 7 &amp; 8 Solution data'!$G:$G,$F9,'Task 7 &amp; 8 Solution data'!$B:$B,$B$1,'Task 7 &amp; 8 Solution data'!$E:$E,"&lt;0")</f>
        <v>174.2749545</v>
      </c>
    </row>
    <row r="10" ht="15.75" customHeight="1">
      <c r="A10" s="191" t="s">
        <v>313</v>
      </c>
      <c r="B10" s="192">
        <f t="shared" ref="B10:C10" si="4">SUM(B11:B12)</f>
        <v>2154.33</v>
      </c>
      <c r="C10" s="192">
        <f t="shared" si="4"/>
        <v>2250</v>
      </c>
      <c r="D10" s="192">
        <f t="shared" si="2"/>
        <v>-95.67</v>
      </c>
      <c r="F10" s="175" t="s">
        <v>152</v>
      </c>
      <c r="G10" s="177">
        <f t="shared" ref="G10:H10" si="5">SUM(G6:G9)</f>
        <v>6467</v>
      </c>
      <c r="H10" s="177">
        <f t="shared" si="5"/>
        <v>6333.442737</v>
      </c>
    </row>
    <row r="11" ht="15.75" customHeight="1">
      <c r="A11" s="183" t="s">
        <v>315</v>
      </c>
      <c r="B11" s="184">
        <f>-SUMIFS('Task 7 &amp; 8 Solution data'!E:E,'Task 7 &amp; 8 Solution data'!B:B,$B$1,'Task 7 &amp; 8 Solution data'!D:D,$A11)</f>
        <v>1903</v>
      </c>
      <c r="C11" s="185">
        <v>2000.0</v>
      </c>
      <c r="D11" s="184">
        <f t="shared" si="2"/>
        <v>-97</v>
      </c>
    </row>
    <row r="12" ht="15.75" customHeight="1">
      <c r="A12" s="193" t="s">
        <v>314</v>
      </c>
      <c r="B12" s="194">
        <f>-SUMIFS('Task 7 &amp; 8 Solution data'!E:E,'Task 7 &amp; 8 Solution data'!B:B,$B$1,'Task 7 &amp; 8 Solution data'!D:D,$A12)</f>
        <v>251.33</v>
      </c>
      <c r="C12" s="195">
        <v>250.0</v>
      </c>
      <c r="D12" s="194">
        <f t="shared" si="2"/>
        <v>1.33</v>
      </c>
    </row>
    <row r="13" ht="15.75" customHeight="1">
      <c r="A13" s="196" t="s">
        <v>316</v>
      </c>
      <c r="B13" s="192">
        <f t="shared" ref="B13:C13" si="6">SUM(B14:B15)</f>
        <v>656.3477822</v>
      </c>
      <c r="C13" s="192">
        <f t="shared" si="6"/>
        <v>500</v>
      </c>
      <c r="D13" s="192">
        <f t="shared" si="2"/>
        <v>156.3477822</v>
      </c>
      <c r="F13" s="87" t="s">
        <v>409</v>
      </c>
    </row>
    <row r="14" ht="15.75" customHeight="1">
      <c r="A14" s="183" t="s">
        <v>317</v>
      </c>
      <c r="B14" s="184">
        <f>-SUMIFS('Task 7 &amp; 8 Solution data'!E:E,'Task 7 &amp; 8 Solution data'!B:B,$B$1,'Task 7 &amp; 8 Solution data'!D:D,$A14)</f>
        <v>487.1877822</v>
      </c>
      <c r="C14" s="185">
        <v>350.0</v>
      </c>
      <c r="D14" s="184">
        <f t="shared" si="2"/>
        <v>137.1877822</v>
      </c>
    </row>
    <row r="15" ht="15.75" customHeight="1">
      <c r="A15" s="193" t="s">
        <v>262</v>
      </c>
      <c r="B15" s="194">
        <f>-SUMIFS('Task 7 &amp; 8 Solution data'!E:E,'Task 7 &amp; 8 Solution data'!B:B,$B$1,'Task 7 &amp; 8 Solution data'!D:D,$A15)</f>
        <v>169.16</v>
      </c>
      <c r="C15" s="195">
        <v>150.0</v>
      </c>
      <c r="D15" s="194">
        <f t="shared" si="2"/>
        <v>19.16</v>
      </c>
      <c r="F15" s="173"/>
      <c r="G15" s="178" t="s">
        <v>405</v>
      </c>
      <c r="H15" s="178" t="s">
        <v>410</v>
      </c>
      <c r="I15" s="178" t="s">
        <v>411</v>
      </c>
    </row>
    <row r="16" ht="15.75" customHeight="1">
      <c r="A16" s="196" t="s">
        <v>318</v>
      </c>
      <c r="B16" s="192">
        <f>SUM(B17:B19)</f>
        <v>470.9449545</v>
      </c>
      <c r="C16" s="192">
        <v>400.0</v>
      </c>
      <c r="D16" s="192">
        <f t="shared" si="2"/>
        <v>70.94495445</v>
      </c>
      <c r="F16" s="175" t="s">
        <v>407</v>
      </c>
      <c r="G16" s="176">
        <f>SUMIFS('Task 7 &amp; 8 Solution data'!$E:$E,'Task 7 &amp; 8 Solution data'!$B:$B,G$15,'Task 7 &amp; 8 Solution data'!$E:$E,"&gt;0")</f>
        <v>0</v>
      </c>
      <c r="H16" s="176">
        <f>SUMIFS('Task 7 &amp; 8 Solution data'!$E:$E,'Task 7 &amp; 8 Solution data'!$B:$B,H$15,'Task 7 &amp; 8 Solution data'!$E:$E,"&gt;0")</f>
        <v>0</v>
      </c>
      <c r="I16" s="176">
        <f>SUMIFS('Task 7 &amp; 8 Solution data'!$E:$E,'Task 7 &amp; 8 Solution data'!$B:$B,I$15,'Task 7 &amp; 8 Solution data'!$E:$E,"&gt;0")</f>
        <v>0</v>
      </c>
    </row>
    <row r="17" ht="15.75" customHeight="1">
      <c r="A17" s="183" t="s">
        <v>319</v>
      </c>
      <c r="B17" s="184">
        <f>-SUMIFS('Task 7 &amp; 8 Solution data'!E:E,'Task 7 &amp; 8 Solution data'!B:B,$B$1,'Task 7 &amp; 8 Solution data'!D:D,$A17)</f>
        <v>290.46</v>
      </c>
      <c r="C17" s="185">
        <v>250.0</v>
      </c>
      <c r="D17" s="184">
        <f t="shared" si="2"/>
        <v>40.46</v>
      </c>
      <c r="F17" s="175" t="s">
        <v>412</v>
      </c>
      <c r="G17" s="176">
        <f>-SUMIFS('Task 7 &amp; 8 Solution data'!$E:$E,'Task 7 &amp; 8 Solution data'!$B:$B,G$15,'Task 7 &amp; 8 Solution data'!$E:$E,"&lt;0")</f>
        <v>0</v>
      </c>
      <c r="H17" s="176">
        <f>-SUMIFS('Task 7 &amp; 8 Solution data'!$E:$E,'Task 7 &amp; 8 Solution data'!$B:$B,H$15,'Task 7 &amp; 8 Solution data'!$E:$E,"&lt;0")</f>
        <v>0</v>
      </c>
      <c r="I17" s="176">
        <f>-SUMIFS('Task 7 &amp; 8 Solution data'!$E:$E,'Task 7 &amp; 8 Solution data'!$B:$B,I$15,'Task 7 &amp; 8 Solution data'!$E:$E,"&lt;0")</f>
        <v>0</v>
      </c>
    </row>
    <row r="18" ht="15.75" customHeight="1">
      <c r="A18" s="197" t="s">
        <v>370</v>
      </c>
      <c r="B18" s="198">
        <f>-SUMIFS('Task 7 &amp; 8 Solution data'!E:E,'Task 7 &amp; 8 Solution data'!B:B,$B$1,'Task 7 &amp; 8 Solution data'!D:D,$A18)</f>
        <v>180.4849545</v>
      </c>
      <c r="C18" s="199">
        <v>150.0</v>
      </c>
      <c r="D18" s="198">
        <f t="shared" si="2"/>
        <v>30.48495445</v>
      </c>
      <c r="F18" s="175" t="s">
        <v>333</v>
      </c>
      <c r="G18" s="177">
        <f t="shared" ref="G18:I18" si="7">G16-G17</f>
        <v>0</v>
      </c>
      <c r="H18" s="177">
        <f t="shared" si="7"/>
        <v>0</v>
      </c>
      <c r="I18" s="177">
        <f t="shared" si="7"/>
        <v>0</v>
      </c>
    </row>
    <row r="19" ht="15.75" customHeight="1">
      <c r="A19" s="193" t="s">
        <v>321</v>
      </c>
      <c r="B19" s="194">
        <f>-SUMIFS('Task 7 &amp; 8 Solution data'!E:E,'Task 7 &amp; 8 Solution data'!B:B,$B$1,'Task 7 &amp; 8 Solution data'!D:D,$A19)</f>
        <v>0</v>
      </c>
      <c r="C19" s="195">
        <v>25.0</v>
      </c>
      <c r="D19" s="194">
        <f t="shared" si="2"/>
        <v>-25</v>
      </c>
    </row>
    <row r="20" ht="15.75" customHeight="1">
      <c r="A20" s="196" t="s">
        <v>322</v>
      </c>
      <c r="B20" s="192">
        <f t="shared" ref="B20:C20" si="8">SUM(B21:B22)</f>
        <v>638.97</v>
      </c>
      <c r="C20" s="192">
        <f t="shared" si="8"/>
        <v>350</v>
      </c>
      <c r="D20" s="192">
        <f t="shared" si="2"/>
        <v>288.97</v>
      </c>
    </row>
    <row r="21" ht="15.75" customHeight="1">
      <c r="A21" s="183" t="s">
        <v>351</v>
      </c>
      <c r="B21" s="184">
        <f>-SUMIFS('Task 7 &amp; 8 Solution data'!E:E,'Task 7 &amp; 8 Solution data'!B:B,$B$1,'Task 7 &amp; 8 Solution data'!D:D,$A21)</f>
        <v>588.97</v>
      </c>
      <c r="C21" s="185">
        <v>300.0</v>
      </c>
      <c r="D21" s="184">
        <f t="shared" si="2"/>
        <v>288.97</v>
      </c>
    </row>
    <row r="22" ht="15.75" customHeight="1">
      <c r="A22" s="193" t="s">
        <v>324</v>
      </c>
      <c r="B22" s="194">
        <f>-SUMIFS('Task 7 &amp; 8 Solution data'!E:E,'Task 7 &amp; 8 Solution data'!B:B,$B$1,'Task 7 &amp; 8 Solution data'!D:D,$A22)</f>
        <v>50</v>
      </c>
      <c r="C22" s="195">
        <v>50.0</v>
      </c>
      <c r="D22" s="194">
        <f t="shared" si="2"/>
        <v>0</v>
      </c>
    </row>
    <row r="23" ht="15.75" customHeight="1">
      <c r="A23" s="196" t="s">
        <v>325</v>
      </c>
      <c r="B23" s="192">
        <f t="shared" ref="B23:C23" si="9">SUM(B24)</f>
        <v>800</v>
      </c>
      <c r="C23" s="192">
        <f t="shared" si="9"/>
        <v>500</v>
      </c>
      <c r="D23" s="192">
        <f t="shared" si="2"/>
        <v>300</v>
      </c>
    </row>
    <row r="24" ht="15.75" customHeight="1">
      <c r="A24" s="200" t="s">
        <v>326</v>
      </c>
      <c r="B24" s="201">
        <f>-SUMIFS('Task 7 &amp; 8 Solution data'!E:E,'Task 7 &amp; 8 Solution data'!B:B,$B$1,'Task 7 &amp; 8 Solution data'!D:D,$A24)</f>
        <v>800</v>
      </c>
      <c r="C24" s="202">
        <v>500.0</v>
      </c>
      <c r="D24" s="201">
        <f t="shared" si="2"/>
        <v>300</v>
      </c>
    </row>
    <row r="25" ht="15.75" customHeight="1">
      <c r="A25" s="196" t="s">
        <v>327</v>
      </c>
      <c r="B25" s="192">
        <f t="shared" ref="B25:C25" si="10">SUM(B26:B30)</f>
        <v>1612.85</v>
      </c>
      <c r="C25" s="192">
        <f t="shared" si="10"/>
        <v>1300</v>
      </c>
      <c r="D25" s="192">
        <f t="shared" si="2"/>
        <v>312.85</v>
      </c>
    </row>
    <row r="26" ht="15.75" customHeight="1">
      <c r="A26" s="183" t="s">
        <v>328</v>
      </c>
      <c r="B26" s="184">
        <f>-SUMIFS('Task 7 &amp; 8 Solution data'!E:E,'Task 7 &amp; 8 Solution data'!B:B,$B$1,'Task 7 &amp; 8 Solution data'!D:D,$A26)</f>
        <v>156.1</v>
      </c>
      <c r="C26" s="185">
        <v>100.0</v>
      </c>
      <c r="D26" s="184">
        <f t="shared" si="2"/>
        <v>56.1</v>
      </c>
    </row>
    <row r="27" ht="15.75" customHeight="1">
      <c r="A27" s="197" t="s">
        <v>329</v>
      </c>
      <c r="B27" s="198">
        <f>-SUMIFS('Task 7 &amp; 8 Solution data'!E:E,'Task 7 &amp; 8 Solution data'!B:B,$B$1,'Task 7 &amp; 8 Solution data'!D:D,$A27)</f>
        <v>55.82</v>
      </c>
      <c r="C27" s="199">
        <v>100.0</v>
      </c>
      <c r="D27" s="198">
        <f t="shared" si="2"/>
        <v>-44.18</v>
      </c>
    </row>
    <row r="28" ht="15.75" customHeight="1">
      <c r="A28" s="197" t="s">
        <v>330</v>
      </c>
      <c r="B28" s="198">
        <f>-SUMIFS('Task 7 &amp; 8 Solution data'!E:E,'Task 7 &amp; 8 Solution data'!B:B,$B$1,'Task 7 &amp; 8 Solution data'!D:D,$A28)</f>
        <v>740</v>
      </c>
      <c r="C28" s="199">
        <v>500.0</v>
      </c>
      <c r="D28" s="198">
        <f t="shared" si="2"/>
        <v>240</v>
      </c>
    </row>
    <row r="29" ht="15.75" customHeight="1">
      <c r="A29" s="197" t="s">
        <v>355</v>
      </c>
      <c r="B29" s="198">
        <f>-SUMIFS('Task 7 &amp; 8 Solution data'!E:E,'Task 7 &amp; 8 Solution data'!B:B,$B$1,'Task 7 &amp; 8 Solution data'!D:D,$A29)</f>
        <v>543.97</v>
      </c>
      <c r="C29" s="199">
        <v>500.0</v>
      </c>
      <c r="D29" s="198">
        <f t="shared" si="2"/>
        <v>43.97</v>
      </c>
    </row>
    <row r="30" ht="15.75" customHeight="1">
      <c r="A30" s="186" t="s">
        <v>332</v>
      </c>
      <c r="B30" s="187">
        <f>-SUMIFS('Task 7 &amp; 8 Solution data'!E:E,'Task 7 &amp; 8 Solution data'!B:B,$B$1,'Task 7 &amp; 8 Solution data'!D:D,$A30)</f>
        <v>116.96</v>
      </c>
      <c r="C30" s="188">
        <v>100.0</v>
      </c>
      <c r="D30" s="187">
        <f t="shared" si="2"/>
        <v>16.96</v>
      </c>
    </row>
    <row r="31" ht="15.75" customHeight="1">
      <c r="A31" s="203" t="s">
        <v>419</v>
      </c>
      <c r="B31" s="204">
        <f t="shared" ref="B31:D31" si="11">B6-B9</f>
        <v>133.5572633</v>
      </c>
      <c r="C31" s="204">
        <f t="shared" si="11"/>
        <v>244</v>
      </c>
      <c r="D31" s="204">
        <f t="shared" si="11"/>
        <v>-110.4427367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31">
    <cfRule type="cellIs" dxfId="11" priority="1" operator="greaterThan">
      <formula>0</formula>
    </cfRule>
  </conditionalFormatting>
  <conditionalFormatting sqref="B31">
    <cfRule type="cellIs" dxfId="12" priority="2" operator="lessThanOrEqual">
      <formula>0</formula>
    </cfRule>
  </conditionalFormatting>
  <conditionalFormatting sqref="D10 D13 D16 D20 D23 D25">
    <cfRule type="cellIs" dxfId="12" priority="3" operator="greaterThan">
      <formula>0</formula>
    </cfRule>
  </conditionalFormatting>
  <dataValidations>
    <dataValidation type="list" allowBlank="1" sqref="B1">
      <formula1>'Task 7 &amp; 8 Solution data'!$B$2:$B$101</formula1>
    </dataValidation>
  </dataValidations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A7D6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25"/>
    <col customWidth="1" min="2" max="3" width="26.75"/>
    <col customWidth="1" min="4" max="4" width="19.88"/>
    <col customWidth="1" min="5" max="5" width="18.38"/>
    <col customWidth="1" min="6" max="6" width="17.75"/>
    <col customWidth="1" min="7" max="7" width="14.38"/>
    <col customWidth="1" min="8" max="8" width="13.0"/>
    <col customWidth="1" min="9" max="9" width="29.13"/>
    <col customWidth="1" min="10" max="10" width="25.88"/>
    <col customWidth="1" min="11" max="26" width="14.38"/>
  </cols>
  <sheetData>
    <row r="1" ht="15.75" customHeight="1">
      <c r="A1" s="205" t="s">
        <v>334</v>
      </c>
      <c r="B1" s="166" t="s">
        <v>420</v>
      </c>
      <c r="C1" s="166" t="s">
        <v>335</v>
      </c>
      <c r="D1" s="166" t="s">
        <v>336</v>
      </c>
      <c r="E1" s="167" t="s">
        <v>337</v>
      </c>
      <c r="F1" s="166" t="s">
        <v>338</v>
      </c>
      <c r="G1" s="166" t="s">
        <v>340</v>
      </c>
      <c r="I1" s="166" t="s">
        <v>338</v>
      </c>
      <c r="J1" s="168" t="s">
        <v>339</v>
      </c>
      <c r="K1" s="168" t="s">
        <v>340</v>
      </c>
    </row>
    <row r="2" ht="15.75" customHeight="1">
      <c r="A2" s="169">
        <v>43145.0</v>
      </c>
      <c r="B2" s="206" t="str">
        <f t="shared" ref="B2:B101" si="1">TEXT(A2,"mmmm")&amp;" "&amp;TEXT(A2,"yyyy")</f>
        <v>febrero 2018</v>
      </c>
      <c r="C2" s="22" t="s">
        <v>341</v>
      </c>
      <c r="D2" s="22" t="s">
        <v>326</v>
      </c>
      <c r="E2" s="29">
        <v>-250.0</v>
      </c>
      <c r="F2" s="22" t="s">
        <v>342</v>
      </c>
      <c r="G2" s="22" t="str">
        <f t="shared" ref="G2:G101" si="2">VLOOKUP(F2,$I$2:$K$8,3,FALSE)</f>
        <v>Family</v>
      </c>
      <c r="I2" s="22" t="s">
        <v>342</v>
      </c>
      <c r="J2" s="22" t="s">
        <v>343</v>
      </c>
      <c r="K2" s="22" t="s">
        <v>344</v>
      </c>
    </row>
    <row r="3" ht="15.75" customHeight="1">
      <c r="A3" s="169">
        <v>43145.0</v>
      </c>
      <c r="B3" s="206" t="str">
        <f t="shared" si="1"/>
        <v>febrero 2018</v>
      </c>
      <c r="C3" s="22" t="s">
        <v>345</v>
      </c>
      <c r="D3" s="22" t="s">
        <v>321</v>
      </c>
      <c r="E3" s="29">
        <v>-10.09547940682435</v>
      </c>
      <c r="F3" s="22" t="s">
        <v>346</v>
      </c>
      <c r="G3" s="22" t="str">
        <f t="shared" si="2"/>
        <v>Daughter</v>
      </c>
      <c r="I3" s="22" t="s">
        <v>347</v>
      </c>
      <c r="J3" s="22" t="s">
        <v>348</v>
      </c>
      <c r="K3" s="22" t="s">
        <v>349</v>
      </c>
    </row>
    <row r="4" ht="15.75" customHeight="1">
      <c r="A4" s="169">
        <v>43144.0</v>
      </c>
      <c r="B4" s="206" t="str">
        <f t="shared" si="1"/>
        <v>febrero 2018</v>
      </c>
      <c r="C4" s="22" t="s">
        <v>350</v>
      </c>
      <c r="D4" s="22" t="s">
        <v>351</v>
      </c>
      <c r="E4" s="29">
        <v>-38.68916580909925</v>
      </c>
      <c r="F4" s="22" t="s">
        <v>347</v>
      </c>
      <c r="G4" s="22" t="str">
        <f t="shared" si="2"/>
        <v>Dad</v>
      </c>
      <c r="I4" s="22" t="s">
        <v>352</v>
      </c>
      <c r="J4" s="22" t="s">
        <v>353</v>
      </c>
      <c r="K4" s="22" t="s">
        <v>349</v>
      </c>
    </row>
    <row r="5" ht="15.75" customHeight="1">
      <c r="A5" s="169">
        <v>43143.0</v>
      </c>
      <c r="B5" s="206" t="str">
        <f t="shared" si="1"/>
        <v>febrero 2018</v>
      </c>
      <c r="C5" s="22" t="s">
        <v>354</v>
      </c>
      <c r="D5" s="22" t="s">
        <v>355</v>
      </c>
      <c r="E5" s="29">
        <v>-39.32394497005602</v>
      </c>
      <c r="F5" s="22" t="s">
        <v>356</v>
      </c>
      <c r="G5" s="22" t="str">
        <f t="shared" si="2"/>
        <v>Dad</v>
      </c>
      <c r="I5" s="22" t="s">
        <v>357</v>
      </c>
      <c r="J5" s="22" t="s">
        <v>358</v>
      </c>
      <c r="K5" s="22" t="s">
        <v>359</v>
      </c>
    </row>
    <row r="6" ht="15.75" customHeight="1">
      <c r="A6" s="169">
        <v>43142.0</v>
      </c>
      <c r="B6" s="206" t="str">
        <f t="shared" si="1"/>
        <v>febrero 2018</v>
      </c>
      <c r="C6" s="22" t="s">
        <v>360</v>
      </c>
      <c r="D6" s="22" t="s">
        <v>351</v>
      </c>
      <c r="E6" s="29">
        <v>-3251.38205580139</v>
      </c>
      <c r="F6" s="22" t="s">
        <v>356</v>
      </c>
      <c r="G6" s="22" t="str">
        <f t="shared" si="2"/>
        <v>Dad</v>
      </c>
      <c r="I6" s="22" t="s">
        <v>346</v>
      </c>
      <c r="J6" s="22" t="s">
        <v>361</v>
      </c>
      <c r="K6" s="22" t="s">
        <v>362</v>
      </c>
    </row>
    <row r="7" ht="15.75" customHeight="1">
      <c r="A7" s="169">
        <v>43141.0</v>
      </c>
      <c r="B7" s="206" t="str">
        <f t="shared" si="1"/>
        <v>febrero 2018</v>
      </c>
      <c r="C7" s="22" t="s">
        <v>363</v>
      </c>
      <c r="D7" s="22" t="s">
        <v>355</v>
      </c>
      <c r="E7" s="29">
        <v>-25.808571837218487</v>
      </c>
      <c r="F7" s="22" t="s">
        <v>352</v>
      </c>
      <c r="G7" s="22" t="str">
        <f t="shared" si="2"/>
        <v>Dad</v>
      </c>
      <c r="I7" s="22" t="s">
        <v>364</v>
      </c>
      <c r="J7" s="22" t="s">
        <v>365</v>
      </c>
      <c r="K7" s="22" t="s">
        <v>359</v>
      </c>
    </row>
    <row r="8" ht="15.75" customHeight="1">
      <c r="A8" s="169">
        <v>43140.0</v>
      </c>
      <c r="B8" s="206" t="str">
        <f t="shared" si="1"/>
        <v>febrero 2018</v>
      </c>
      <c r="C8" s="22" t="s">
        <v>366</v>
      </c>
      <c r="D8" s="22" t="s">
        <v>315</v>
      </c>
      <c r="E8" s="29">
        <v>-1903.0</v>
      </c>
      <c r="F8" s="22" t="s">
        <v>342</v>
      </c>
      <c r="G8" s="22" t="str">
        <f t="shared" si="2"/>
        <v>Family</v>
      </c>
      <c r="I8" s="22" t="s">
        <v>356</v>
      </c>
      <c r="J8" s="22" t="s">
        <v>367</v>
      </c>
      <c r="K8" s="22" t="s">
        <v>349</v>
      </c>
    </row>
    <row r="9" ht="15.75" customHeight="1">
      <c r="A9" s="169">
        <v>43140.0</v>
      </c>
      <c r="B9" s="206" t="str">
        <f t="shared" si="1"/>
        <v>febrero 2018</v>
      </c>
      <c r="C9" s="22" t="s">
        <v>310</v>
      </c>
      <c r="D9" s="22" t="s">
        <v>310</v>
      </c>
      <c r="E9" s="170">
        <v>5544.0</v>
      </c>
      <c r="F9" s="22" t="s">
        <v>342</v>
      </c>
      <c r="G9" s="22" t="str">
        <f t="shared" si="2"/>
        <v>Family</v>
      </c>
    </row>
    <row r="10" ht="15.75" customHeight="1">
      <c r="A10" s="169">
        <v>43140.0</v>
      </c>
      <c r="B10" s="206" t="str">
        <f t="shared" si="1"/>
        <v>febrero 2018</v>
      </c>
      <c r="C10" s="22" t="s">
        <v>368</v>
      </c>
      <c r="D10" s="22" t="s">
        <v>332</v>
      </c>
      <c r="E10" s="29">
        <v>-9.115287413929583</v>
      </c>
      <c r="F10" s="22" t="s">
        <v>352</v>
      </c>
      <c r="G10" s="22" t="str">
        <f t="shared" si="2"/>
        <v>Dad</v>
      </c>
    </row>
    <row r="11" ht="15.75" customHeight="1">
      <c r="A11" s="169">
        <v>43139.0</v>
      </c>
      <c r="B11" s="206" t="str">
        <f t="shared" si="1"/>
        <v>febrero 2018</v>
      </c>
      <c r="C11" s="22" t="s">
        <v>369</v>
      </c>
      <c r="D11" s="22" t="s">
        <v>370</v>
      </c>
      <c r="E11" s="29">
        <v>-8.928058478985726</v>
      </c>
      <c r="F11" s="22" t="s">
        <v>364</v>
      </c>
      <c r="G11" s="22" t="str">
        <f t="shared" si="2"/>
        <v>Mom</v>
      </c>
    </row>
    <row r="12" ht="15.75" customHeight="1">
      <c r="A12" s="169">
        <v>43139.0</v>
      </c>
      <c r="B12" s="206" t="str">
        <f t="shared" si="1"/>
        <v>febrero 2018</v>
      </c>
      <c r="C12" s="22" t="s">
        <v>371</v>
      </c>
      <c r="D12" s="22" t="s">
        <v>319</v>
      </c>
      <c r="E12" s="29">
        <v>-46.45521318072057</v>
      </c>
      <c r="F12" s="22" t="s">
        <v>347</v>
      </c>
      <c r="G12" s="22" t="str">
        <f t="shared" si="2"/>
        <v>Dad</v>
      </c>
    </row>
    <row r="13" ht="15.75" customHeight="1">
      <c r="A13" s="169">
        <v>43138.0</v>
      </c>
      <c r="B13" s="206" t="str">
        <f t="shared" si="1"/>
        <v>febrero 2018</v>
      </c>
      <c r="C13" s="22" t="s">
        <v>372</v>
      </c>
      <c r="D13" s="22" t="s">
        <v>314</v>
      </c>
      <c r="E13" s="29">
        <v>-246.53506616141286</v>
      </c>
      <c r="F13" s="22" t="s">
        <v>356</v>
      </c>
      <c r="G13" s="22" t="str">
        <f t="shared" si="2"/>
        <v>Dad</v>
      </c>
    </row>
    <row r="14" ht="15.75" customHeight="1">
      <c r="A14" s="169">
        <v>43137.0</v>
      </c>
      <c r="B14" s="206" t="str">
        <f t="shared" si="1"/>
        <v>febrero 2018</v>
      </c>
      <c r="C14" s="22" t="s">
        <v>373</v>
      </c>
      <c r="D14" s="22" t="s">
        <v>332</v>
      </c>
      <c r="E14" s="29">
        <v>-1.5893293546870486</v>
      </c>
      <c r="F14" s="22" t="s">
        <v>357</v>
      </c>
      <c r="G14" s="22" t="str">
        <f t="shared" si="2"/>
        <v>Mom</v>
      </c>
    </row>
    <row r="15" ht="15.75" customHeight="1">
      <c r="A15" s="169">
        <v>43136.0</v>
      </c>
      <c r="B15" s="206" t="str">
        <f t="shared" si="1"/>
        <v>febrero 2018</v>
      </c>
      <c r="C15" s="22" t="s">
        <v>374</v>
      </c>
      <c r="D15" s="22" t="s">
        <v>370</v>
      </c>
      <c r="E15" s="29">
        <v>-15.534943959463117</v>
      </c>
      <c r="F15" s="22" t="s">
        <v>347</v>
      </c>
      <c r="G15" s="22" t="str">
        <f t="shared" si="2"/>
        <v>Dad</v>
      </c>
    </row>
    <row r="16" ht="15.75" customHeight="1">
      <c r="A16" s="169">
        <v>43136.0</v>
      </c>
      <c r="B16" s="206" t="str">
        <f t="shared" si="1"/>
        <v>febrero 2018</v>
      </c>
      <c r="C16" s="22" t="s">
        <v>375</v>
      </c>
      <c r="D16" s="22" t="s">
        <v>332</v>
      </c>
      <c r="E16" s="29">
        <v>-18.083209013978067</v>
      </c>
      <c r="F16" s="22" t="s">
        <v>357</v>
      </c>
      <c r="G16" s="22" t="str">
        <f t="shared" si="2"/>
        <v>Mom</v>
      </c>
    </row>
    <row r="17" ht="15.75" customHeight="1">
      <c r="A17" s="169">
        <v>43135.0</v>
      </c>
      <c r="B17" s="206" t="str">
        <f t="shared" si="1"/>
        <v>febrero 2018</v>
      </c>
      <c r="C17" s="22" t="s">
        <v>376</v>
      </c>
      <c r="D17" s="22" t="s">
        <v>332</v>
      </c>
      <c r="E17" s="29">
        <v>-35.848294657848044</v>
      </c>
      <c r="F17" s="22" t="s">
        <v>356</v>
      </c>
      <c r="G17" s="22" t="str">
        <f t="shared" si="2"/>
        <v>Dad</v>
      </c>
    </row>
    <row r="18" ht="15.75" customHeight="1">
      <c r="A18" s="169">
        <v>43134.0</v>
      </c>
      <c r="B18" s="206" t="str">
        <f t="shared" si="1"/>
        <v>febrero 2018</v>
      </c>
      <c r="C18" s="22" t="s">
        <v>377</v>
      </c>
      <c r="D18" s="22" t="s">
        <v>351</v>
      </c>
      <c r="E18" s="29">
        <v>-27.6907565783354</v>
      </c>
      <c r="F18" s="22" t="s">
        <v>347</v>
      </c>
      <c r="G18" s="22" t="str">
        <f t="shared" si="2"/>
        <v>Dad</v>
      </c>
    </row>
    <row r="19" ht="15.75" customHeight="1">
      <c r="A19" s="169">
        <v>43133.0</v>
      </c>
      <c r="B19" s="206" t="str">
        <f t="shared" si="1"/>
        <v>febrero 2018</v>
      </c>
      <c r="C19" s="22" t="s">
        <v>378</v>
      </c>
      <c r="D19" s="22" t="s">
        <v>351</v>
      </c>
      <c r="E19" s="29">
        <v>-25.280933498351065</v>
      </c>
      <c r="F19" s="22" t="s">
        <v>347</v>
      </c>
      <c r="G19" s="22" t="str">
        <f t="shared" si="2"/>
        <v>Dad</v>
      </c>
    </row>
    <row r="20" ht="15.75" customHeight="1">
      <c r="A20" s="169">
        <v>43132.0</v>
      </c>
      <c r="B20" s="206" t="str">
        <f t="shared" si="1"/>
        <v>febrero 2018</v>
      </c>
      <c r="C20" s="22" t="s">
        <v>379</v>
      </c>
      <c r="D20" s="22" t="s">
        <v>351</v>
      </c>
      <c r="E20" s="29">
        <v>-19.15537966529622</v>
      </c>
      <c r="F20" s="22" t="s">
        <v>347</v>
      </c>
      <c r="G20" s="22" t="str">
        <f t="shared" si="2"/>
        <v>Dad</v>
      </c>
    </row>
    <row r="21" ht="15.75" customHeight="1">
      <c r="A21" s="169">
        <v>43132.0</v>
      </c>
      <c r="B21" s="206" t="str">
        <f t="shared" si="1"/>
        <v>febrero 2018</v>
      </c>
      <c r="C21" s="22" t="s">
        <v>380</v>
      </c>
      <c r="D21" s="22" t="s">
        <v>332</v>
      </c>
      <c r="E21" s="29">
        <v>-6.1872186695912</v>
      </c>
      <c r="F21" s="22" t="s">
        <v>364</v>
      </c>
      <c r="G21" s="22" t="str">
        <f t="shared" si="2"/>
        <v>Mom</v>
      </c>
    </row>
    <row r="22" ht="15.75" customHeight="1">
      <c r="A22" s="169">
        <v>43131.0</v>
      </c>
      <c r="B22" s="206" t="str">
        <f t="shared" si="1"/>
        <v>enero 2018</v>
      </c>
      <c r="C22" s="22" t="s">
        <v>381</v>
      </c>
      <c r="D22" s="22" t="s">
        <v>370</v>
      </c>
      <c r="E22" s="29">
        <v>-2.104954454933721</v>
      </c>
      <c r="F22" s="22" t="s">
        <v>346</v>
      </c>
      <c r="G22" s="22" t="str">
        <f t="shared" si="2"/>
        <v>Daughter</v>
      </c>
    </row>
    <row r="23" ht="15.75" customHeight="1">
      <c r="A23" s="169">
        <v>43131.0</v>
      </c>
      <c r="B23" s="206" t="str">
        <f t="shared" si="1"/>
        <v>enero 2018</v>
      </c>
      <c r="C23" s="22" t="s">
        <v>382</v>
      </c>
      <c r="D23" s="22" t="s">
        <v>317</v>
      </c>
      <c r="E23" s="29">
        <v>-164.34778223566545</v>
      </c>
      <c r="F23" s="22" t="s">
        <v>356</v>
      </c>
      <c r="G23" s="22" t="str">
        <f t="shared" si="2"/>
        <v>Dad</v>
      </c>
    </row>
    <row r="24" ht="15.75" customHeight="1">
      <c r="A24" s="169">
        <v>43130.0</v>
      </c>
      <c r="B24" s="206" t="str">
        <f t="shared" si="1"/>
        <v>enero 2018</v>
      </c>
      <c r="C24" s="22" t="s">
        <v>383</v>
      </c>
      <c r="D24" s="22" t="s">
        <v>328</v>
      </c>
      <c r="E24" s="29">
        <v>-156.1</v>
      </c>
      <c r="F24" s="22" t="s">
        <v>346</v>
      </c>
      <c r="G24" s="22" t="str">
        <f t="shared" si="2"/>
        <v>Daughter</v>
      </c>
    </row>
    <row r="25" ht="15.75" customHeight="1">
      <c r="A25" s="169">
        <v>43129.0</v>
      </c>
      <c r="B25" s="206" t="str">
        <f t="shared" si="1"/>
        <v>enero 2018</v>
      </c>
      <c r="C25" s="22" t="s">
        <v>384</v>
      </c>
      <c r="D25" s="22" t="s">
        <v>326</v>
      </c>
      <c r="E25" s="29">
        <v>-400.0</v>
      </c>
      <c r="F25" s="22" t="s">
        <v>357</v>
      </c>
      <c r="G25" s="22" t="str">
        <f t="shared" si="2"/>
        <v>Mom</v>
      </c>
    </row>
    <row r="26" ht="15.75" customHeight="1">
      <c r="A26" s="169">
        <v>43128.0</v>
      </c>
      <c r="B26" s="206" t="str">
        <f t="shared" si="1"/>
        <v>enero 2018</v>
      </c>
      <c r="C26" s="22" t="s">
        <v>385</v>
      </c>
      <c r="D26" s="22" t="s">
        <v>319</v>
      </c>
      <c r="E26" s="29">
        <v>-69.1</v>
      </c>
      <c r="F26" s="22" t="s">
        <v>347</v>
      </c>
      <c r="G26" s="22" t="str">
        <f t="shared" si="2"/>
        <v>Dad</v>
      </c>
    </row>
    <row r="27" ht="15.75" customHeight="1">
      <c r="A27" s="169">
        <v>43127.0</v>
      </c>
      <c r="B27" s="206" t="str">
        <f t="shared" si="1"/>
        <v>enero 2018</v>
      </c>
      <c r="C27" s="22" t="s">
        <v>376</v>
      </c>
      <c r="D27" s="22" t="s">
        <v>332</v>
      </c>
      <c r="E27" s="29">
        <v>-56.98</v>
      </c>
      <c r="F27" s="22" t="s">
        <v>356</v>
      </c>
      <c r="G27" s="22" t="str">
        <f t="shared" si="2"/>
        <v>Dad</v>
      </c>
    </row>
    <row r="28" ht="15.75" customHeight="1">
      <c r="A28" s="169">
        <v>43126.0</v>
      </c>
      <c r="B28" s="206" t="str">
        <f t="shared" si="1"/>
        <v>enero 2018</v>
      </c>
      <c r="C28" s="22" t="s">
        <v>377</v>
      </c>
      <c r="D28" s="22" t="s">
        <v>351</v>
      </c>
      <c r="E28" s="29">
        <v>-37.62</v>
      </c>
      <c r="F28" s="22" t="s">
        <v>347</v>
      </c>
      <c r="G28" s="22" t="str">
        <f t="shared" si="2"/>
        <v>Dad</v>
      </c>
    </row>
    <row r="29" ht="15.75" customHeight="1">
      <c r="A29" s="169">
        <v>43126.0</v>
      </c>
      <c r="B29" s="206" t="str">
        <f t="shared" si="1"/>
        <v>enero 2018</v>
      </c>
      <c r="C29" s="22" t="s">
        <v>386</v>
      </c>
      <c r="D29" s="22" t="s">
        <v>332</v>
      </c>
      <c r="E29" s="29">
        <v>-10.0</v>
      </c>
      <c r="F29" s="22" t="s">
        <v>364</v>
      </c>
      <c r="G29" s="22" t="str">
        <f t="shared" si="2"/>
        <v>Mom</v>
      </c>
    </row>
    <row r="30" ht="15.75" customHeight="1">
      <c r="A30" s="169">
        <v>43125.0</v>
      </c>
      <c r="B30" s="206" t="str">
        <f t="shared" si="1"/>
        <v>enero 2018</v>
      </c>
      <c r="C30" s="22" t="s">
        <v>350</v>
      </c>
      <c r="D30" s="22" t="s">
        <v>351</v>
      </c>
      <c r="E30" s="29">
        <v>-47.83</v>
      </c>
      <c r="F30" s="22" t="s">
        <v>347</v>
      </c>
      <c r="G30" s="22" t="str">
        <f t="shared" si="2"/>
        <v>Dad</v>
      </c>
    </row>
    <row r="31" ht="15.75" customHeight="1">
      <c r="A31" s="169">
        <v>43124.0</v>
      </c>
      <c r="B31" s="206" t="str">
        <f t="shared" si="1"/>
        <v>enero 2018</v>
      </c>
      <c r="C31" s="22" t="s">
        <v>354</v>
      </c>
      <c r="D31" s="22" t="s">
        <v>329</v>
      </c>
      <c r="E31" s="29">
        <v>-55.82</v>
      </c>
      <c r="F31" s="22" t="s">
        <v>356</v>
      </c>
      <c r="G31" s="22" t="str">
        <f t="shared" si="2"/>
        <v>Dad</v>
      </c>
    </row>
    <row r="32" ht="15.75" customHeight="1">
      <c r="A32" s="169">
        <v>43123.0</v>
      </c>
      <c r="B32" s="206" t="str">
        <f t="shared" si="1"/>
        <v>enero 2018</v>
      </c>
      <c r="C32" s="22" t="s">
        <v>387</v>
      </c>
      <c r="D32" s="22" t="s">
        <v>326</v>
      </c>
      <c r="E32" s="29">
        <v>-400.0</v>
      </c>
      <c r="F32" s="22" t="s">
        <v>342</v>
      </c>
      <c r="G32" s="22" t="str">
        <f t="shared" si="2"/>
        <v>Family</v>
      </c>
    </row>
    <row r="33" ht="15.75" customHeight="1">
      <c r="A33" s="169">
        <v>43122.0</v>
      </c>
      <c r="B33" s="206" t="str">
        <f t="shared" si="1"/>
        <v>enero 2018</v>
      </c>
      <c r="C33" s="22" t="s">
        <v>388</v>
      </c>
      <c r="D33" s="22" t="s">
        <v>330</v>
      </c>
      <c r="E33" s="29">
        <v>-740.0</v>
      </c>
      <c r="F33" s="22" t="s">
        <v>342</v>
      </c>
      <c r="G33" s="22" t="str">
        <f t="shared" si="2"/>
        <v>Family</v>
      </c>
    </row>
    <row r="34" ht="15.75" customHeight="1">
      <c r="A34" s="169">
        <v>43122.0</v>
      </c>
      <c r="B34" s="206" t="str">
        <f t="shared" si="1"/>
        <v>enero 2018</v>
      </c>
      <c r="C34" s="22" t="s">
        <v>373</v>
      </c>
      <c r="D34" s="22" t="s">
        <v>332</v>
      </c>
      <c r="E34" s="29">
        <v>-2.99</v>
      </c>
      <c r="F34" s="22" t="s">
        <v>357</v>
      </c>
      <c r="G34" s="22" t="str">
        <f t="shared" si="2"/>
        <v>Mom</v>
      </c>
    </row>
    <row r="35" ht="15.75" customHeight="1">
      <c r="A35" s="169">
        <v>43121.0</v>
      </c>
      <c r="B35" s="206" t="str">
        <f t="shared" si="1"/>
        <v>enero 2018</v>
      </c>
      <c r="C35" s="22" t="s">
        <v>374</v>
      </c>
      <c r="D35" s="22" t="s">
        <v>370</v>
      </c>
      <c r="E35" s="29">
        <v>-18.18</v>
      </c>
      <c r="F35" s="22" t="s">
        <v>347</v>
      </c>
      <c r="G35" s="22" t="str">
        <f t="shared" si="2"/>
        <v>Dad</v>
      </c>
    </row>
    <row r="36" ht="15.75" customHeight="1">
      <c r="A36" s="169">
        <v>43119.0</v>
      </c>
      <c r="B36" s="206" t="str">
        <f t="shared" si="1"/>
        <v>enero 2018</v>
      </c>
      <c r="C36" s="22" t="s">
        <v>360</v>
      </c>
      <c r="D36" s="22" t="s">
        <v>351</v>
      </c>
      <c r="E36" s="29">
        <v>-435.11</v>
      </c>
      <c r="F36" s="22" t="s">
        <v>356</v>
      </c>
      <c r="G36" s="22" t="str">
        <f t="shared" si="2"/>
        <v>Dad</v>
      </c>
    </row>
    <row r="37" ht="15.75" customHeight="1">
      <c r="A37" s="169">
        <v>43118.0</v>
      </c>
      <c r="B37" s="206" t="str">
        <f t="shared" si="1"/>
        <v>enero 2018</v>
      </c>
      <c r="C37" s="22" t="s">
        <v>363</v>
      </c>
      <c r="D37" s="22" t="s">
        <v>355</v>
      </c>
      <c r="E37" s="29">
        <v>-30.0</v>
      </c>
      <c r="F37" s="22" t="s">
        <v>352</v>
      </c>
      <c r="G37" s="22" t="str">
        <f t="shared" si="2"/>
        <v>Dad</v>
      </c>
    </row>
    <row r="38" ht="15.75" customHeight="1">
      <c r="A38" s="169">
        <v>43116.0</v>
      </c>
      <c r="B38" s="206" t="str">
        <f t="shared" si="1"/>
        <v>enero 2018</v>
      </c>
      <c r="C38" s="22" t="s">
        <v>389</v>
      </c>
      <c r="D38" s="22" t="s">
        <v>319</v>
      </c>
      <c r="E38" s="29">
        <v>-23.0</v>
      </c>
      <c r="F38" s="22" t="s">
        <v>347</v>
      </c>
      <c r="G38" s="22" t="str">
        <f t="shared" si="2"/>
        <v>Dad</v>
      </c>
    </row>
    <row r="39" ht="15.75" customHeight="1">
      <c r="A39" s="169">
        <v>43115.0</v>
      </c>
      <c r="B39" s="206" t="str">
        <f t="shared" si="1"/>
        <v>enero 2018</v>
      </c>
      <c r="C39" s="22" t="s">
        <v>390</v>
      </c>
      <c r="D39" s="22" t="s">
        <v>311</v>
      </c>
      <c r="E39" s="170">
        <v>923.0</v>
      </c>
      <c r="F39" s="22" t="s">
        <v>342</v>
      </c>
      <c r="G39" s="22" t="str">
        <f t="shared" si="2"/>
        <v>Family</v>
      </c>
    </row>
    <row r="40" ht="15.75" customHeight="1">
      <c r="A40" s="169">
        <v>43114.0</v>
      </c>
      <c r="B40" s="206" t="str">
        <f t="shared" si="1"/>
        <v>enero 2018</v>
      </c>
      <c r="C40" s="22" t="s">
        <v>391</v>
      </c>
      <c r="D40" s="22" t="s">
        <v>370</v>
      </c>
      <c r="E40" s="29">
        <v>-7.25</v>
      </c>
      <c r="F40" s="22" t="s">
        <v>364</v>
      </c>
      <c r="G40" s="22" t="str">
        <f t="shared" si="2"/>
        <v>Mom</v>
      </c>
    </row>
    <row r="41" ht="15.75" customHeight="1">
      <c r="A41" s="169">
        <v>43114.0</v>
      </c>
      <c r="B41" s="206" t="str">
        <f t="shared" si="1"/>
        <v>enero 2018</v>
      </c>
      <c r="C41" s="22" t="s">
        <v>392</v>
      </c>
      <c r="D41" s="22" t="s">
        <v>370</v>
      </c>
      <c r="E41" s="29">
        <v>-16.35</v>
      </c>
      <c r="F41" s="22" t="s">
        <v>356</v>
      </c>
      <c r="G41" s="22" t="str">
        <f t="shared" si="2"/>
        <v>Dad</v>
      </c>
    </row>
    <row r="42" ht="15.75" customHeight="1">
      <c r="A42" s="169">
        <v>43113.0</v>
      </c>
      <c r="B42" s="206" t="str">
        <f t="shared" si="1"/>
        <v>enero 2018</v>
      </c>
      <c r="C42" s="22" t="s">
        <v>393</v>
      </c>
      <c r="D42" s="22" t="s">
        <v>262</v>
      </c>
      <c r="E42" s="29">
        <v>-125.43</v>
      </c>
      <c r="F42" s="22" t="s">
        <v>357</v>
      </c>
      <c r="G42" s="22" t="str">
        <f t="shared" si="2"/>
        <v>Mom</v>
      </c>
    </row>
    <row r="43" ht="15.75" customHeight="1">
      <c r="A43" s="169">
        <v>43112.0</v>
      </c>
      <c r="B43" s="206" t="str">
        <f t="shared" si="1"/>
        <v>enero 2018</v>
      </c>
      <c r="C43" s="22" t="s">
        <v>345</v>
      </c>
      <c r="D43" s="22" t="s">
        <v>370</v>
      </c>
      <c r="E43" s="29">
        <v>-12.51</v>
      </c>
      <c r="F43" s="22" t="s">
        <v>346</v>
      </c>
      <c r="G43" s="22" t="str">
        <f t="shared" si="2"/>
        <v>Daughter</v>
      </c>
    </row>
    <row r="44" ht="15.75" customHeight="1">
      <c r="A44" s="169">
        <v>43111.0</v>
      </c>
      <c r="B44" s="206" t="str">
        <f t="shared" si="1"/>
        <v>enero 2018</v>
      </c>
      <c r="C44" s="22" t="s">
        <v>394</v>
      </c>
      <c r="D44" s="22" t="s">
        <v>262</v>
      </c>
      <c r="E44" s="29">
        <v>-43.73</v>
      </c>
      <c r="F44" s="22" t="s">
        <v>357</v>
      </c>
      <c r="G44" s="22" t="str">
        <f t="shared" si="2"/>
        <v>Mom</v>
      </c>
    </row>
    <row r="45" ht="15.75" customHeight="1">
      <c r="A45" s="169">
        <v>43110.0</v>
      </c>
      <c r="B45" s="206" t="str">
        <f t="shared" si="1"/>
        <v>enero 2018</v>
      </c>
      <c r="C45" s="22" t="s">
        <v>395</v>
      </c>
      <c r="D45" s="22" t="s">
        <v>370</v>
      </c>
      <c r="E45" s="29">
        <v>-72.28</v>
      </c>
      <c r="F45" s="22" t="s">
        <v>364</v>
      </c>
      <c r="G45" s="22" t="str">
        <f t="shared" si="2"/>
        <v>Mom</v>
      </c>
    </row>
    <row r="46" ht="15.75" customHeight="1">
      <c r="A46" s="169">
        <v>43110.0</v>
      </c>
      <c r="B46" s="206" t="str">
        <f t="shared" si="1"/>
        <v>enero 2018</v>
      </c>
      <c r="C46" s="22" t="s">
        <v>396</v>
      </c>
      <c r="D46" s="22" t="s">
        <v>319</v>
      </c>
      <c r="E46" s="29">
        <v>-108.91</v>
      </c>
      <c r="F46" s="22" t="s">
        <v>347</v>
      </c>
      <c r="G46" s="22" t="str">
        <f t="shared" si="2"/>
        <v>Dad</v>
      </c>
    </row>
    <row r="47" ht="15.75" customHeight="1">
      <c r="A47" s="169">
        <v>43110.0</v>
      </c>
      <c r="B47" s="206" t="str">
        <f t="shared" si="1"/>
        <v>enero 2018</v>
      </c>
      <c r="C47" s="22" t="s">
        <v>366</v>
      </c>
      <c r="D47" s="22" t="s">
        <v>315</v>
      </c>
      <c r="E47" s="29">
        <v>-1903.0</v>
      </c>
      <c r="F47" s="22" t="s">
        <v>342</v>
      </c>
      <c r="G47" s="22" t="str">
        <f t="shared" si="2"/>
        <v>Family</v>
      </c>
    </row>
    <row r="48" ht="15.75" customHeight="1">
      <c r="A48" s="169">
        <v>43110.0</v>
      </c>
      <c r="B48" s="206" t="str">
        <f t="shared" si="1"/>
        <v>enero 2018</v>
      </c>
      <c r="C48" s="22" t="s">
        <v>310</v>
      </c>
      <c r="D48" s="22" t="s">
        <v>310</v>
      </c>
      <c r="E48" s="170">
        <v>5544.0</v>
      </c>
      <c r="F48" s="22" t="s">
        <v>342</v>
      </c>
      <c r="G48" s="22" t="str">
        <f t="shared" si="2"/>
        <v>Family</v>
      </c>
    </row>
    <row r="49" ht="15.75" customHeight="1">
      <c r="A49" s="169">
        <v>43110.0</v>
      </c>
      <c r="B49" s="206" t="str">
        <f t="shared" si="1"/>
        <v>enero 2018</v>
      </c>
      <c r="C49" s="22" t="s">
        <v>368</v>
      </c>
      <c r="D49" s="22" t="s">
        <v>332</v>
      </c>
      <c r="E49" s="29">
        <v>-16.18</v>
      </c>
      <c r="F49" s="22" t="s">
        <v>352</v>
      </c>
      <c r="G49" s="22" t="str">
        <f t="shared" si="2"/>
        <v>Dad</v>
      </c>
    </row>
    <row r="50" ht="15.75" customHeight="1">
      <c r="A50" s="169">
        <v>43109.0</v>
      </c>
      <c r="B50" s="206" t="str">
        <f t="shared" si="1"/>
        <v>enero 2018</v>
      </c>
      <c r="C50" s="22" t="s">
        <v>397</v>
      </c>
      <c r="D50" s="22" t="s">
        <v>355</v>
      </c>
      <c r="E50" s="29">
        <v>-513.97</v>
      </c>
      <c r="F50" s="22" t="s">
        <v>357</v>
      </c>
      <c r="G50" s="22" t="str">
        <f t="shared" si="2"/>
        <v>Mom</v>
      </c>
    </row>
    <row r="51" ht="15.75" customHeight="1">
      <c r="A51" s="169">
        <v>43109.0</v>
      </c>
      <c r="B51" s="206" t="str">
        <f t="shared" si="1"/>
        <v>enero 2018</v>
      </c>
      <c r="C51" s="22" t="s">
        <v>398</v>
      </c>
      <c r="D51" s="22" t="s">
        <v>324</v>
      </c>
      <c r="E51" s="29">
        <v>-50.0</v>
      </c>
      <c r="F51" s="22" t="s">
        <v>357</v>
      </c>
      <c r="G51" s="22" t="str">
        <f t="shared" si="2"/>
        <v>Mom</v>
      </c>
    </row>
    <row r="52" ht="15.75" customHeight="1">
      <c r="A52" s="169">
        <v>43108.0</v>
      </c>
      <c r="B52" s="206" t="str">
        <f t="shared" si="1"/>
        <v>enero 2018</v>
      </c>
      <c r="C52" s="22" t="s">
        <v>399</v>
      </c>
      <c r="D52" s="22" t="s">
        <v>319</v>
      </c>
      <c r="E52" s="29">
        <v>-36.76</v>
      </c>
      <c r="F52" s="22" t="s">
        <v>347</v>
      </c>
      <c r="G52" s="22" t="str">
        <f t="shared" si="2"/>
        <v>Dad</v>
      </c>
    </row>
    <row r="53" ht="15.75" customHeight="1">
      <c r="A53" s="169">
        <v>43107.0</v>
      </c>
      <c r="B53" s="206" t="str">
        <f t="shared" si="1"/>
        <v>enero 2018</v>
      </c>
      <c r="C53" s="22" t="s">
        <v>400</v>
      </c>
      <c r="D53" s="22" t="s">
        <v>370</v>
      </c>
      <c r="E53" s="29">
        <v>-35.34</v>
      </c>
      <c r="F53" s="22" t="s">
        <v>357</v>
      </c>
      <c r="G53" s="22" t="str">
        <f t="shared" si="2"/>
        <v>Mom</v>
      </c>
    </row>
    <row r="54" ht="15.75" customHeight="1">
      <c r="A54" s="169">
        <v>43106.0</v>
      </c>
      <c r="B54" s="206" t="str">
        <f t="shared" si="1"/>
        <v>enero 2018</v>
      </c>
      <c r="C54" s="22" t="s">
        <v>379</v>
      </c>
      <c r="D54" s="22" t="s">
        <v>351</v>
      </c>
      <c r="E54" s="29">
        <v>-19.67</v>
      </c>
      <c r="F54" s="22" t="s">
        <v>347</v>
      </c>
      <c r="G54" s="22" t="str">
        <f t="shared" si="2"/>
        <v>Dad</v>
      </c>
    </row>
    <row r="55" ht="15.75" customHeight="1">
      <c r="A55" s="169">
        <v>43106.0</v>
      </c>
      <c r="B55" s="206" t="str">
        <f t="shared" si="1"/>
        <v>enero 2018</v>
      </c>
      <c r="C55" s="22" t="s">
        <v>378</v>
      </c>
      <c r="D55" s="22" t="s">
        <v>351</v>
      </c>
      <c r="E55" s="29">
        <v>-48.74</v>
      </c>
      <c r="F55" s="22" t="s">
        <v>347</v>
      </c>
      <c r="G55" s="22" t="str">
        <f t="shared" si="2"/>
        <v>Dad</v>
      </c>
    </row>
    <row r="56" ht="15.75" customHeight="1">
      <c r="A56" s="169">
        <v>43106.0</v>
      </c>
      <c r="B56" s="206" t="str">
        <f t="shared" si="1"/>
        <v>enero 2018</v>
      </c>
      <c r="C56" s="22" t="s">
        <v>375</v>
      </c>
      <c r="D56" s="22" t="s">
        <v>332</v>
      </c>
      <c r="E56" s="29">
        <v>-20.0</v>
      </c>
      <c r="F56" s="22" t="s">
        <v>357</v>
      </c>
      <c r="G56" s="22" t="str">
        <f t="shared" si="2"/>
        <v>Mom</v>
      </c>
    </row>
    <row r="57" ht="15.75" customHeight="1">
      <c r="A57" s="169">
        <v>43105.0</v>
      </c>
      <c r="B57" s="206" t="str">
        <f t="shared" si="1"/>
        <v>enero 2018</v>
      </c>
      <c r="C57" s="22" t="s">
        <v>380</v>
      </c>
      <c r="D57" s="22" t="s">
        <v>332</v>
      </c>
      <c r="E57" s="29">
        <v>-10.81</v>
      </c>
      <c r="F57" s="22" t="s">
        <v>364</v>
      </c>
      <c r="G57" s="22" t="str">
        <f t="shared" si="2"/>
        <v>Mom</v>
      </c>
    </row>
    <row r="58" ht="15.75" customHeight="1">
      <c r="A58" s="169">
        <v>43104.0</v>
      </c>
      <c r="B58" s="206" t="str">
        <f t="shared" si="1"/>
        <v>enero 2018</v>
      </c>
      <c r="C58" s="22" t="s">
        <v>371</v>
      </c>
      <c r="D58" s="22" t="s">
        <v>319</v>
      </c>
      <c r="E58" s="29">
        <v>-52.69</v>
      </c>
      <c r="F58" s="22" t="s">
        <v>347</v>
      </c>
      <c r="G58" s="22" t="str">
        <f t="shared" si="2"/>
        <v>Dad</v>
      </c>
    </row>
    <row r="59" ht="15.75" customHeight="1">
      <c r="A59" s="169">
        <v>43103.0</v>
      </c>
      <c r="B59" s="206" t="str">
        <f t="shared" si="1"/>
        <v>enero 2018</v>
      </c>
      <c r="C59" s="22" t="s">
        <v>369</v>
      </c>
      <c r="D59" s="22" t="s">
        <v>370</v>
      </c>
      <c r="E59" s="29">
        <v>-12.91</v>
      </c>
      <c r="F59" s="22" t="s">
        <v>364</v>
      </c>
      <c r="G59" s="22" t="str">
        <f t="shared" si="2"/>
        <v>Mom</v>
      </c>
    </row>
    <row r="60" ht="15.75" customHeight="1">
      <c r="A60" s="169">
        <v>43102.0</v>
      </c>
      <c r="B60" s="206" t="str">
        <f t="shared" si="1"/>
        <v>enero 2018</v>
      </c>
      <c r="C60" s="22" t="s">
        <v>401</v>
      </c>
      <c r="D60" s="22" t="s">
        <v>314</v>
      </c>
      <c r="E60" s="29">
        <v>-251.33</v>
      </c>
      <c r="F60" s="22" t="s">
        <v>356</v>
      </c>
      <c r="G60" s="22" t="str">
        <f t="shared" si="2"/>
        <v>Dad</v>
      </c>
    </row>
    <row r="61" ht="15.75" customHeight="1">
      <c r="A61" s="169">
        <v>43101.0</v>
      </c>
      <c r="B61" s="206" t="str">
        <f t="shared" si="1"/>
        <v>enero 2018</v>
      </c>
      <c r="C61" s="22" t="s">
        <v>381</v>
      </c>
      <c r="D61" s="22" t="s">
        <v>370</v>
      </c>
      <c r="E61" s="29">
        <v>-3.56</v>
      </c>
      <c r="F61" s="22" t="s">
        <v>346</v>
      </c>
      <c r="G61" s="22" t="str">
        <f t="shared" si="2"/>
        <v>Daughter</v>
      </c>
    </row>
    <row r="62" ht="15.75" customHeight="1">
      <c r="A62" s="169">
        <v>43101.0</v>
      </c>
      <c r="B62" s="206" t="str">
        <f t="shared" si="1"/>
        <v>enero 2018</v>
      </c>
      <c r="C62" s="22" t="s">
        <v>382</v>
      </c>
      <c r="D62" s="22" t="s">
        <v>317</v>
      </c>
      <c r="E62" s="29">
        <v>-322.84</v>
      </c>
      <c r="F62" s="22" t="s">
        <v>356</v>
      </c>
      <c r="G62" s="22" t="str">
        <f t="shared" si="2"/>
        <v>Dad</v>
      </c>
    </row>
    <row r="63" ht="15.75" customHeight="1">
      <c r="A63" s="169">
        <v>43100.0</v>
      </c>
      <c r="B63" s="206" t="str">
        <f t="shared" si="1"/>
        <v>diciembre 2017</v>
      </c>
      <c r="C63" s="22" t="s">
        <v>383</v>
      </c>
      <c r="D63" s="22" t="s">
        <v>328</v>
      </c>
      <c r="E63" s="29">
        <v>-115.74967014479407</v>
      </c>
      <c r="F63" s="22" t="s">
        <v>346</v>
      </c>
      <c r="G63" s="22" t="str">
        <f t="shared" si="2"/>
        <v>Daughter</v>
      </c>
    </row>
    <row r="64" ht="15.75" customHeight="1">
      <c r="A64" s="169">
        <v>43099.0</v>
      </c>
      <c r="B64" s="206" t="str">
        <f t="shared" si="1"/>
        <v>diciembre 2017</v>
      </c>
      <c r="C64" s="22" t="s">
        <v>399</v>
      </c>
      <c r="D64" s="22" t="s">
        <v>319</v>
      </c>
      <c r="E64" s="29">
        <v>-28.600200780444766</v>
      </c>
      <c r="F64" s="22" t="s">
        <v>347</v>
      </c>
      <c r="G64" s="22" t="str">
        <f t="shared" si="2"/>
        <v>Dad</v>
      </c>
    </row>
    <row r="65" ht="15.75" customHeight="1">
      <c r="A65" s="169">
        <v>43098.0</v>
      </c>
      <c r="B65" s="206" t="str">
        <f t="shared" si="1"/>
        <v>diciembre 2017</v>
      </c>
      <c r="C65" s="22" t="s">
        <v>400</v>
      </c>
      <c r="D65" s="22" t="s">
        <v>370</v>
      </c>
      <c r="E65" s="29">
        <v>-27.972195350837076</v>
      </c>
      <c r="F65" s="22" t="s">
        <v>357</v>
      </c>
      <c r="G65" s="22" t="str">
        <f t="shared" si="2"/>
        <v>Mom</v>
      </c>
    </row>
    <row r="66" ht="15.75" customHeight="1">
      <c r="A66" s="169">
        <v>43097.0</v>
      </c>
      <c r="B66" s="206" t="str">
        <f t="shared" si="1"/>
        <v>diciembre 2017</v>
      </c>
      <c r="C66" s="22" t="s">
        <v>388</v>
      </c>
      <c r="D66" s="22" t="s">
        <v>330</v>
      </c>
      <c r="E66" s="29">
        <v>-621.1731484738832</v>
      </c>
      <c r="F66" s="22" t="s">
        <v>342</v>
      </c>
      <c r="G66" s="22" t="str">
        <f t="shared" si="2"/>
        <v>Family</v>
      </c>
    </row>
    <row r="67" ht="15.75" customHeight="1">
      <c r="A67" s="169">
        <v>43096.0</v>
      </c>
      <c r="B67" s="206" t="str">
        <f t="shared" si="1"/>
        <v>diciembre 2017</v>
      </c>
      <c r="C67" s="22" t="s">
        <v>402</v>
      </c>
      <c r="D67" s="22" t="s">
        <v>326</v>
      </c>
      <c r="E67" s="29">
        <v>-300.0</v>
      </c>
      <c r="F67" s="22" t="s">
        <v>357</v>
      </c>
      <c r="G67" s="22" t="str">
        <f t="shared" si="2"/>
        <v>Mom</v>
      </c>
    </row>
    <row r="68" ht="15.75" customHeight="1">
      <c r="A68" s="169">
        <v>43095.0</v>
      </c>
      <c r="B68" s="206" t="str">
        <f t="shared" si="1"/>
        <v>diciembre 2017</v>
      </c>
      <c r="C68" s="22" t="s">
        <v>386</v>
      </c>
      <c r="D68" s="22" t="s">
        <v>332</v>
      </c>
      <c r="E68" s="29">
        <v>-6.872212037170101</v>
      </c>
      <c r="F68" s="22" t="s">
        <v>364</v>
      </c>
      <c r="G68" s="22" t="str">
        <f t="shared" si="2"/>
        <v>Mom</v>
      </c>
    </row>
    <row r="69" ht="15.75" customHeight="1">
      <c r="A69" s="169">
        <v>43094.0</v>
      </c>
      <c r="B69" s="206" t="str">
        <f t="shared" si="1"/>
        <v>diciembre 2017</v>
      </c>
      <c r="C69" s="22" t="s">
        <v>389</v>
      </c>
      <c r="D69" s="22" t="s">
        <v>319</v>
      </c>
      <c r="E69" s="29">
        <v>-14.63268068805967</v>
      </c>
      <c r="F69" s="22" t="s">
        <v>347</v>
      </c>
      <c r="G69" s="22" t="str">
        <f t="shared" si="2"/>
        <v>Dad</v>
      </c>
    </row>
    <row r="70" ht="15.75" customHeight="1">
      <c r="A70" s="169">
        <v>43093.0</v>
      </c>
      <c r="B70" s="206" t="str">
        <f t="shared" si="1"/>
        <v>diciembre 2017</v>
      </c>
      <c r="C70" s="22" t="s">
        <v>390</v>
      </c>
      <c r="D70" s="22" t="s">
        <v>311</v>
      </c>
      <c r="E70" s="170">
        <v>653.5878551844278</v>
      </c>
      <c r="F70" s="22" t="s">
        <v>342</v>
      </c>
      <c r="G70" s="22" t="str">
        <f t="shared" si="2"/>
        <v>Family</v>
      </c>
    </row>
    <row r="71" ht="15.75" customHeight="1">
      <c r="A71" s="169">
        <v>43092.0</v>
      </c>
      <c r="B71" s="206" t="str">
        <f t="shared" si="1"/>
        <v>diciembre 2017</v>
      </c>
      <c r="C71" s="22" t="s">
        <v>391</v>
      </c>
      <c r="D71" s="22" t="s">
        <v>370</v>
      </c>
      <c r="E71" s="29">
        <v>-6.18155654415109</v>
      </c>
      <c r="F71" s="22" t="s">
        <v>364</v>
      </c>
      <c r="G71" s="22" t="str">
        <f t="shared" si="2"/>
        <v>Mom</v>
      </c>
    </row>
    <row r="72" ht="15.75" customHeight="1">
      <c r="A72" s="169">
        <v>43092.0</v>
      </c>
      <c r="B72" s="206" t="str">
        <f t="shared" si="1"/>
        <v>diciembre 2017</v>
      </c>
      <c r="C72" s="22" t="s">
        <v>392</v>
      </c>
      <c r="D72" s="22" t="s">
        <v>370</v>
      </c>
      <c r="E72" s="29">
        <v>-15.956849155308712</v>
      </c>
      <c r="F72" s="22" t="s">
        <v>356</v>
      </c>
      <c r="G72" s="22" t="str">
        <f t="shared" si="2"/>
        <v>Dad</v>
      </c>
    </row>
    <row r="73" ht="15.75" customHeight="1">
      <c r="A73" s="169">
        <v>43091.0</v>
      </c>
      <c r="B73" s="206" t="str">
        <f t="shared" si="1"/>
        <v>diciembre 2017</v>
      </c>
      <c r="C73" s="22" t="s">
        <v>350</v>
      </c>
      <c r="D73" s="22" t="s">
        <v>351</v>
      </c>
      <c r="E73" s="29">
        <v>-25.17219849026685</v>
      </c>
      <c r="F73" s="22" t="s">
        <v>347</v>
      </c>
      <c r="G73" s="22" t="str">
        <f t="shared" si="2"/>
        <v>Dad</v>
      </c>
    </row>
    <row r="74" ht="15.75" customHeight="1">
      <c r="A74" s="169">
        <v>43091.0</v>
      </c>
      <c r="B74" s="206" t="str">
        <f t="shared" si="1"/>
        <v>diciembre 2017</v>
      </c>
      <c r="C74" s="22" t="s">
        <v>354</v>
      </c>
      <c r="D74" s="22" t="s">
        <v>329</v>
      </c>
      <c r="E74" s="29">
        <v>-50.34857494959573</v>
      </c>
      <c r="F74" s="22" t="s">
        <v>356</v>
      </c>
      <c r="G74" s="22" t="str">
        <f t="shared" si="2"/>
        <v>Dad</v>
      </c>
    </row>
    <row r="75" ht="15.75" customHeight="1">
      <c r="A75" s="169">
        <v>43090.0</v>
      </c>
      <c r="B75" s="206" t="str">
        <f t="shared" si="1"/>
        <v>diciembre 2017</v>
      </c>
      <c r="C75" s="22" t="s">
        <v>397</v>
      </c>
      <c r="D75" s="22" t="s">
        <v>355</v>
      </c>
      <c r="E75" s="29">
        <v>-488.95510428597606</v>
      </c>
      <c r="F75" s="22" t="s">
        <v>357</v>
      </c>
      <c r="G75" s="22" t="str">
        <f t="shared" si="2"/>
        <v>Mom</v>
      </c>
    </row>
    <row r="76" ht="15.75" customHeight="1">
      <c r="A76" s="169">
        <v>43089.0</v>
      </c>
      <c r="B76" s="206" t="str">
        <f t="shared" si="1"/>
        <v>diciembre 2017</v>
      </c>
      <c r="C76" s="22" t="s">
        <v>360</v>
      </c>
      <c r="D76" s="22" t="s">
        <v>351</v>
      </c>
      <c r="E76" s="29">
        <v>-260.3672663569953</v>
      </c>
      <c r="F76" s="22" t="s">
        <v>356</v>
      </c>
      <c r="G76" s="22" t="str">
        <f t="shared" si="2"/>
        <v>Dad</v>
      </c>
    </row>
    <row r="77" ht="15.75" customHeight="1">
      <c r="A77" s="169">
        <v>43088.0</v>
      </c>
      <c r="B77" s="206" t="str">
        <f t="shared" si="1"/>
        <v>diciembre 2017</v>
      </c>
      <c r="C77" s="22" t="s">
        <v>363</v>
      </c>
      <c r="D77" s="22" t="s">
        <v>355</v>
      </c>
      <c r="E77" s="29">
        <v>-16.48896418855478</v>
      </c>
      <c r="F77" s="22" t="s">
        <v>352</v>
      </c>
      <c r="G77" s="22" t="str">
        <f t="shared" si="2"/>
        <v>Dad</v>
      </c>
    </row>
    <row r="78" ht="15.75" customHeight="1">
      <c r="A78" s="169">
        <v>43086.0</v>
      </c>
      <c r="B78" s="206" t="str">
        <f t="shared" si="1"/>
        <v>diciembre 2017</v>
      </c>
      <c r="C78" s="22" t="s">
        <v>371</v>
      </c>
      <c r="D78" s="22" t="s">
        <v>319</v>
      </c>
      <c r="E78" s="29">
        <v>-27.183768951838047</v>
      </c>
      <c r="F78" s="22" t="s">
        <v>347</v>
      </c>
      <c r="G78" s="22" t="str">
        <f t="shared" si="2"/>
        <v>Dad</v>
      </c>
    </row>
    <row r="79" ht="15.75" customHeight="1">
      <c r="A79" s="169">
        <v>43085.0</v>
      </c>
      <c r="B79" s="206" t="str">
        <f t="shared" si="1"/>
        <v>diciembre 2017</v>
      </c>
      <c r="C79" s="22" t="s">
        <v>403</v>
      </c>
      <c r="D79" s="22" t="s">
        <v>326</v>
      </c>
      <c r="E79" s="29">
        <v>-300.0</v>
      </c>
      <c r="F79" s="22" t="s">
        <v>342</v>
      </c>
      <c r="G79" s="22" t="str">
        <f t="shared" si="2"/>
        <v>Family</v>
      </c>
    </row>
    <row r="80" ht="15.75" customHeight="1">
      <c r="A80" s="169">
        <v>43084.0</v>
      </c>
      <c r="B80" s="206" t="str">
        <f t="shared" si="1"/>
        <v>diciembre 2017</v>
      </c>
      <c r="C80" s="22" t="s">
        <v>376</v>
      </c>
      <c r="D80" s="22" t="s">
        <v>332</v>
      </c>
      <c r="E80" s="29">
        <v>-34.21658162443002</v>
      </c>
      <c r="F80" s="22" t="s">
        <v>356</v>
      </c>
      <c r="G80" s="22" t="str">
        <f t="shared" si="2"/>
        <v>Dad</v>
      </c>
    </row>
    <row r="81" ht="15.75" customHeight="1">
      <c r="A81" s="169">
        <v>43083.0</v>
      </c>
      <c r="B81" s="206" t="str">
        <f t="shared" si="1"/>
        <v>diciembre 2017</v>
      </c>
      <c r="C81" s="22" t="s">
        <v>377</v>
      </c>
      <c r="D81" s="22" t="s">
        <v>351</v>
      </c>
      <c r="E81" s="29">
        <v>-25.753114033343255</v>
      </c>
      <c r="F81" s="22" t="s">
        <v>347</v>
      </c>
      <c r="G81" s="22" t="str">
        <f t="shared" si="2"/>
        <v>Dad</v>
      </c>
    </row>
    <row r="82" ht="15.75" customHeight="1">
      <c r="A82" s="169">
        <v>43082.0</v>
      </c>
      <c r="B82" s="206" t="str">
        <f t="shared" si="1"/>
        <v>diciembre 2017</v>
      </c>
      <c r="C82" s="22" t="s">
        <v>378</v>
      </c>
      <c r="D82" s="22" t="s">
        <v>351</v>
      </c>
      <c r="E82" s="29">
        <v>-44.81379030050658</v>
      </c>
      <c r="F82" s="22" t="s">
        <v>347</v>
      </c>
      <c r="G82" s="22" t="str">
        <f t="shared" si="2"/>
        <v>Dad</v>
      </c>
    </row>
    <row r="83" ht="15.75" customHeight="1">
      <c r="A83" s="169">
        <v>43082.0</v>
      </c>
      <c r="B83" s="206" t="str">
        <f t="shared" si="1"/>
        <v>diciembre 2017</v>
      </c>
      <c r="C83" s="22" t="s">
        <v>393</v>
      </c>
      <c r="D83" s="22" t="s">
        <v>262</v>
      </c>
      <c r="E83" s="29">
        <v>-102.8502322142107</v>
      </c>
      <c r="F83" s="22" t="s">
        <v>357</v>
      </c>
      <c r="G83" s="22" t="str">
        <f t="shared" si="2"/>
        <v>Mom</v>
      </c>
    </row>
    <row r="84" ht="15.75" customHeight="1">
      <c r="A84" s="169">
        <v>43081.0</v>
      </c>
      <c r="B84" s="206" t="str">
        <f t="shared" si="1"/>
        <v>diciembre 2017</v>
      </c>
      <c r="C84" s="22" t="s">
        <v>379</v>
      </c>
      <c r="D84" s="22" t="s">
        <v>351</v>
      </c>
      <c r="E84" s="29">
        <v>-13.772233433191696</v>
      </c>
      <c r="F84" s="22" t="s">
        <v>347</v>
      </c>
      <c r="G84" s="22" t="str">
        <f t="shared" si="2"/>
        <v>Dad</v>
      </c>
    </row>
    <row r="85" ht="15.75" customHeight="1">
      <c r="A85" s="169">
        <v>43080.0</v>
      </c>
      <c r="B85" s="206" t="str">
        <f t="shared" si="1"/>
        <v>diciembre 2017</v>
      </c>
      <c r="C85" s="22" t="s">
        <v>345</v>
      </c>
      <c r="D85" s="22" t="s">
        <v>370</v>
      </c>
      <c r="E85" s="29">
        <v>-10.264651962190525</v>
      </c>
      <c r="F85" s="22" t="s">
        <v>346</v>
      </c>
      <c r="G85" s="22" t="str">
        <f t="shared" si="2"/>
        <v>Daughter</v>
      </c>
    </row>
    <row r="86" ht="15.75" customHeight="1">
      <c r="A86" s="169">
        <v>43080.0</v>
      </c>
      <c r="B86" s="206" t="str">
        <f t="shared" si="1"/>
        <v>diciembre 2017</v>
      </c>
      <c r="C86" s="22" t="s">
        <v>380</v>
      </c>
      <c r="D86" s="22" t="s">
        <v>332</v>
      </c>
      <c r="E86" s="29">
        <v>-9.714603292361232</v>
      </c>
      <c r="F86" s="22" t="s">
        <v>364</v>
      </c>
      <c r="G86" s="22" t="str">
        <f t="shared" si="2"/>
        <v>Mom</v>
      </c>
    </row>
    <row r="87" ht="15.75" customHeight="1">
      <c r="A87" s="169">
        <v>43079.0</v>
      </c>
      <c r="B87" s="206" t="str">
        <f t="shared" si="1"/>
        <v>diciembre 2017</v>
      </c>
      <c r="C87" s="22" t="s">
        <v>369</v>
      </c>
      <c r="D87" s="22" t="s">
        <v>370</v>
      </c>
      <c r="E87" s="29">
        <v>-11.733451140784947</v>
      </c>
      <c r="F87" s="22" t="s">
        <v>364</v>
      </c>
      <c r="G87" s="22" t="str">
        <f t="shared" si="2"/>
        <v>Mom</v>
      </c>
    </row>
    <row r="88" ht="15.75" customHeight="1">
      <c r="A88" s="169">
        <v>43079.0</v>
      </c>
      <c r="B88" s="206" t="str">
        <f t="shared" si="1"/>
        <v>diciembre 2017</v>
      </c>
      <c r="C88" s="22" t="s">
        <v>366</v>
      </c>
      <c r="D88" s="22" t="s">
        <v>315</v>
      </c>
      <c r="E88" s="29">
        <v>-1903.0</v>
      </c>
      <c r="F88" s="22" t="s">
        <v>342</v>
      </c>
      <c r="G88" s="22" t="str">
        <f t="shared" si="2"/>
        <v>Family</v>
      </c>
    </row>
    <row r="89" ht="15.75" customHeight="1">
      <c r="A89" s="169">
        <v>43079.0</v>
      </c>
      <c r="B89" s="206" t="str">
        <f t="shared" si="1"/>
        <v>diciembre 2017</v>
      </c>
      <c r="C89" s="22" t="s">
        <v>310</v>
      </c>
      <c r="D89" s="22" t="s">
        <v>310</v>
      </c>
      <c r="E89" s="170">
        <v>5544.0</v>
      </c>
      <c r="F89" s="22" t="s">
        <v>342</v>
      </c>
      <c r="G89" s="22" t="str">
        <f t="shared" si="2"/>
        <v>Family</v>
      </c>
    </row>
    <row r="90" ht="15.75" customHeight="1">
      <c r="A90" s="169">
        <v>43079.0</v>
      </c>
      <c r="B90" s="206" t="str">
        <f t="shared" si="1"/>
        <v>diciembre 2017</v>
      </c>
      <c r="C90" s="22" t="s">
        <v>368</v>
      </c>
      <c r="D90" s="22" t="s">
        <v>332</v>
      </c>
      <c r="E90" s="29">
        <v>-15.119178234607485</v>
      </c>
      <c r="F90" s="22" t="s">
        <v>352</v>
      </c>
      <c r="G90" s="22" t="str">
        <f t="shared" si="2"/>
        <v>Dad</v>
      </c>
    </row>
    <row r="91" ht="15.75" customHeight="1">
      <c r="A91" s="169">
        <v>43078.0</v>
      </c>
      <c r="B91" s="206" t="str">
        <f t="shared" si="1"/>
        <v>diciembre 2017</v>
      </c>
      <c r="C91" s="22" t="s">
        <v>404</v>
      </c>
      <c r="D91" s="22" t="s">
        <v>314</v>
      </c>
      <c r="E91" s="29">
        <v>-249.68057299921207</v>
      </c>
      <c r="F91" s="22" t="s">
        <v>356</v>
      </c>
      <c r="G91" s="22" t="str">
        <f t="shared" si="2"/>
        <v>Dad</v>
      </c>
    </row>
    <row r="92" ht="15.75" customHeight="1">
      <c r="A92" s="169">
        <v>43077.0</v>
      </c>
      <c r="B92" s="206" t="str">
        <f t="shared" si="1"/>
        <v>diciembre 2017</v>
      </c>
      <c r="C92" s="22" t="s">
        <v>373</v>
      </c>
      <c r="D92" s="22" t="s">
        <v>332</v>
      </c>
      <c r="E92" s="29">
        <v>-2.0757459156642257</v>
      </c>
      <c r="F92" s="22" t="s">
        <v>357</v>
      </c>
      <c r="G92" s="22" t="str">
        <f t="shared" si="2"/>
        <v>Mom</v>
      </c>
    </row>
    <row r="93" ht="15.75" customHeight="1">
      <c r="A93" s="169">
        <v>43076.0</v>
      </c>
      <c r="B93" s="206" t="str">
        <f t="shared" si="1"/>
        <v>diciembre 2017</v>
      </c>
      <c r="C93" s="22" t="s">
        <v>374</v>
      </c>
      <c r="D93" s="22" t="s">
        <v>370</v>
      </c>
      <c r="E93" s="29">
        <v>-16.06684016842345</v>
      </c>
      <c r="F93" s="22" t="s">
        <v>347</v>
      </c>
      <c r="G93" s="22" t="str">
        <f t="shared" si="2"/>
        <v>Dad</v>
      </c>
    </row>
    <row r="94" ht="15.75" customHeight="1">
      <c r="A94" s="169">
        <v>43075.0</v>
      </c>
      <c r="B94" s="206" t="str">
        <f t="shared" si="1"/>
        <v>diciembre 2017</v>
      </c>
      <c r="C94" s="22" t="s">
        <v>385</v>
      </c>
      <c r="D94" s="22" t="s">
        <v>319</v>
      </c>
      <c r="E94" s="29">
        <v>-68.51537488974336</v>
      </c>
      <c r="F94" s="22" t="s">
        <v>347</v>
      </c>
      <c r="G94" s="22" t="str">
        <f t="shared" si="2"/>
        <v>Dad</v>
      </c>
    </row>
    <row r="95" ht="15.75" customHeight="1">
      <c r="A95" s="169">
        <v>43075.0</v>
      </c>
      <c r="B95" s="206" t="str">
        <f t="shared" si="1"/>
        <v>diciembre 2017</v>
      </c>
      <c r="C95" s="22" t="s">
        <v>375</v>
      </c>
      <c r="D95" s="22" t="s">
        <v>332</v>
      </c>
      <c r="E95" s="29">
        <v>-18.12132712593789</v>
      </c>
      <c r="F95" s="22" t="s">
        <v>357</v>
      </c>
      <c r="G95" s="22" t="str">
        <f t="shared" si="2"/>
        <v>Mom</v>
      </c>
    </row>
    <row r="96" ht="15.75" customHeight="1">
      <c r="A96" s="169">
        <v>43074.0</v>
      </c>
      <c r="B96" s="206" t="str">
        <f t="shared" si="1"/>
        <v>diciembre 2017</v>
      </c>
      <c r="C96" s="22" t="s">
        <v>394</v>
      </c>
      <c r="D96" s="22" t="s">
        <v>262</v>
      </c>
      <c r="E96" s="29">
        <v>-24.422722278885228</v>
      </c>
      <c r="F96" s="22" t="s">
        <v>357</v>
      </c>
      <c r="G96" s="22" t="str">
        <f t="shared" si="2"/>
        <v>Mom</v>
      </c>
    </row>
    <row r="97" ht="15.75" customHeight="1">
      <c r="A97" s="169">
        <v>43073.0</v>
      </c>
      <c r="B97" s="206" t="str">
        <f t="shared" si="1"/>
        <v>diciembre 2017</v>
      </c>
      <c r="C97" s="22" t="s">
        <v>396</v>
      </c>
      <c r="D97" s="22" t="s">
        <v>319</v>
      </c>
      <c r="E97" s="29">
        <v>-107.75932954943372</v>
      </c>
      <c r="F97" s="22" t="s">
        <v>347</v>
      </c>
      <c r="G97" s="22" t="str">
        <f t="shared" si="2"/>
        <v>Dad</v>
      </c>
    </row>
    <row r="98" ht="15.75" customHeight="1">
      <c r="A98" s="169">
        <v>43072.0</v>
      </c>
      <c r="B98" s="206" t="str">
        <f t="shared" si="1"/>
        <v>diciembre 2017</v>
      </c>
      <c r="C98" s="22" t="s">
        <v>395</v>
      </c>
      <c r="D98" s="22" t="s">
        <v>370</v>
      </c>
      <c r="E98" s="29">
        <v>-60.205891588102475</v>
      </c>
      <c r="F98" s="22" t="s">
        <v>364</v>
      </c>
      <c r="G98" s="22" t="str">
        <f t="shared" si="2"/>
        <v>Mom</v>
      </c>
    </row>
    <row r="99" ht="15.75" customHeight="1">
      <c r="A99" s="169">
        <v>43072.0</v>
      </c>
      <c r="B99" s="206" t="str">
        <f t="shared" si="1"/>
        <v>diciembre 2017</v>
      </c>
      <c r="C99" s="22" t="s">
        <v>398</v>
      </c>
      <c r="D99" s="22" t="s">
        <v>324</v>
      </c>
      <c r="E99" s="29">
        <v>-25.409532702415337</v>
      </c>
      <c r="F99" s="22" t="s">
        <v>364</v>
      </c>
      <c r="G99" s="22" t="str">
        <f t="shared" si="2"/>
        <v>Mom</v>
      </c>
    </row>
    <row r="100" ht="15.75" customHeight="1">
      <c r="A100" s="169">
        <v>43071.0</v>
      </c>
      <c r="B100" s="206" t="str">
        <f t="shared" si="1"/>
        <v>diciembre 2017</v>
      </c>
      <c r="C100" s="22" t="s">
        <v>381</v>
      </c>
      <c r="D100" s="22" t="s">
        <v>370</v>
      </c>
      <c r="E100" s="29">
        <v>-2.5152269314867968</v>
      </c>
      <c r="F100" s="22" t="s">
        <v>346</v>
      </c>
      <c r="G100" s="22" t="str">
        <f t="shared" si="2"/>
        <v>Daughter</v>
      </c>
    </row>
    <row r="101" ht="15.75" customHeight="1">
      <c r="A101" s="169">
        <v>43071.0</v>
      </c>
      <c r="B101" s="206" t="str">
        <f t="shared" si="1"/>
        <v>diciembre 2017</v>
      </c>
      <c r="C101" s="22" t="s">
        <v>382</v>
      </c>
      <c r="D101" s="22" t="s">
        <v>317</v>
      </c>
      <c r="E101" s="29">
        <v>-205.43755902360425</v>
      </c>
      <c r="F101" s="22" t="s">
        <v>356</v>
      </c>
      <c r="G101" s="22" t="str">
        <f t="shared" si="2"/>
        <v>Dad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13.25"/>
    <col customWidth="1" min="3" max="3" width="15.88"/>
    <col customWidth="1" min="4" max="4" width="13.38"/>
    <col customWidth="1" min="5" max="26" width="14.38"/>
  </cols>
  <sheetData>
    <row r="1" ht="15.75" customHeight="1">
      <c r="A1" s="1" t="s">
        <v>71</v>
      </c>
    </row>
    <row r="2" ht="15.75" customHeight="1"/>
    <row r="3" ht="15.75" customHeight="1">
      <c r="A3" s="4" t="s">
        <v>72</v>
      </c>
    </row>
    <row r="4" ht="15.75" customHeight="1">
      <c r="B4" s="68" t="s">
        <v>73</v>
      </c>
      <c r="C4" s="68" t="s">
        <v>74</v>
      </c>
      <c r="D4" s="68" t="s">
        <v>75</v>
      </c>
      <c r="E4" s="68" t="s">
        <v>76</v>
      </c>
      <c r="F4" s="48" t="s">
        <v>77</v>
      </c>
      <c r="G4" s="48" t="s">
        <v>78</v>
      </c>
    </row>
    <row r="5" ht="15.75" customHeight="1">
      <c r="A5" s="69" t="s">
        <v>79</v>
      </c>
      <c r="B5" s="69" t="s">
        <v>80</v>
      </c>
      <c r="C5" s="69" t="s">
        <v>81</v>
      </c>
      <c r="D5" s="69" t="s">
        <v>82</v>
      </c>
      <c r="E5" s="69" t="s">
        <v>83</v>
      </c>
      <c r="F5" s="69" t="s">
        <v>84</v>
      </c>
      <c r="G5" s="69" t="s">
        <v>85</v>
      </c>
    </row>
    <row r="6" ht="15.75" customHeight="1">
      <c r="A6" s="70" t="s">
        <v>86</v>
      </c>
      <c r="B6" s="71">
        <v>0.3</v>
      </c>
      <c r="C6" s="71">
        <v>1.0</v>
      </c>
      <c r="D6" s="72">
        <v>20.0</v>
      </c>
      <c r="E6" s="72">
        <v>18.0</v>
      </c>
      <c r="F6" s="73">
        <f t="shared" ref="F6:G6" si="1">B6*D6</f>
        <v>6</v>
      </c>
      <c r="G6" s="73">
        <f t="shared" si="1"/>
        <v>18</v>
      </c>
    </row>
    <row r="7" ht="15.75" customHeight="1">
      <c r="A7" s="22" t="s">
        <v>87</v>
      </c>
      <c r="B7" s="74">
        <v>0.5</v>
      </c>
      <c r="C7" s="74">
        <v>1.5</v>
      </c>
      <c r="D7" s="48">
        <v>30.0</v>
      </c>
      <c r="E7" s="48">
        <v>23.0</v>
      </c>
      <c r="F7" s="73">
        <f t="shared" ref="F7:G7" si="2">B7*D7</f>
        <v>15</v>
      </c>
      <c r="G7" s="73">
        <f t="shared" si="2"/>
        <v>34.5</v>
      </c>
    </row>
    <row r="8" ht="15.75" customHeight="1">
      <c r="A8" s="70" t="s">
        <v>88</v>
      </c>
      <c r="B8" s="71">
        <v>0.7</v>
      </c>
      <c r="C8" s="71">
        <v>2.99</v>
      </c>
      <c r="D8" s="72">
        <v>10.0</v>
      </c>
      <c r="E8" s="72">
        <v>8.0</v>
      </c>
      <c r="F8" s="73">
        <f t="shared" ref="F8:G8" si="3">B8*D8</f>
        <v>7</v>
      </c>
      <c r="G8" s="73">
        <f t="shared" si="3"/>
        <v>23.92</v>
      </c>
    </row>
    <row r="9" ht="15.75" customHeight="1">
      <c r="A9" s="22" t="s">
        <v>89</v>
      </c>
      <c r="B9" s="74">
        <v>0.1</v>
      </c>
      <c r="C9" s="74">
        <v>0.5</v>
      </c>
      <c r="D9" s="48">
        <v>12.0</v>
      </c>
      <c r="E9" s="48">
        <v>10.0</v>
      </c>
      <c r="F9" s="73">
        <f t="shared" ref="F9:G9" si="4">B9*D9</f>
        <v>1.2</v>
      </c>
      <c r="G9" s="73">
        <f t="shared" si="4"/>
        <v>5</v>
      </c>
    </row>
    <row r="10" ht="15.75" customHeight="1">
      <c r="A10" s="70" t="s">
        <v>90</v>
      </c>
      <c r="B10" s="71">
        <v>2.1</v>
      </c>
      <c r="C10" s="71">
        <v>6.99</v>
      </c>
      <c r="D10" s="72">
        <v>15.0</v>
      </c>
      <c r="E10" s="72">
        <v>9.0</v>
      </c>
      <c r="F10" s="73">
        <f t="shared" ref="F10:G10" si="5">B10*D10</f>
        <v>31.5</v>
      </c>
      <c r="G10" s="73">
        <f t="shared" si="5"/>
        <v>62.91</v>
      </c>
    </row>
    <row r="11" ht="15.75" customHeight="1"/>
    <row r="12" ht="15.75" customHeight="1">
      <c r="A12" s="4" t="s">
        <v>91</v>
      </c>
    </row>
    <row r="13" ht="15.75" customHeight="1">
      <c r="B13" s="68" t="s">
        <v>73</v>
      </c>
      <c r="C13" s="68" t="s">
        <v>74</v>
      </c>
      <c r="D13" s="68" t="s">
        <v>75</v>
      </c>
      <c r="E13" s="48" t="s">
        <v>92</v>
      </c>
      <c r="F13" s="48" t="s">
        <v>77</v>
      </c>
    </row>
    <row r="14" ht="15.75" customHeight="1">
      <c r="A14" s="69" t="s">
        <v>79</v>
      </c>
      <c r="B14" s="69" t="s">
        <v>93</v>
      </c>
      <c r="C14" s="69" t="s">
        <v>94</v>
      </c>
      <c r="D14" s="69" t="s">
        <v>81</v>
      </c>
      <c r="E14" s="69" t="s">
        <v>84</v>
      </c>
      <c r="F14" s="69" t="s">
        <v>85</v>
      </c>
    </row>
    <row r="15" ht="15.75" customHeight="1">
      <c r="A15" s="70" t="s">
        <v>86</v>
      </c>
      <c r="B15" s="72">
        <v>20.0</v>
      </c>
      <c r="C15" s="71">
        <v>0.3</v>
      </c>
      <c r="D15" s="71">
        <v>1.0</v>
      </c>
      <c r="E15" s="73">
        <f t="shared" ref="E15:F15" si="6">$B15*C15</f>
        <v>6</v>
      </c>
      <c r="F15" s="73">
        <f t="shared" si="6"/>
        <v>20</v>
      </c>
    </row>
    <row r="16" ht="15.75" customHeight="1">
      <c r="A16" s="22" t="s">
        <v>87</v>
      </c>
      <c r="B16" s="48">
        <v>30.0</v>
      </c>
      <c r="C16" s="74">
        <v>0.5</v>
      </c>
      <c r="D16" s="74">
        <v>1.5</v>
      </c>
      <c r="E16" s="73">
        <f t="shared" ref="E16:F16" si="7">$B16*C16</f>
        <v>15</v>
      </c>
      <c r="F16" s="73">
        <f t="shared" si="7"/>
        <v>45</v>
      </c>
    </row>
    <row r="17" ht="15.75" customHeight="1">
      <c r="A17" s="70" t="s">
        <v>88</v>
      </c>
      <c r="B17" s="72">
        <v>10.0</v>
      </c>
      <c r="C17" s="71">
        <v>0.7</v>
      </c>
      <c r="D17" s="71">
        <v>2.99</v>
      </c>
      <c r="E17" s="73">
        <f t="shared" ref="E17:F17" si="8">$B17*C17</f>
        <v>7</v>
      </c>
      <c r="F17" s="73">
        <f t="shared" si="8"/>
        <v>29.9</v>
      </c>
    </row>
    <row r="18" ht="15.75" customHeight="1">
      <c r="A18" s="22" t="s">
        <v>89</v>
      </c>
      <c r="B18" s="48">
        <v>12.0</v>
      </c>
      <c r="C18" s="74">
        <v>0.1</v>
      </c>
      <c r="D18" s="74">
        <v>0.5</v>
      </c>
      <c r="E18" s="73">
        <f t="shared" ref="E18:F18" si="9">$B18*C18</f>
        <v>1.2</v>
      </c>
      <c r="F18" s="73">
        <f t="shared" si="9"/>
        <v>6</v>
      </c>
    </row>
    <row r="19" ht="15.75" customHeight="1">
      <c r="A19" s="70" t="s">
        <v>90</v>
      </c>
      <c r="B19" s="72">
        <v>15.0</v>
      </c>
      <c r="C19" s="71">
        <v>2.1</v>
      </c>
      <c r="D19" s="71">
        <v>6.99</v>
      </c>
      <c r="E19" s="73">
        <f t="shared" ref="E19:F19" si="10">$B19*C19</f>
        <v>31.5</v>
      </c>
      <c r="F19" s="73">
        <f t="shared" si="10"/>
        <v>104.85</v>
      </c>
    </row>
    <row r="20" ht="15.75" customHeight="1"/>
    <row r="21" ht="15.75" customHeight="1">
      <c r="B21" s="75" t="s">
        <v>95</v>
      </c>
      <c r="C21" s="76">
        <v>0.08</v>
      </c>
    </row>
    <row r="22" ht="15.75" customHeight="1">
      <c r="B22" s="68" t="s">
        <v>74</v>
      </c>
      <c r="C22" s="68" t="s">
        <v>75</v>
      </c>
      <c r="D22" s="68" t="s">
        <v>96</v>
      </c>
      <c r="E22" s="48" t="s">
        <v>97</v>
      </c>
      <c r="F22" s="48" t="s">
        <v>98</v>
      </c>
    </row>
    <row r="23" ht="15.75" customHeight="1">
      <c r="A23" s="69" t="s">
        <v>79</v>
      </c>
      <c r="B23" s="69" t="s">
        <v>83</v>
      </c>
      <c r="C23" s="69" t="s">
        <v>81</v>
      </c>
      <c r="D23" s="69" t="s">
        <v>99</v>
      </c>
      <c r="E23" s="69" t="s">
        <v>100</v>
      </c>
      <c r="F23" s="69" t="s">
        <v>85</v>
      </c>
    </row>
    <row r="24" ht="15.75" customHeight="1">
      <c r="A24" s="70" t="s">
        <v>86</v>
      </c>
      <c r="B24" s="72">
        <v>20.0</v>
      </c>
      <c r="C24" s="71">
        <v>1.0</v>
      </c>
      <c r="D24" s="77">
        <f t="shared" ref="D24:D28" si="11">C24*B24</f>
        <v>20</v>
      </c>
      <c r="E24" s="73">
        <f t="shared" ref="E24:E28" si="12">D24*$C$21</f>
        <v>1.6</v>
      </c>
      <c r="F24" s="71">
        <f t="shared" ref="F24:F28" si="13">D24+E24</f>
        <v>21.6</v>
      </c>
    </row>
    <row r="25" ht="15.75" customHeight="1">
      <c r="A25" s="22" t="s">
        <v>87</v>
      </c>
      <c r="B25" s="48">
        <v>30.0</v>
      </c>
      <c r="C25" s="74">
        <v>1.5</v>
      </c>
      <c r="D25" s="29">
        <f t="shared" si="11"/>
        <v>45</v>
      </c>
      <c r="E25" s="73">
        <f t="shared" si="12"/>
        <v>3.6</v>
      </c>
      <c r="F25" s="74">
        <f t="shared" si="13"/>
        <v>48.6</v>
      </c>
    </row>
    <row r="26" ht="15.75" customHeight="1">
      <c r="A26" s="70" t="s">
        <v>88</v>
      </c>
      <c r="B26" s="72">
        <v>10.0</v>
      </c>
      <c r="C26" s="71">
        <v>2.99</v>
      </c>
      <c r="D26" s="77">
        <f t="shared" si="11"/>
        <v>29.9</v>
      </c>
      <c r="E26" s="73">
        <f t="shared" si="12"/>
        <v>2.392</v>
      </c>
      <c r="F26" s="71">
        <f t="shared" si="13"/>
        <v>32.292</v>
      </c>
    </row>
    <row r="27" ht="15.75" customHeight="1">
      <c r="A27" s="22" t="s">
        <v>89</v>
      </c>
      <c r="B27" s="48">
        <v>12.0</v>
      </c>
      <c r="C27" s="74">
        <v>0.5</v>
      </c>
      <c r="D27" s="29">
        <f t="shared" si="11"/>
        <v>6</v>
      </c>
      <c r="E27" s="73">
        <f t="shared" si="12"/>
        <v>0.48</v>
      </c>
      <c r="F27" s="74">
        <f t="shared" si="13"/>
        <v>6.48</v>
      </c>
    </row>
    <row r="28" ht="15.75" customHeight="1">
      <c r="A28" s="70" t="s">
        <v>90</v>
      </c>
      <c r="B28" s="72">
        <v>15.0</v>
      </c>
      <c r="C28" s="71">
        <v>6.99</v>
      </c>
      <c r="D28" s="77">
        <f t="shared" si="11"/>
        <v>104.85</v>
      </c>
      <c r="E28" s="73">
        <f t="shared" si="12"/>
        <v>8.388</v>
      </c>
      <c r="F28" s="71">
        <f t="shared" si="13"/>
        <v>113.238</v>
      </c>
    </row>
    <row r="29" ht="15.75" customHeight="1"/>
    <row r="30" ht="15.75" customHeight="1">
      <c r="B30" s="75" t="s">
        <v>101</v>
      </c>
      <c r="C30" s="78">
        <v>20.0</v>
      </c>
    </row>
    <row r="31" ht="15.75" customHeight="1">
      <c r="B31" s="68" t="s">
        <v>74</v>
      </c>
      <c r="C31" s="68" t="s">
        <v>75</v>
      </c>
      <c r="D31" s="48" t="s">
        <v>92</v>
      </c>
      <c r="E31" s="48" t="s">
        <v>77</v>
      </c>
    </row>
    <row r="32" ht="15.75" customHeight="1">
      <c r="A32" s="69" t="s">
        <v>79</v>
      </c>
      <c r="B32" s="69" t="s">
        <v>94</v>
      </c>
      <c r="C32" s="69" t="s">
        <v>81</v>
      </c>
      <c r="D32" s="69" t="s">
        <v>84</v>
      </c>
      <c r="E32" s="69" t="s">
        <v>85</v>
      </c>
    </row>
    <row r="33" ht="15.75" customHeight="1">
      <c r="A33" s="70" t="s">
        <v>86</v>
      </c>
      <c r="B33" s="71">
        <v>0.3</v>
      </c>
      <c r="C33" s="71">
        <v>1.0</v>
      </c>
      <c r="D33" s="73">
        <f t="shared" ref="D33:D37" si="14">$C$30*B33</f>
        <v>6</v>
      </c>
      <c r="E33" s="73">
        <f t="shared" ref="E33:E37" si="15">C33*$C$30</f>
        <v>20</v>
      </c>
    </row>
    <row r="34" ht="15.75" customHeight="1">
      <c r="A34" s="22" t="s">
        <v>87</v>
      </c>
      <c r="B34" s="74">
        <v>0.5</v>
      </c>
      <c r="C34" s="74">
        <v>1.5</v>
      </c>
      <c r="D34" s="73">
        <f t="shared" si="14"/>
        <v>10</v>
      </c>
      <c r="E34" s="73">
        <f t="shared" si="15"/>
        <v>30</v>
      </c>
    </row>
    <row r="35" ht="15.75" customHeight="1">
      <c r="A35" s="70" t="s">
        <v>88</v>
      </c>
      <c r="B35" s="71">
        <v>0.7</v>
      </c>
      <c r="C35" s="71">
        <v>2.99</v>
      </c>
      <c r="D35" s="73">
        <f t="shared" si="14"/>
        <v>14</v>
      </c>
      <c r="E35" s="73">
        <f t="shared" si="15"/>
        <v>59.8</v>
      </c>
    </row>
    <row r="36" ht="15.75" customHeight="1">
      <c r="A36" s="22" t="s">
        <v>89</v>
      </c>
      <c r="B36" s="74">
        <v>0.1</v>
      </c>
      <c r="C36" s="74">
        <v>0.5</v>
      </c>
      <c r="D36" s="73">
        <f t="shared" si="14"/>
        <v>2</v>
      </c>
      <c r="E36" s="73">
        <f t="shared" si="15"/>
        <v>10</v>
      </c>
    </row>
    <row r="37" ht="15.75" customHeight="1">
      <c r="A37" s="70" t="s">
        <v>90</v>
      </c>
      <c r="B37" s="71">
        <v>2.1</v>
      </c>
      <c r="C37" s="71">
        <v>6.99</v>
      </c>
      <c r="D37" s="73">
        <f t="shared" si="14"/>
        <v>42</v>
      </c>
      <c r="E37" s="73">
        <f t="shared" si="15"/>
        <v>139.8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sheetViews>
    <sheetView workbookViewId="0"/>
  </sheetViews>
  <sheetFormatPr customHeight="1" defaultColWidth="12.63" defaultRowHeight="15.0" outlineLevelRow="1"/>
  <cols>
    <col customWidth="1" min="1" max="1" width="18.38"/>
    <col customWidth="1" min="2" max="2" width="15.88"/>
    <col customWidth="1" min="3" max="3" width="18.38"/>
    <col customWidth="1" min="4" max="4" width="16.88"/>
    <col customWidth="1" min="5" max="5" width="9.88"/>
    <col customWidth="1" min="6" max="6" width="15.88"/>
    <col customWidth="1" min="7" max="7" width="15.0"/>
    <col customWidth="1" min="8" max="8" width="16.38"/>
    <col customWidth="1" min="9" max="10" width="15.88"/>
    <col customWidth="1" min="11" max="26" width="14.38"/>
  </cols>
  <sheetData>
    <row r="1" ht="15.75" customHeight="1">
      <c r="A1" s="79" t="s">
        <v>102</v>
      </c>
      <c r="C1" s="80" t="s">
        <v>103</v>
      </c>
      <c r="D1" s="81"/>
    </row>
    <row r="2" ht="15.75" customHeight="1"/>
    <row r="3" ht="15.75" customHeight="1" outlineLevel="1">
      <c r="A3" s="82" t="s">
        <v>104</v>
      </c>
      <c r="B3" s="83" t="s">
        <v>105</v>
      </c>
      <c r="C3" s="84"/>
      <c r="D3" s="85"/>
      <c r="E3" s="86"/>
      <c r="F3" s="87"/>
    </row>
    <row r="4" ht="15.75" customHeight="1" outlineLevel="1">
      <c r="A4" s="82" t="s">
        <v>106</v>
      </c>
      <c r="B4" s="83" t="s">
        <v>107</v>
      </c>
      <c r="C4" s="84"/>
      <c r="D4" s="85"/>
    </row>
    <row r="5" ht="15.75" customHeight="1" outlineLevel="1">
      <c r="A5" s="82" t="s">
        <v>108</v>
      </c>
      <c r="B5" s="83" t="s">
        <v>109</v>
      </c>
      <c r="C5" s="84"/>
      <c r="D5" s="85"/>
      <c r="E5" s="86"/>
      <c r="F5" s="86"/>
    </row>
    <row r="6" ht="15.75" customHeight="1" outlineLevel="1">
      <c r="A6" s="82" t="s">
        <v>110</v>
      </c>
      <c r="B6" s="83" t="s">
        <v>111</v>
      </c>
      <c r="C6" s="84"/>
      <c r="D6" s="85"/>
      <c r="E6" s="86"/>
      <c r="F6" s="86"/>
    </row>
    <row r="7" ht="15.75" customHeight="1" outlineLevel="1">
      <c r="A7" s="82" t="s">
        <v>112</v>
      </c>
      <c r="B7" s="83" t="s">
        <v>113</v>
      </c>
      <c r="C7" s="84"/>
      <c r="D7" s="85"/>
      <c r="E7" s="86"/>
      <c r="F7" s="86"/>
    </row>
    <row r="8" ht="15.75" customHeight="1" outlineLevel="1">
      <c r="A8" s="82" t="s">
        <v>114</v>
      </c>
      <c r="B8" s="83" t="s">
        <v>115</v>
      </c>
      <c r="C8" s="84"/>
      <c r="D8" s="85"/>
      <c r="E8" s="86"/>
      <c r="F8" s="86"/>
    </row>
    <row r="9" ht="15.75" customHeight="1" outlineLevel="1">
      <c r="A9" s="82" t="s">
        <v>116</v>
      </c>
      <c r="B9" s="83" t="s">
        <v>117</v>
      </c>
      <c r="C9" s="84"/>
      <c r="D9" s="85"/>
      <c r="E9" s="86"/>
      <c r="F9" s="86"/>
    </row>
    <row r="10" ht="15.75" customHeight="1" outlineLevel="1">
      <c r="A10" s="82" t="s">
        <v>118</v>
      </c>
      <c r="B10" s="83" t="s">
        <v>119</v>
      </c>
      <c r="C10" s="84"/>
      <c r="D10" s="85"/>
    </row>
    <row r="11" ht="15.75" customHeight="1" outlineLevel="1">
      <c r="A11" s="82" t="s">
        <v>120</v>
      </c>
      <c r="B11" s="83" t="s">
        <v>121</v>
      </c>
      <c r="C11" s="84"/>
      <c r="D11" s="85"/>
    </row>
    <row r="12" ht="15.75" customHeight="1" outlineLevel="1">
      <c r="C12" s="68" t="s">
        <v>73</v>
      </c>
      <c r="I12" s="68" t="s">
        <v>74</v>
      </c>
    </row>
    <row r="13" ht="15.75" customHeight="1">
      <c r="A13" s="69" t="s">
        <v>122</v>
      </c>
      <c r="B13" s="69" t="s">
        <v>123</v>
      </c>
      <c r="C13" s="69" t="s">
        <v>124</v>
      </c>
      <c r="D13" s="69" t="s">
        <v>125</v>
      </c>
      <c r="E13" s="69" t="s">
        <v>126</v>
      </c>
      <c r="F13" s="69" t="s">
        <v>127</v>
      </c>
      <c r="G13" s="69" t="s">
        <v>128</v>
      </c>
      <c r="H13" s="88" t="s">
        <v>129</v>
      </c>
      <c r="I13" s="88" t="s">
        <v>130</v>
      </c>
      <c r="J13" s="88" t="s">
        <v>131</v>
      </c>
    </row>
    <row r="14" ht="15.75" customHeight="1">
      <c r="A14" s="70" t="s">
        <v>132</v>
      </c>
      <c r="B14" s="70" t="s">
        <v>133</v>
      </c>
      <c r="C14" s="45" t="str">
        <f t="shared" ref="C14:C19" si="1">CONCATENATE(A14," ",B14)</f>
        <v>Rigoberto Montoya</v>
      </c>
      <c r="D14" s="70" t="s">
        <v>134</v>
      </c>
      <c r="E14" s="72">
        <v>40.0</v>
      </c>
      <c r="F14" s="89">
        <v>7526.0</v>
      </c>
      <c r="G14" s="90">
        <f t="shared" ref="G14:G19" si="2">F14*12</f>
        <v>90312</v>
      </c>
      <c r="H14" s="70" t="s">
        <v>135</v>
      </c>
      <c r="I14" s="45" t="str">
        <f>IFERROR(__xludf.DUMMYFUNCTION("SPLIT(H14,"","")"),"Phoenix")</f>
        <v>Phoenix</v>
      </c>
      <c r="J14" s="45" t="str">
        <f>IFERROR(__xludf.DUMMYFUNCTION("""COMPUTED_VALUE""")," AZ")</f>
        <v> AZ</v>
      </c>
    </row>
    <row r="15" ht="15.75" customHeight="1">
      <c r="A15" s="22" t="s">
        <v>136</v>
      </c>
      <c r="B15" s="22" t="s">
        <v>137</v>
      </c>
      <c r="C15" s="45" t="str">
        <f t="shared" si="1"/>
        <v>Valentine Ramirez</v>
      </c>
      <c r="D15" s="22" t="s">
        <v>138</v>
      </c>
      <c r="E15" s="48">
        <v>49.0</v>
      </c>
      <c r="F15" s="91">
        <v>3169.0</v>
      </c>
      <c r="G15" s="90">
        <f t="shared" si="2"/>
        <v>38028</v>
      </c>
      <c r="H15" s="22" t="s">
        <v>139</v>
      </c>
      <c r="I15" s="45" t="str">
        <f>IFERROR(__xludf.DUMMYFUNCTION("SPLIT(H15,"","")"),"New York")</f>
        <v>New York</v>
      </c>
      <c r="J15" s="45" t="str">
        <f>IFERROR(__xludf.DUMMYFUNCTION("""COMPUTED_VALUE""")," NY")</f>
        <v> NY</v>
      </c>
    </row>
    <row r="16" ht="15.75" customHeight="1">
      <c r="A16" s="70" t="s">
        <v>140</v>
      </c>
      <c r="B16" s="70" t="s">
        <v>141</v>
      </c>
      <c r="C16" s="45" t="str">
        <f t="shared" si="1"/>
        <v>Benedict Carney</v>
      </c>
      <c r="D16" s="70" t="s">
        <v>134</v>
      </c>
      <c r="E16" s="72">
        <v>42.0</v>
      </c>
      <c r="F16" s="89">
        <v>4632.0</v>
      </c>
      <c r="G16" s="90">
        <f t="shared" si="2"/>
        <v>55584</v>
      </c>
      <c r="H16" s="70" t="s">
        <v>142</v>
      </c>
      <c r="I16" s="45" t="str">
        <f>IFERROR(__xludf.DUMMYFUNCTION("SPLIT(H16,"","")"),"Miami")</f>
        <v>Miami</v>
      </c>
      <c r="J16" s="45" t="str">
        <f>IFERROR(__xludf.DUMMYFUNCTION("""COMPUTED_VALUE""")," FL")</f>
        <v> FL</v>
      </c>
    </row>
    <row r="17" ht="15.75" customHeight="1">
      <c r="A17" s="22" t="s">
        <v>143</v>
      </c>
      <c r="B17" s="22" t="s">
        <v>144</v>
      </c>
      <c r="C17" s="45" t="str">
        <f t="shared" si="1"/>
        <v>Lisa Villa</v>
      </c>
      <c r="D17" s="22" t="s">
        <v>138</v>
      </c>
      <c r="E17" s="48">
        <v>40.0</v>
      </c>
      <c r="F17" s="91">
        <v>9262.0</v>
      </c>
      <c r="G17" s="90">
        <f t="shared" si="2"/>
        <v>111144</v>
      </c>
      <c r="H17" s="22" t="s">
        <v>145</v>
      </c>
      <c r="I17" s="45" t="str">
        <f>IFERROR(__xludf.DUMMYFUNCTION("SPLIT(H17,"","")"),"San Francisco")</f>
        <v>San Francisco</v>
      </c>
      <c r="J17" s="45" t="str">
        <f>IFERROR(__xludf.DUMMYFUNCTION("""COMPUTED_VALUE""")," CA")</f>
        <v> CA</v>
      </c>
    </row>
    <row r="18" ht="15.75" customHeight="1">
      <c r="A18" s="70" t="s">
        <v>146</v>
      </c>
      <c r="B18" s="70" t="s">
        <v>147</v>
      </c>
      <c r="C18" s="45" t="str">
        <f t="shared" si="1"/>
        <v>Beverly Landry</v>
      </c>
      <c r="D18" s="70" t="s">
        <v>134</v>
      </c>
      <c r="E18" s="72">
        <v>48.0</v>
      </c>
      <c r="F18" s="89">
        <v>7234.0</v>
      </c>
      <c r="G18" s="90">
        <f t="shared" si="2"/>
        <v>86808</v>
      </c>
      <c r="H18" s="70" t="s">
        <v>148</v>
      </c>
      <c r="I18" s="45" t="str">
        <f>IFERROR(__xludf.DUMMYFUNCTION("SPLIT(H18,"","")"),"Los Angeles")</f>
        <v>Los Angeles</v>
      </c>
      <c r="J18" s="45" t="str">
        <f>IFERROR(__xludf.DUMMYFUNCTION("""COMPUTED_VALUE""")," CA")</f>
        <v> CA</v>
      </c>
    </row>
    <row r="19" ht="15.75" customHeight="1">
      <c r="A19" s="22" t="s">
        <v>149</v>
      </c>
      <c r="B19" s="22" t="s">
        <v>150</v>
      </c>
      <c r="C19" s="45" t="str">
        <f t="shared" si="1"/>
        <v>Raquel Pierce</v>
      </c>
      <c r="D19" s="22" t="s">
        <v>138</v>
      </c>
      <c r="E19" s="48">
        <v>48.0</v>
      </c>
      <c r="F19" s="91">
        <v>2394.0</v>
      </c>
      <c r="G19" s="90">
        <f t="shared" si="2"/>
        <v>28728</v>
      </c>
      <c r="H19" s="22" t="s">
        <v>151</v>
      </c>
      <c r="I19" s="45" t="str">
        <f>IFERROR(__xludf.DUMMYFUNCTION("SPLIT(H19,"","")"),"Porltland")</f>
        <v>Porltland</v>
      </c>
      <c r="J19" s="45" t="str">
        <f>IFERROR(__xludf.DUMMYFUNCTION("""COMPUTED_VALUE""")," OR")</f>
        <v> OR</v>
      </c>
    </row>
    <row r="20" ht="15.75" customHeight="1"/>
    <row r="21" ht="15.75" customHeight="1">
      <c r="B21" s="92" t="s">
        <v>126</v>
      </c>
      <c r="C21" s="92" t="s">
        <v>127</v>
      </c>
      <c r="D21" s="92" t="s">
        <v>128</v>
      </c>
    </row>
    <row r="22" ht="15.75" customHeight="1">
      <c r="A22" s="75" t="s">
        <v>152</v>
      </c>
      <c r="B22" s="45">
        <f t="shared" ref="B22:D22" si="3">SUM(E14:E19)</f>
        <v>267</v>
      </c>
      <c r="C22" s="93">
        <f t="shared" si="3"/>
        <v>34217</v>
      </c>
      <c r="D22" s="90">
        <f t="shared" si="3"/>
        <v>410604</v>
      </c>
      <c r="E22" s="46" t="s">
        <v>75</v>
      </c>
    </row>
    <row r="23" ht="15.75" customHeight="1">
      <c r="A23" s="75" t="s">
        <v>153</v>
      </c>
      <c r="B23" s="45">
        <f t="shared" ref="B23:D23" si="4">AVERAGE(E14:E19)</f>
        <v>44.5</v>
      </c>
      <c r="C23" s="93">
        <f t="shared" si="4"/>
        <v>5702.833333</v>
      </c>
      <c r="D23" s="90">
        <f t="shared" si="4"/>
        <v>68434</v>
      </c>
      <c r="E23" s="46" t="s">
        <v>76</v>
      </c>
    </row>
    <row r="24" ht="15.75" customHeight="1">
      <c r="A24" s="75" t="s">
        <v>154</v>
      </c>
      <c r="B24" s="45">
        <f t="shared" ref="B24:D24" si="5">MAX(E14:E19)</f>
        <v>49</v>
      </c>
      <c r="C24" s="93">
        <f t="shared" si="5"/>
        <v>9262</v>
      </c>
      <c r="D24" s="90">
        <f t="shared" si="5"/>
        <v>111144</v>
      </c>
      <c r="E24" s="46" t="s">
        <v>155</v>
      </c>
    </row>
    <row r="25" ht="15.75" customHeight="1">
      <c r="A25" s="75" t="s">
        <v>156</v>
      </c>
      <c r="B25" s="45">
        <f t="shared" ref="B25:D25" si="6">MIN(E14:E19)</f>
        <v>40</v>
      </c>
      <c r="C25" s="93">
        <f t="shared" si="6"/>
        <v>2394</v>
      </c>
      <c r="D25" s="90">
        <f t="shared" si="6"/>
        <v>28728</v>
      </c>
      <c r="E25" s="46" t="s">
        <v>157</v>
      </c>
    </row>
    <row r="26" ht="15.75" customHeight="1">
      <c r="A26" s="75" t="s">
        <v>158</v>
      </c>
      <c r="B26" s="45">
        <f t="shared" ref="B26:D26" si="7">MEDIAN(E14:E19)</f>
        <v>45</v>
      </c>
      <c r="C26" s="93">
        <f t="shared" si="7"/>
        <v>5933</v>
      </c>
      <c r="D26" s="90">
        <f t="shared" si="7"/>
        <v>71196</v>
      </c>
      <c r="E26" s="46" t="s">
        <v>159</v>
      </c>
    </row>
    <row r="27" ht="15.75" customHeight="1"/>
    <row r="28" ht="15.75" customHeight="1">
      <c r="A28" s="4" t="s">
        <v>160</v>
      </c>
      <c r="B28" s="45">
        <f>COUNT(E14:E19)</f>
        <v>6</v>
      </c>
      <c r="C28" s="46" t="s">
        <v>161</v>
      </c>
    </row>
    <row r="29" ht="15.75" customHeight="1">
      <c r="A29" s="4" t="s">
        <v>160</v>
      </c>
      <c r="B29" s="45">
        <f>COUNTA(A14:A19)</f>
        <v>6</v>
      </c>
      <c r="C29" s="46" t="s">
        <v>162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9:D9"/>
    <mergeCell ref="B10:D10"/>
    <mergeCell ref="B11:D11"/>
    <mergeCell ref="C1:D1"/>
    <mergeCell ref="B3:D3"/>
    <mergeCell ref="B4:D4"/>
    <mergeCell ref="B5:D5"/>
    <mergeCell ref="B6:D6"/>
    <mergeCell ref="B7:D7"/>
    <mergeCell ref="B8:D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 outlineLevelRow="1"/>
  <cols>
    <col customWidth="1" min="1" max="1" width="24.13"/>
    <col customWidth="1" min="2" max="2" width="14.38"/>
    <col customWidth="1" min="3" max="3" width="19.13"/>
    <col customWidth="1" min="4" max="26" width="14.38"/>
  </cols>
  <sheetData>
    <row r="1" ht="15.75" customHeight="1">
      <c r="A1" s="79" t="s">
        <v>163</v>
      </c>
    </row>
    <row r="2" ht="15.75" customHeight="1"/>
    <row r="3" ht="15.75" customHeight="1" outlineLevel="1">
      <c r="A3" s="82" t="s">
        <v>164</v>
      </c>
      <c r="B3" s="94" t="s">
        <v>165</v>
      </c>
      <c r="C3" s="84"/>
      <c r="D3" s="84"/>
      <c r="E3" s="84"/>
      <c r="F3" s="84"/>
      <c r="G3" s="85"/>
    </row>
    <row r="4" ht="15.75" customHeight="1" outlineLevel="1">
      <c r="A4" s="82" t="s">
        <v>166</v>
      </c>
      <c r="B4" s="94" t="s">
        <v>167</v>
      </c>
      <c r="C4" s="84"/>
      <c r="D4" s="84"/>
      <c r="E4" s="84"/>
      <c r="F4" s="84"/>
      <c r="G4" s="85"/>
    </row>
    <row r="5" ht="15.75" customHeight="1" outlineLevel="1">
      <c r="A5" s="82" t="s">
        <v>168</v>
      </c>
      <c r="B5" s="94" t="s">
        <v>169</v>
      </c>
      <c r="C5" s="84"/>
      <c r="D5" s="84"/>
      <c r="E5" s="84"/>
      <c r="F5" s="84"/>
      <c r="G5" s="85"/>
    </row>
    <row r="6" ht="15.75" customHeight="1" outlineLevel="1">
      <c r="A6" s="82" t="s">
        <v>170</v>
      </c>
      <c r="B6" s="94" t="s">
        <v>171</v>
      </c>
      <c r="C6" s="84"/>
      <c r="D6" s="84"/>
      <c r="E6" s="84"/>
      <c r="F6" s="84"/>
      <c r="G6" s="85"/>
    </row>
    <row r="7" ht="15.75" customHeight="1" outlineLevel="1">
      <c r="A7" s="82" t="s">
        <v>172</v>
      </c>
      <c r="B7" s="94" t="s">
        <v>173</v>
      </c>
      <c r="C7" s="84"/>
      <c r="D7" s="84"/>
      <c r="E7" s="84"/>
      <c r="F7" s="84"/>
      <c r="G7" s="85"/>
    </row>
    <row r="8" ht="15.75" customHeight="1" outlineLevel="1">
      <c r="A8" s="82" t="e">
        <v>#N/A</v>
      </c>
      <c r="B8" s="94" t="s">
        <v>174</v>
      </c>
      <c r="C8" s="84"/>
      <c r="D8" s="84"/>
      <c r="E8" s="84"/>
      <c r="F8" s="84"/>
      <c r="G8" s="85"/>
    </row>
    <row r="9" ht="15.75" customHeight="1" outlineLevel="1">
      <c r="A9" s="82" t="s">
        <v>175</v>
      </c>
      <c r="B9" s="94" t="s">
        <v>176</v>
      </c>
      <c r="C9" s="84"/>
      <c r="D9" s="84"/>
      <c r="E9" s="84"/>
      <c r="F9" s="84"/>
      <c r="G9" s="85"/>
    </row>
    <row r="10" ht="15.75" customHeight="1" outlineLevel="1"/>
    <row r="11" ht="15.75" customHeight="1"/>
    <row r="12" ht="15.75" customHeight="1">
      <c r="A12" s="69" t="s">
        <v>122</v>
      </c>
      <c r="B12" s="69" t="s">
        <v>123</v>
      </c>
      <c r="C12" s="69" t="s">
        <v>124</v>
      </c>
      <c r="D12" s="69" t="s">
        <v>125</v>
      </c>
      <c r="E12" s="69" t="s">
        <v>127</v>
      </c>
      <c r="F12" s="69" t="s">
        <v>177</v>
      </c>
      <c r="G12" s="69" t="s">
        <v>178</v>
      </c>
      <c r="H12" s="95" t="s">
        <v>126</v>
      </c>
    </row>
    <row r="13" ht="15.75" customHeight="1">
      <c r="A13" s="70" t="s">
        <v>132</v>
      </c>
      <c r="B13" s="70" t="s">
        <v>133</v>
      </c>
      <c r="C13" s="45" t="str">
        <f t="shared" ref="C13:C15" si="1">CONCATENATE(A13," ",B13)</f>
        <v>Rigoberto Montoya</v>
      </c>
      <c r="D13" s="70" t="s">
        <v>134</v>
      </c>
      <c r="E13" s="89">
        <v>7526.0</v>
      </c>
      <c r="F13" s="72">
        <v>5.0</v>
      </c>
      <c r="G13" s="93">
        <f t="shared" ref="G13:G15" si="2">E13*F13</f>
        <v>37630</v>
      </c>
      <c r="H13" s="96">
        <v>20.0</v>
      </c>
    </row>
    <row r="14" ht="15.75" customHeight="1">
      <c r="A14" s="97" t="s">
        <v>179</v>
      </c>
      <c r="B14" s="22" t="s">
        <v>137</v>
      </c>
      <c r="C14" s="45" t="str">
        <f t="shared" si="1"/>
        <v>Valentina Ramirez</v>
      </c>
      <c r="D14" s="22" t="s">
        <v>138</v>
      </c>
      <c r="E14" s="91">
        <v>3169.0</v>
      </c>
      <c r="F14" s="48">
        <v>3.0</v>
      </c>
      <c r="G14" s="93">
        <f t="shared" si="2"/>
        <v>9507</v>
      </c>
      <c r="H14" s="98">
        <v>25.0</v>
      </c>
    </row>
    <row r="15" ht="15.75" customHeight="1">
      <c r="A15" s="70" t="s">
        <v>140</v>
      </c>
      <c r="B15" s="70" t="s">
        <v>141</v>
      </c>
      <c r="C15" s="45" t="str">
        <f t="shared" si="1"/>
        <v>Benedict Carney</v>
      </c>
      <c r="D15" s="70" t="s">
        <v>134</v>
      </c>
      <c r="E15" s="89">
        <v>4632.0</v>
      </c>
      <c r="F15" s="72">
        <v>0.0</v>
      </c>
      <c r="G15" s="93">
        <f t="shared" si="2"/>
        <v>0</v>
      </c>
      <c r="H15" s="96">
        <v>55.0</v>
      </c>
    </row>
    <row r="16" ht="15.75" customHeight="1">
      <c r="E16" s="99" t="s">
        <v>180</v>
      </c>
      <c r="F16" s="100">
        <f>SUM(F13:F15)</f>
        <v>8</v>
      </c>
    </row>
    <row r="17" ht="15.75" customHeight="1">
      <c r="B17" s="92" t="s">
        <v>126</v>
      </c>
      <c r="E17" s="75" t="s">
        <v>180</v>
      </c>
      <c r="F17" s="45">
        <f>F13+F14+F15</f>
        <v>8</v>
      </c>
    </row>
    <row r="18" ht="15.75" customHeight="1">
      <c r="A18" s="75" t="s">
        <v>154</v>
      </c>
      <c r="B18" s="45">
        <f>MAX(H13:H15)</f>
        <v>55</v>
      </c>
    </row>
    <row r="19" ht="15.75" customHeight="1"/>
    <row r="20" ht="15.75" customHeight="1">
      <c r="A20" s="4" t="s">
        <v>122</v>
      </c>
      <c r="B20" s="92" t="s">
        <v>125</v>
      </c>
      <c r="E20" s="92" t="s">
        <v>181</v>
      </c>
      <c r="F20" s="92" t="s">
        <v>182</v>
      </c>
    </row>
    <row r="21" ht="15.75" customHeight="1">
      <c r="A21" s="22" t="s">
        <v>132</v>
      </c>
      <c r="B21" s="100" t="str">
        <f t="shared" ref="B21:B23" si="3">VLOOKUP(A21,$A$13:$D$15,4,FALSE)</f>
        <v>Male</v>
      </c>
      <c r="E21" s="22">
        <v>4.0</v>
      </c>
      <c r="F21" s="45">
        <f t="shared" ref="F21:F23" si="4">SQRT(E21)</f>
        <v>2</v>
      </c>
    </row>
    <row r="22" ht="15.75" customHeight="1">
      <c r="A22" s="22" t="s">
        <v>179</v>
      </c>
      <c r="B22" s="100" t="str">
        <f t="shared" si="3"/>
        <v>Female</v>
      </c>
      <c r="E22" s="22">
        <v>16.0</v>
      </c>
      <c r="F22" s="45">
        <f t="shared" si="4"/>
        <v>4</v>
      </c>
    </row>
    <row r="23" ht="15.75" customHeight="1">
      <c r="A23" s="22" t="s">
        <v>140</v>
      </c>
      <c r="B23" s="100" t="str">
        <f t="shared" si="3"/>
        <v>Male</v>
      </c>
      <c r="E23" s="97">
        <v>1.0</v>
      </c>
      <c r="F23" s="45">
        <f t="shared" si="4"/>
        <v>1</v>
      </c>
    </row>
    <row r="24" ht="15.75" customHeight="1"/>
    <row r="25" ht="15.75" customHeight="1">
      <c r="A25" s="92" t="s">
        <v>183</v>
      </c>
      <c r="B25" s="92" t="s">
        <v>184</v>
      </c>
      <c r="C25" s="92" t="s">
        <v>185</v>
      </c>
      <c r="F25" s="92" t="s">
        <v>186</v>
      </c>
    </row>
    <row r="26" ht="15.75" customHeight="1">
      <c r="A26" s="101">
        <v>43845.0</v>
      </c>
      <c r="B26" s="102">
        <v>43840.0</v>
      </c>
      <c r="C26" s="103">
        <f t="shared" ref="C26:C27" si="5">A26-B26</f>
        <v>5</v>
      </c>
      <c r="E26" s="48" t="s">
        <v>52</v>
      </c>
      <c r="F26" s="104">
        <f>$A$26</f>
        <v>43845</v>
      </c>
    </row>
    <row r="27" ht="15.75" customHeight="1">
      <c r="A27" s="101">
        <v>43845.0</v>
      </c>
      <c r="B27" s="48" t="s">
        <v>187</v>
      </c>
      <c r="C27" s="103">
        <f t="shared" si="5"/>
        <v>349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3:G3"/>
    <mergeCell ref="B4:G4"/>
    <mergeCell ref="B5:G5"/>
    <mergeCell ref="B6:G6"/>
    <mergeCell ref="B7:G7"/>
    <mergeCell ref="B8:G8"/>
    <mergeCell ref="B9:G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outlinePr summaryBelow="0" summaryRight="0"/>
    <pageSetUpPr/>
  </sheetPr>
  <sheetViews>
    <sheetView workbookViewId="0"/>
  </sheetViews>
  <sheetFormatPr customHeight="1" defaultColWidth="12.63" defaultRowHeight="15.0" outlineLevelRow="1"/>
  <cols>
    <col customWidth="1" min="1" max="1" width="30.25"/>
    <col customWidth="1" min="2" max="2" width="15.38"/>
    <col customWidth="1" min="3" max="3" width="17.0"/>
    <col customWidth="1" min="4" max="4" width="20.0"/>
    <col customWidth="1" min="5" max="5" width="17.25"/>
    <col customWidth="1" min="6" max="6" width="17.0"/>
    <col customWidth="1" min="7" max="26" width="14.38"/>
  </cols>
  <sheetData>
    <row r="1" ht="15.75" customHeight="1">
      <c r="A1" s="79" t="s">
        <v>188</v>
      </c>
      <c r="C1" s="105"/>
      <c r="D1" s="105"/>
    </row>
    <row r="2" ht="15.75" customHeight="1" outlineLevel="1"/>
    <row r="3" ht="15.75" customHeight="1" outlineLevel="1">
      <c r="A3" s="82" t="s">
        <v>189</v>
      </c>
      <c r="B3" s="83" t="s">
        <v>190</v>
      </c>
      <c r="C3" s="84"/>
      <c r="D3" s="84"/>
      <c r="E3" s="84"/>
      <c r="F3" s="85"/>
    </row>
    <row r="4" ht="15.75" customHeight="1" outlineLevel="1">
      <c r="A4" s="82" t="s">
        <v>191</v>
      </c>
      <c r="B4" s="83" t="s">
        <v>192</v>
      </c>
      <c r="C4" s="84"/>
      <c r="D4" s="84"/>
      <c r="E4" s="84"/>
      <c r="F4" s="85"/>
    </row>
    <row r="5" ht="15.75" customHeight="1" outlineLevel="1">
      <c r="A5" s="82" t="s">
        <v>193</v>
      </c>
      <c r="B5" s="83" t="s">
        <v>194</v>
      </c>
      <c r="C5" s="84"/>
      <c r="D5" s="84"/>
      <c r="E5" s="84"/>
      <c r="F5" s="85"/>
    </row>
    <row r="6" ht="15.75" customHeight="1" outlineLevel="1">
      <c r="A6" s="82" t="s">
        <v>195</v>
      </c>
      <c r="B6" s="83" t="s">
        <v>196</v>
      </c>
      <c r="C6" s="84"/>
      <c r="D6" s="84"/>
      <c r="E6" s="84"/>
      <c r="F6" s="85"/>
    </row>
    <row r="7" ht="15.75" customHeight="1" outlineLevel="1">
      <c r="A7" s="82" t="s">
        <v>197</v>
      </c>
      <c r="B7" s="83" t="s">
        <v>198</v>
      </c>
      <c r="C7" s="84"/>
      <c r="D7" s="84"/>
      <c r="E7" s="84"/>
      <c r="F7" s="85"/>
    </row>
    <row r="8" ht="15.75" customHeight="1" outlineLevel="1">
      <c r="A8" s="82" t="s">
        <v>199</v>
      </c>
      <c r="B8" s="83" t="s">
        <v>200</v>
      </c>
      <c r="C8" s="84"/>
      <c r="D8" s="84"/>
      <c r="E8" s="84"/>
      <c r="F8" s="85"/>
    </row>
    <row r="9" ht="15.75" customHeight="1" outlineLevel="1">
      <c r="A9" s="82" t="s">
        <v>201</v>
      </c>
      <c r="B9" s="83" t="s">
        <v>202</v>
      </c>
      <c r="C9" s="84"/>
      <c r="D9" s="84"/>
      <c r="E9" s="84"/>
      <c r="F9" s="85"/>
    </row>
    <row r="10" ht="15.75" customHeight="1" outlineLevel="1">
      <c r="A10" s="82" t="s">
        <v>203</v>
      </c>
      <c r="B10" s="83" t="s">
        <v>204</v>
      </c>
      <c r="C10" s="84"/>
      <c r="D10" s="84"/>
      <c r="E10" s="84"/>
      <c r="F10" s="85"/>
    </row>
    <row r="11" ht="15.75" customHeight="1" outlineLevel="1">
      <c r="A11" s="82" t="s">
        <v>205</v>
      </c>
      <c r="B11" s="83" t="s">
        <v>206</v>
      </c>
      <c r="C11" s="84"/>
      <c r="D11" s="84"/>
      <c r="E11" s="84"/>
      <c r="F11" s="85"/>
    </row>
    <row r="12" ht="15.75" customHeight="1" outlineLevel="1">
      <c r="A12" s="82" t="s">
        <v>207</v>
      </c>
      <c r="B12" s="83" t="s">
        <v>208</v>
      </c>
      <c r="C12" s="84"/>
      <c r="D12" s="84"/>
      <c r="E12" s="84"/>
      <c r="F12" s="85"/>
    </row>
    <row r="13" ht="15.75" customHeight="1" outlineLevel="1">
      <c r="A13" s="82" t="s">
        <v>209</v>
      </c>
      <c r="B13" s="83" t="s">
        <v>210</v>
      </c>
      <c r="C13" s="84"/>
      <c r="D13" s="84"/>
      <c r="E13" s="84"/>
      <c r="F13" s="85"/>
    </row>
    <row r="14" ht="15.75" customHeight="1">
      <c r="B14" s="48"/>
      <c r="C14" s="48"/>
      <c r="E14" s="48"/>
      <c r="F14" s="48"/>
    </row>
    <row r="15" ht="15.75" customHeight="1">
      <c r="B15" s="68" t="s">
        <v>73</v>
      </c>
      <c r="C15" s="68" t="s">
        <v>73</v>
      </c>
      <c r="E15" s="48" t="s">
        <v>211</v>
      </c>
      <c r="F15" s="48" t="s">
        <v>212</v>
      </c>
    </row>
    <row r="16" ht="15.75" customHeight="1">
      <c r="A16" s="69" t="s">
        <v>124</v>
      </c>
      <c r="B16" s="69" t="s">
        <v>125</v>
      </c>
      <c r="C16" s="69" t="s">
        <v>126</v>
      </c>
      <c r="D16" s="69" t="s">
        <v>127</v>
      </c>
      <c r="E16" s="88" t="s">
        <v>213</v>
      </c>
      <c r="F16" s="88" t="s">
        <v>214</v>
      </c>
    </row>
    <row r="17" ht="15.75" customHeight="1">
      <c r="A17" s="70" t="s">
        <v>215</v>
      </c>
      <c r="B17" s="106" t="str">
        <f t="shared" ref="B17:B22" si="1">VLOOKUP(A17,$D$25:$G$44,2,FALSE)</f>
        <v>Male</v>
      </c>
      <c r="C17" s="106">
        <f t="shared" ref="C17:C22" si="2">VLOOKUP(A17,$D$25:$G$44,4,FALSE)</f>
        <v>40</v>
      </c>
      <c r="D17" s="89">
        <v>7526.0</v>
      </c>
      <c r="E17" s="107" t="b">
        <f t="shared" ref="E17:E22" si="3">AND(B17="Female",C17&gt;45)</f>
        <v>0</v>
      </c>
      <c r="F17" s="107" t="str">
        <f t="shared" ref="F17:F22" si="4">IF(OR(B17="Male",C17&lt;=0),"yes","no")</f>
        <v>yes</v>
      </c>
    </row>
    <row r="18" ht="15.75" customHeight="1">
      <c r="A18" s="22" t="s">
        <v>216</v>
      </c>
      <c r="B18" s="106" t="str">
        <f t="shared" si="1"/>
        <v>Female</v>
      </c>
      <c r="C18" s="106">
        <f t="shared" si="2"/>
        <v>49</v>
      </c>
      <c r="D18" s="91">
        <v>3169.0</v>
      </c>
      <c r="E18" s="107" t="b">
        <f t="shared" si="3"/>
        <v>1</v>
      </c>
      <c r="F18" s="107" t="str">
        <f t="shared" si="4"/>
        <v>no</v>
      </c>
    </row>
    <row r="19" ht="15.75" customHeight="1">
      <c r="A19" s="70" t="s">
        <v>217</v>
      </c>
      <c r="B19" s="106" t="str">
        <f t="shared" si="1"/>
        <v>Male</v>
      </c>
      <c r="C19" s="106">
        <f t="shared" si="2"/>
        <v>42</v>
      </c>
      <c r="D19" s="89">
        <v>4632.0</v>
      </c>
      <c r="E19" s="107" t="b">
        <f t="shared" si="3"/>
        <v>0</v>
      </c>
      <c r="F19" s="107" t="str">
        <f t="shared" si="4"/>
        <v>yes</v>
      </c>
    </row>
    <row r="20" ht="15.75" customHeight="1">
      <c r="A20" s="22" t="s">
        <v>218</v>
      </c>
      <c r="B20" s="106" t="str">
        <f t="shared" si="1"/>
        <v>Female</v>
      </c>
      <c r="C20" s="106">
        <f t="shared" si="2"/>
        <v>40</v>
      </c>
      <c r="D20" s="91">
        <v>9262.0</v>
      </c>
      <c r="E20" s="107" t="b">
        <f t="shared" si="3"/>
        <v>0</v>
      </c>
      <c r="F20" s="107" t="str">
        <f t="shared" si="4"/>
        <v>no</v>
      </c>
    </row>
    <row r="21" ht="15.75" customHeight="1">
      <c r="A21" s="70" t="s">
        <v>219</v>
      </c>
      <c r="B21" s="106" t="str">
        <f t="shared" si="1"/>
        <v>Male</v>
      </c>
      <c r="C21" s="106">
        <f t="shared" si="2"/>
        <v>48</v>
      </c>
      <c r="D21" s="89">
        <v>7234.0</v>
      </c>
      <c r="E21" s="107" t="b">
        <f t="shared" si="3"/>
        <v>0</v>
      </c>
      <c r="F21" s="107" t="str">
        <f t="shared" si="4"/>
        <v>yes</v>
      </c>
    </row>
    <row r="22" ht="15.75" customHeight="1">
      <c r="A22" s="22" t="s">
        <v>220</v>
      </c>
      <c r="B22" s="106" t="str">
        <f t="shared" si="1"/>
        <v>Female</v>
      </c>
      <c r="C22" s="106">
        <f t="shared" si="2"/>
        <v>48</v>
      </c>
      <c r="D22" s="91">
        <v>2394.0</v>
      </c>
      <c r="E22" s="107" t="b">
        <f t="shared" si="3"/>
        <v>1</v>
      </c>
      <c r="F22" s="107" t="str">
        <f t="shared" si="4"/>
        <v>no</v>
      </c>
    </row>
    <row r="23" ht="15.75" customHeight="1">
      <c r="A23" s="70" t="s">
        <v>221</v>
      </c>
      <c r="B23" s="106" t="str">
        <f>IFERROR(VLOOKUP(A23,$D$25:$G$44,2,FALSE),"Not found")</f>
        <v>Not found</v>
      </c>
    </row>
    <row r="24" ht="15.75" customHeight="1">
      <c r="D24" s="108" t="s">
        <v>222</v>
      </c>
      <c r="E24" s="109" t="s">
        <v>125</v>
      </c>
      <c r="F24" s="109" t="s">
        <v>223</v>
      </c>
      <c r="G24" s="110" t="s">
        <v>126</v>
      </c>
    </row>
    <row r="25" ht="15.75" customHeight="1">
      <c r="A25" s="4" t="s">
        <v>224</v>
      </c>
      <c r="B25" s="107">
        <f>COUNTIF(B17:B22,"Female")</f>
        <v>3</v>
      </c>
      <c r="C25" s="46" t="s">
        <v>157</v>
      </c>
      <c r="D25" s="111" t="s">
        <v>217</v>
      </c>
      <c r="E25" s="112" t="s">
        <v>134</v>
      </c>
      <c r="F25" s="112" t="s">
        <v>225</v>
      </c>
      <c r="G25" s="113">
        <v>42.0</v>
      </c>
    </row>
    <row r="26" ht="15.75" customHeight="1">
      <c r="A26" s="4" t="s">
        <v>226</v>
      </c>
      <c r="B26" s="107">
        <f>COUNTIF(C17:C22,"&gt;45")</f>
        <v>3</v>
      </c>
      <c r="C26" s="46" t="s">
        <v>157</v>
      </c>
      <c r="D26" s="111" t="s">
        <v>219</v>
      </c>
      <c r="E26" s="112" t="s">
        <v>134</v>
      </c>
      <c r="F26" s="112" t="s">
        <v>225</v>
      </c>
      <c r="G26" s="113">
        <v>48.0</v>
      </c>
    </row>
    <row r="27" ht="15.75" customHeight="1">
      <c r="A27" s="4" t="s">
        <v>227</v>
      </c>
      <c r="B27" s="107">
        <f>COUNTIFS(B17:B22,"Male",C17:C22,"&lt;=45")</f>
        <v>2</v>
      </c>
      <c r="C27" s="46" t="s">
        <v>159</v>
      </c>
      <c r="D27" s="111" t="s">
        <v>228</v>
      </c>
      <c r="E27" s="112" t="s">
        <v>138</v>
      </c>
      <c r="F27" s="112" t="s">
        <v>229</v>
      </c>
      <c r="G27" s="113">
        <v>49.0</v>
      </c>
    </row>
    <row r="28" ht="15.75" customHeight="1">
      <c r="A28" s="4" t="s">
        <v>230</v>
      </c>
      <c r="B28" s="114">
        <f>AVERAGEIF(B17:B22,"Female",C17:C22)</f>
        <v>45.66666667</v>
      </c>
      <c r="C28" s="46" t="s">
        <v>161</v>
      </c>
      <c r="D28" s="111" t="s">
        <v>231</v>
      </c>
      <c r="E28" s="112" t="s">
        <v>138</v>
      </c>
      <c r="F28" s="112" t="s">
        <v>225</v>
      </c>
      <c r="G28" s="113">
        <v>48.0</v>
      </c>
    </row>
    <row r="29" ht="15.75" customHeight="1">
      <c r="A29" s="4" t="s">
        <v>232</v>
      </c>
      <c r="B29" s="115">
        <f>AVERAGEIFS(D17:D22,B17:B22,"Male",C17:C22,"&gt;45")</f>
        <v>7234</v>
      </c>
      <c r="C29" s="46" t="s">
        <v>162</v>
      </c>
      <c r="D29" s="111" t="s">
        <v>233</v>
      </c>
      <c r="E29" s="112" t="s">
        <v>134</v>
      </c>
      <c r="F29" s="112" t="s">
        <v>229</v>
      </c>
      <c r="G29" s="113">
        <v>45.0</v>
      </c>
    </row>
    <row r="30" ht="15.75" customHeight="1">
      <c r="A30" s="4" t="s">
        <v>234</v>
      </c>
      <c r="B30" s="115">
        <f>SUMIF(B17:B22,"Female",D17:D22)</f>
        <v>14825</v>
      </c>
      <c r="C30" s="46" t="s">
        <v>235</v>
      </c>
      <c r="D30" s="111" t="s">
        <v>236</v>
      </c>
      <c r="E30" s="112" t="s">
        <v>134</v>
      </c>
      <c r="F30" s="112" t="s">
        <v>229</v>
      </c>
      <c r="G30" s="113">
        <v>42.0</v>
      </c>
    </row>
    <row r="31" ht="15.75" customHeight="1">
      <c r="A31" s="4" t="s">
        <v>237</v>
      </c>
      <c r="B31" s="115">
        <f>SUMIFS(D17:D22,B17:B22,"Female",C17:C22,"&lt;41")</f>
        <v>9262</v>
      </c>
      <c r="C31" s="46" t="s">
        <v>238</v>
      </c>
      <c r="D31" s="111" t="s">
        <v>239</v>
      </c>
      <c r="E31" s="112" t="s">
        <v>134</v>
      </c>
      <c r="F31" s="112" t="s">
        <v>229</v>
      </c>
      <c r="G31" s="113">
        <v>43.0</v>
      </c>
    </row>
    <row r="32" ht="15.75" customHeight="1">
      <c r="D32" s="111" t="s">
        <v>240</v>
      </c>
      <c r="E32" s="112" t="s">
        <v>138</v>
      </c>
      <c r="F32" s="112" t="s">
        <v>225</v>
      </c>
      <c r="G32" s="113">
        <v>45.0</v>
      </c>
    </row>
    <row r="33" ht="15.75" customHeight="1">
      <c r="A33" s="75"/>
      <c r="B33" s="75"/>
      <c r="C33" s="75"/>
      <c r="D33" s="111" t="s">
        <v>241</v>
      </c>
      <c r="E33" s="112" t="s">
        <v>134</v>
      </c>
      <c r="F33" s="112" t="s">
        <v>225</v>
      </c>
      <c r="G33" s="113">
        <v>48.0</v>
      </c>
    </row>
    <row r="34" ht="15.75" customHeight="1">
      <c r="A34" s="75"/>
      <c r="B34" s="75"/>
      <c r="C34" s="75"/>
      <c r="D34" s="111" t="s">
        <v>242</v>
      </c>
      <c r="E34" s="112" t="s">
        <v>134</v>
      </c>
      <c r="F34" s="112" t="s">
        <v>229</v>
      </c>
      <c r="G34" s="113">
        <v>47.0</v>
      </c>
    </row>
    <row r="35" ht="15.75" customHeight="1">
      <c r="A35" s="75"/>
      <c r="B35" s="75"/>
      <c r="C35" s="75"/>
      <c r="D35" s="111" t="s">
        <v>243</v>
      </c>
      <c r="E35" s="112" t="s">
        <v>134</v>
      </c>
      <c r="F35" s="112" t="s">
        <v>225</v>
      </c>
      <c r="G35" s="113">
        <v>48.0</v>
      </c>
    </row>
    <row r="36" ht="15.75" customHeight="1">
      <c r="A36" s="75"/>
      <c r="B36" s="75"/>
      <c r="C36" s="75"/>
      <c r="D36" s="111" t="s">
        <v>218</v>
      </c>
      <c r="E36" s="112" t="s">
        <v>138</v>
      </c>
      <c r="F36" s="112" t="s">
        <v>229</v>
      </c>
      <c r="G36" s="113">
        <v>40.0</v>
      </c>
    </row>
    <row r="37" ht="15.75" customHeight="1">
      <c r="D37" s="111" t="s">
        <v>244</v>
      </c>
      <c r="E37" s="112" t="s">
        <v>134</v>
      </c>
      <c r="F37" s="112" t="s">
        <v>225</v>
      </c>
      <c r="G37" s="113">
        <v>44.0</v>
      </c>
    </row>
    <row r="38" ht="15.75" customHeight="1">
      <c r="D38" s="111" t="s">
        <v>245</v>
      </c>
      <c r="E38" s="112" t="s">
        <v>138</v>
      </c>
      <c r="F38" s="112" t="s">
        <v>225</v>
      </c>
      <c r="G38" s="113">
        <v>48.0</v>
      </c>
    </row>
    <row r="39" ht="15.75" customHeight="1">
      <c r="D39" s="111" t="s">
        <v>246</v>
      </c>
      <c r="E39" s="112" t="s">
        <v>138</v>
      </c>
      <c r="F39" s="112" t="s">
        <v>229</v>
      </c>
      <c r="G39" s="113">
        <v>43.0</v>
      </c>
    </row>
    <row r="40" ht="15.75" customHeight="1">
      <c r="D40" s="111" t="s">
        <v>220</v>
      </c>
      <c r="E40" s="112" t="s">
        <v>138</v>
      </c>
      <c r="F40" s="112" t="s">
        <v>229</v>
      </c>
      <c r="G40" s="113">
        <v>48.0</v>
      </c>
    </row>
    <row r="41" ht="15.75" customHeight="1">
      <c r="D41" s="111" t="s">
        <v>215</v>
      </c>
      <c r="E41" s="112" t="s">
        <v>134</v>
      </c>
      <c r="F41" s="112" t="s">
        <v>225</v>
      </c>
      <c r="G41" s="113">
        <v>40.0</v>
      </c>
    </row>
    <row r="42" ht="15.75" customHeight="1">
      <c r="D42" s="111" t="s">
        <v>247</v>
      </c>
      <c r="E42" s="112" t="s">
        <v>138</v>
      </c>
      <c r="F42" s="112" t="s">
        <v>229</v>
      </c>
      <c r="G42" s="113">
        <v>47.0</v>
      </c>
    </row>
    <row r="43" ht="15.75" customHeight="1">
      <c r="D43" s="111" t="s">
        <v>248</v>
      </c>
      <c r="E43" s="112" t="s">
        <v>138</v>
      </c>
      <c r="F43" s="112" t="s">
        <v>229</v>
      </c>
      <c r="G43" s="113">
        <v>41.0</v>
      </c>
    </row>
    <row r="44" ht="15.75" customHeight="1">
      <c r="D44" s="116" t="s">
        <v>216</v>
      </c>
      <c r="E44" s="117" t="s">
        <v>138</v>
      </c>
      <c r="F44" s="117" t="s">
        <v>225</v>
      </c>
      <c r="G44" s="118">
        <v>49.0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10:F10"/>
    <mergeCell ref="B11:F11"/>
    <mergeCell ref="B12:F12"/>
    <mergeCell ref="B13:F13"/>
    <mergeCell ref="B3:F3"/>
    <mergeCell ref="B4:F4"/>
    <mergeCell ref="B5:F5"/>
    <mergeCell ref="B6:F6"/>
    <mergeCell ref="B7:F7"/>
    <mergeCell ref="B8:F8"/>
    <mergeCell ref="B9:F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Right="0"/>
    <pageSetUpPr/>
  </sheetPr>
  <sheetViews>
    <sheetView workbookViewId="0"/>
  </sheetViews>
  <sheetFormatPr customHeight="1" defaultColWidth="12.63" defaultRowHeight="15.0" outlineLevelRow="1"/>
  <cols>
    <col customWidth="1" min="1" max="1" width="3.13"/>
    <col customWidth="1" min="2" max="2" width="15.0"/>
    <col customWidth="1" min="3" max="11" width="13.88"/>
    <col customWidth="1" min="12" max="12" width="13.63"/>
    <col customWidth="1" min="13" max="13" width="13.88"/>
    <col customWidth="1" min="14" max="14" width="17.25"/>
    <col customWidth="1" min="15" max="29" width="14.38"/>
  </cols>
  <sheetData>
    <row r="1" ht="15.75" customHeight="1">
      <c r="A1" s="79" t="s">
        <v>249</v>
      </c>
    </row>
    <row r="2" ht="15.75" customHeight="1" outlineLevel="1"/>
    <row r="3" ht="15.75" customHeight="1" outlineLevel="1">
      <c r="A3" s="119" t="s">
        <v>250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1"/>
    </row>
    <row r="4" ht="15.75" customHeight="1" outlineLevel="1">
      <c r="A4" s="122" t="s">
        <v>251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123"/>
    </row>
    <row r="5" ht="15.75" customHeight="1" outlineLevel="1">
      <c r="A5" s="124" t="s">
        <v>252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123"/>
    </row>
    <row r="6" ht="15.75" customHeight="1" outlineLevel="1">
      <c r="A6" s="122" t="s">
        <v>253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123"/>
    </row>
    <row r="7" ht="15.75" customHeight="1" outlineLevel="1">
      <c r="A7" s="124" t="s">
        <v>254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123"/>
    </row>
    <row r="8" ht="15.75" customHeight="1" outlineLevel="1">
      <c r="A8" s="125" t="s">
        <v>255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123"/>
    </row>
    <row r="9" ht="15.75" customHeight="1" outlineLevel="1">
      <c r="A9" s="122" t="s">
        <v>256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123"/>
    </row>
    <row r="10" ht="15.75" customHeight="1" outlineLevel="1">
      <c r="A10" s="124" t="s">
        <v>257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123"/>
    </row>
    <row r="11" ht="15.75" customHeight="1" outlineLevel="1">
      <c r="A11" s="122" t="s">
        <v>258</v>
      </c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123"/>
    </row>
    <row r="12" ht="15.75" customHeight="1" outlineLevel="1">
      <c r="A12" s="124" t="s">
        <v>259</v>
      </c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123"/>
    </row>
    <row r="13" ht="15.75" customHeight="1" outlineLevel="1">
      <c r="A13" s="122" t="s">
        <v>260</v>
      </c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123"/>
    </row>
    <row r="14" ht="15.75" customHeight="1" outlineLevel="1">
      <c r="A14" s="126" t="s">
        <v>261</v>
      </c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8"/>
    </row>
    <row r="15" ht="15.75" customHeight="1" outlineLevel="1"/>
    <row r="16" ht="15.75" customHeight="1">
      <c r="A16" s="22"/>
      <c r="B16" s="129" t="s">
        <v>222</v>
      </c>
      <c r="C16" s="130" t="s">
        <v>122</v>
      </c>
      <c r="D16" s="130" t="s">
        <v>123</v>
      </c>
      <c r="E16" s="131" t="s">
        <v>125</v>
      </c>
      <c r="F16" s="131" t="s">
        <v>126</v>
      </c>
      <c r="G16" s="131" t="s">
        <v>130</v>
      </c>
      <c r="H16" s="131" t="s">
        <v>131</v>
      </c>
      <c r="I16" s="131" t="s">
        <v>127</v>
      </c>
      <c r="J16" s="130" t="s">
        <v>128</v>
      </c>
      <c r="K16" s="131" t="s">
        <v>262</v>
      </c>
      <c r="L16" s="131" t="s">
        <v>263</v>
      </c>
      <c r="M16" s="131" t="s">
        <v>223</v>
      </c>
      <c r="N16" s="132" t="s">
        <v>264</v>
      </c>
    </row>
    <row r="17" ht="15.75" customHeight="1">
      <c r="A17" s="22"/>
      <c r="B17" s="133" t="s">
        <v>217</v>
      </c>
      <c r="C17" s="134" t="str">
        <f>IFERROR(__xludf.DUMMYFUNCTION("SPLIT(B17,"" "")"),"Benedict")</f>
        <v>Benedict</v>
      </c>
      <c r="D17" s="134" t="str">
        <f>IFERROR(__xludf.DUMMYFUNCTION("""COMPUTED_VALUE"""),"Carney")</f>
        <v>Carney</v>
      </c>
      <c r="E17" s="134" t="s">
        <v>134</v>
      </c>
      <c r="F17" s="134">
        <v>42.0</v>
      </c>
      <c r="G17" s="134" t="s">
        <v>265</v>
      </c>
      <c r="H17" s="134" t="s">
        <v>266</v>
      </c>
      <c r="I17" s="135">
        <v>4632.0</v>
      </c>
      <c r="J17" s="135">
        <f t="shared" ref="J17:J36" si="1">I17*12</f>
        <v>55584</v>
      </c>
      <c r="K17" s="136">
        <v>5.39740192E8</v>
      </c>
      <c r="L17" s="134" t="s">
        <v>267</v>
      </c>
      <c r="M17" s="134" t="s">
        <v>229</v>
      </c>
      <c r="N17" s="137">
        <v>0.0</v>
      </c>
    </row>
    <row r="18" ht="15.75" customHeight="1">
      <c r="A18" s="22"/>
      <c r="B18" s="138" t="s">
        <v>219</v>
      </c>
      <c r="C18" s="139" t="str">
        <f>IFERROR(__xludf.DUMMYFUNCTION("SPLIT(B18,"" "")"),"Beverly")</f>
        <v>Beverly</v>
      </c>
      <c r="D18" s="139" t="str">
        <f>IFERROR(__xludf.DUMMYFUNCTION("""COMPUTED_VALUE"""),"Landry")</f>
        <v>Landry</v>
      </c>
      <c r="E18" s="139" t="s">
        <v>134</v>
      </c>
      <c r="F18" s="139">
        <v>48.0</v>
      </c>
      <c r="G18" s="139" t="s">
        <v>268</v>
      </c>
      <c r="H18" s="139" t="s">
        <v>269</v>
      </c>
      <c r="I18" s="140">
        <v>7234.0</v>
      </c>
      <c r="J18" s="140">
        <f t="shared" si="1"/>
        <v>86808</v>
      </c>
      <c r="K18" s="141">
        <v>2.38247703E8</v>
      </c>
      <c r="L18" s="139" t="s">
        <v>270</v>
      </c>
      <c r="M18" s="139" t="s">
        <v>229</v>
      </c>
      <c r="N18" s="142">
        <v>0.0</v>
      </c>
    </row>
    <row r="19" ht="15.75" customHeight="1">
      <c r="A19" s="22"/>
      <c r="B19" s="133" t="s">
        <v>228</v>
      </c>
      <c r="C19" s="134" t="str">
        <f>IFERROR(__xludf.DUMMYFUNCTION("SPLIT(B19,"" "")"),"Charlotte")</f>
        <v>Charlotte</v>
      </c>
      <c r="D19" s="134" t="str">
        <f>IFERROR(__xludf.DUMMYFUNCTION("""COMPUTED_VALUE"""),"King")</f>
        <v>King</v>
      </c>
      <c r="E19" s="134" t="s">
        <v>138</v>
      </c>
      <c r="F19" s="134">
        <v>49.0</v>
      </c>
      <c r="G19" s="134" t="s">
        <v>271</v>
      </c>
      <c r="H19" s="134" t="s">
        <v>266</v>
      </c>
      <c r="I19" s="135">
        <v>2464.0</v>
      </c>
      <c r="J19" s="135">
        <f t="shared" si="1"/>
        <v>29568</v>
      </c>
      <c r="K19" s="136">
        <v>1.50612156E8</v>
      </c>
      <c r="L19" s="134" t="s">
        <v>272</v>
      </c>
      <c r="M19" s="134" t="s">
        <v>229</v>
      </c>
      <c r="N19" s="137">
        <v>2.0</v>
      </c>
    </row>
    <row r="20" ht="15.75" customHeight="1">
      <c r="A20" s="22"/>
      <c r="B20" s="138" t="s">
        <v>231</v>
      </c>
      <c r="C20" s="139" t="str">
        <f>IFERROR(__xludf.DUMMYFUNCTION("SPLIT(B20,"" "")"),"Clara")</f>
        <v>Clara</v>
      </c>
      <c r="D20" s="139" t="str">
        <f>IFERROR(__xludf.DUMMYFUNCTION("""COMPUTED_VALUE"""),"Spencer")</f>
        <v>Spencer</v>
      </c>
      <c r="E20" s="139" t="s">
        <v>138</v>
      </c>
      <c r="F20" s="139">
        <v>48.0</v>
      </c>
      <c r="G20" s="139" t="s">
        <v>273</v>
      </c>
      <c r="H20" s="139" t="s">
        <v>274</v>
      </c>
      <c r="I20" s="140">
        <v>5100.0</v>
      </c>
      <c r="J20" s="140">
        <f t="shared" si="1"/>
        <v>61200</v>
      </c>
      <c r="K20" s="141">
        <v>4.21237239E8</v>
      </c>
      <c r="L20" s="139" t="s">
        <v>272</v>
      </c>
      <c r="M20" s="139" t="s">
        <v>225</v>
      </c>
      <c r="N20" s="142">
        <v>0.0</v>
      </c>
    </row>
    <row r="21" ht="15.75" hidden="1" customHeight="1">
      <c r="A21" s="22"/>
      <c r="B21" s="133" t="s">
        <v>233</v>
      </c>
      <c r="C21" s="134" t="str">
        <f>IFERROR(__xludf.DUMMYFUNCTION("SPLIT(B21,"" "")"),"Clarence")</f>
        <v>Clarence</v>
      </c>
      <c r="D21" s="134" t="str">
        <f>IFERROR(__xludf.DUMMYFUNCTION("""COMPUTED_VALUE"""),"Kirby")</f>
        <v>Kirby</v>
      </c>
      <c r="E21" s="134" t="s">
        <v>134</v>
      </c>
      <c r="F21" s="134">
        <v>45.0</v>
      </c>
      <c r="G21" s="134" t="s">
        <v>275</v>
      </c>
      <c r="H21" s="134" t="s">
        <v>276</v>
      </c>
      <c r="I21" s="135">
        <v>4292.0</v>
      </c>
      <c r="J21" s="135">
        <f t="shared" si="1"/>
        <v>51504</v>
      </c>
      <c r="K21" s="136">
        <v>4.13699057E8</v>
      </c>
      <c r="L21" s="134" t="s">
        <v>277</v>
      </c>
      <c r="M21" s="134" t="s">
        <v>225</v>
      </c>
      <c r="N21" s="137">
        <v>5.0</v>
      </c>
    </row>
    <row r="22" ht="15.75" hidden="1" customHeight="1">
      <c r="A22" s="22"/>
      <c r="B22" s="138" t="s">
        <v>236</v>
      </c>
      <c r="C22" s="139" t="str">
        <f>IFERROR(__xludf.DUMMYFUNCTION("SPLIT(B22,"" "")"),"Emery")</f>
        <v>Emery</v>
      </c>
      <c r="D22" s="139" t="str">
        <f>IFERROR(__xludf.DUMMYFUNCTION("""COMPUTED_VALUE"""),"Reid")</f>
        <v>Reid</v>
      </c>
      <c r="E22" s="139" t="s">
        <v>134</v>
      </c>
      <c r="F22" s="139">
        <v>42.0</v>
      </c>
      <c r="G22" s="139" t="s">
        <v>278</v>
      </c>
      <c r="H22" s="139" t="s">
        <v>279</v>
      </c>
      <c r="I22" s="140">
        <v>9036.0</v>
      </c>
      <c r="J22" s="140">
        <f t="shared" si="1"/>
        <v>108432</v>
      </c>
      <c r="K22" s="141">
        <v>3.17277659E8</v>
      </c>
      <c r="L22" s="139" t="s">
        <v>280</v>
      </c>
      <c r="M22" s="139" t="s">
        <v>229</v>
      </c>
      <c r="N22" s="142">
        <v>3.0</v>
      </c>
    </row>
    <row r="23" ht="15.75" customHeight="1">
      <c r="A23" s="22"/>
      <c r="B23" s="133" t="s">
        <v>239</v>
      </c>
      <c r="C23" s="134" t="str">
        <f>IFERROR(__xludf.DUMMYFUNCTION("SPLIT(B23,"" "")"),"Ernest")</f>
        <v>Ernest</v>
      </c>
      <c r="D23" s="134" t="str">
        <f>IFERROR(__xludf.DUMMYFUNCTION("""COMPUTED_VALUE"""),"Vaughn")</f>
        <v>Vaughn</v>
      </c>
      <c r="E23" s="134" t="s">
        <v>134</v>
      </c>
      <c r="F23" s="134">
        <v>43.0</v>
      </c>
      <c r="G23" s="134" t="s">
        <v>281</v>
      </c>
      <c r="H23" s="134" t="s">
        <v>282</v>
      </c>
      <c r="I23" s="135">
        <v>3140.0</v>
      </c>
      <c r="J23" s="135">
        <f t="shared" si="1"/>
        <v>37680</v>
      </c>
      <c r="K23" s="136">
        <v>2.40397658E8</v>
      </c>
      <c r="L23" s="134" t="s">
        <v>280</v>
      </c>
      <c r="M23" s="134" t="s">
        <v>229</v>
      </c>
      <c r="N23" s="137">
        <v>1.0</v>
      </c>
    </row>
    <row r="24" ht="15.75" customHeight="1">
      <c r="A24" s="22"/>
      <c r="B24" s="138" t="s">
        <v>240</v>
      </c>
      <c r="C24" s="139" t="str">
        <f>IFERROR(__xludf.DUMMYFUNCTION("SPLIT(B24,"" "")"),"Frances")</f>
        <v>Frances</v>
      </c>
      <c r="D24" s="139" t="str">
        <f>IFERROR(__xludf.DUMMYFUNCTION("""COMPUTED_VALUE"""),"Camacho")</f>
        <v>Camacho</v>
      </c>
      <c r="E24" s="139" t="s">
        <v>138</v>
      </c>
      <c r="F24" s="139">
        <v>45.0</v>
      </c>
      <c r="G24" s="139" t="s">
        <v>283</v>
      </c>
      <c r="H24" s="139" t="s">
        <v>284</v>
      </c>
      <c r="I24" s="140">
        <v>2928.0</v>
      </c>
      <c r="J24" s="140">
        <f t="shared" si="1"/>
        <v>35136</v>
      </c>
      <c r="K24" s="141">
        <v>6.16043098E8</v>
      </c>
      <c r="L24" s="139" t="s">
        <v>277</v>
      </c>
      <c r="M24" s="139" t="s">
        <v>229</v>
      </c>
      <c r="N24" s="142">
        <v>1.0</v>
      </c>
    </row>
    <row r="25" ht="15.75" customHeight="1">
      <c r="A25" s="22"/>
      <c r="B25" s="133" t="s">
        <v>241</v>
      </c>
      <c r="C25" s="134" t="str">
        <f>IFERROR(__xludf.DUMMYFUNCTION("SPLIT(B25,"" "")"),"Horacio")</f>
        <v>Horacio</v>
      </c>
      <c r="D25" s="134" t="str">
        <f>IFERROR(__xludf.DUMMYFUNCTION("""COMPUTED_VALUE"""),"Fisher")</f>
        <v>Fisher</v>
      </c>
      <c r="E25" s="134" t="s">
        <v>134</v>
      </c>
      <c r="F25" s="134">
        <v>48.0</v>
      </c>
      <c r="G25" s="134" t="s">
        <v>285</v>
      </c>
      <c r="H25" s="134" t="s">
        <v>286</v>
      </c>
      <c r="I25" s="135">
        <v>9843.0</v>
      </c>
      <c r="J25" s="135">
        <f t="shared" si="1"/>
        <v>118116</v>
      </c>
      <c r="K25" s="136">
        <v>5.90552403E8</v>
      </c>
      <c r="L25" s="134" t="s">
        <v>267</v>
      </c>
      <c r="M25" s="134" t="s">
        <v>225</v>
      </c>
      <c r="N25" s="137">
        <v>0.0</v>
      </c>
    </row>
    <row r="26" ht="15.75" customHeight="1">
      <c r="A26" s="22"/>
      <c r="B26" s="138" t="s">
        <v>242</v>
      </c>
      <c r="C26" s="139" t="str">
        <f>IFERROR(__xludf.DUMMYFUNCTION("SPLIT(B26,"" "")"),"Jaime")</f>
        <v>Jaime</v>
      </c>
      <c r="D26" s="139" t="str">
        <f>IFERROR(__xludf.DUMMYFUNCTION("""COMPUTED_VALUE"""),"Compton")</f>
        <v>Compton</v>
      </c>
      <c r="E26" s="139" t="s">
        <v>134</v>
      </c>
      <c r="F26" s="139">
        <v>47.0</v>
      </c>
      <c r="G26" s="139" t="s">
        <v>287</v>
      </c>
      <c r="H26" s="139" t="s">
        <v>288</v>
      </c>
      <c r="I26" s="140">
        <v>9178.0</v>
      </c>
      <c r="J26" s="140">
        <f t="shared" si="1"/>
        <v>110136</v>
      </c>
      <c r="K26" s="141">
        <v>6.54611351E8</v>
      </c>
      <c r="L26" s="139" t="s">
        <v>280</v>
      </c>
      <c r="M26" s="139" t="s">
        <v>229</v>
      </c>
      <c r="N26" s="142">
        <v>0.0</v>
      </c>
    </row>
    <row r="27" ht="15.75" customHeight="1">
      <c r="A27" s="22"/>
      <c r="B27" s="133" t="s">
        <v>243</v>
      </c>
      <c r="C27" s="134" t="str">
        <f>IFERROR(__xludf.DUMMYFUNCTION("SPLIT(B27,"" "")"),"Jed")</f>
        <v>Jed</v>
      </c>
      <c r="D27" s="134" t="str">
        <f>IFERROR(__xludf.DUMMYFUNCTION("""COMPUTED_VALUE"""),"Bauer")</f>
        <v>Bauer</v>
      </c>
      <c r="E27" s="134" t="s">
        <v>134</v>
      </c>
      <c r="F27" s="134">
        <v>48.0</v>
      </c>
      <c r="G27" s="134" t="s">
        <v>289</v>
      </c>
      <c r="H27" s="134" t="s">
        <v>269</v>
      </c>
      <c r="I27" s="135">
        <v>4977.0</v>
      </c>
      <c r="J27" s="135">
        <f t="shared" si="1"/>
        <v>59724</v>
      </c>
      <c r="K27" s="136">
        <v>4.55817125E8</v>
      </c>
      <c r="L27" s="134" t="s">
        <v>290</v>
      </c>
      <c r="M27" s="134" t="s">
        <v>225</v>
      </c>
      <c r="N27" s="137">
        <v>0.0</v>
      </c>
    </row>
    <row r="28" ht="15.75" customHeight="1">
      <c r="A28" s="22"/>
      <c r="B28" s="138" t="s">
        <v>218</v>
      </c>
      <c r="C28" s="139" t="str">
        <f>IFERROR(__xludf.DUMMYFUNCTION("SPLIT(B28,"" "")"),"Lisa")</f>
        <v>Lisa</v>
      </c>
      <c r="D28" s="139" t="str">
        <f>IFERROR(__xludf.DUMMYFUNCTION("""COMPUTED_VALUE"""),"Villa")</f>
        <v>Villa</v>
      </c>
      <c r="E28" s="139" t="s">
        <v>138</v>
      </c>
      <c r="F28" s="139">
        <v>40.0</v>
      </c>
      <c r="G28" s="139" t="s">
        <v>289</v>
      </c>
      <c r="H28" s="139" t="s">
        <v>269</v>
      </c>
      <c r="I28" s="140">
        <v>9262.0</v>
      </c>
      <c r="J28" s="140">
        <f t="shared" si="1"/>
        <v>111144</v>
      </c>
      <c r="K28" s="141">
        <v>4.96601806E8</v>
      </c>
      <c r="L28" s="139" t="s">
        <v>290</v>
      </c>
      <c r="M28" s="139" t="s">
        <v>225</v>
      </c>
      <c r="N28" s="142">
        <v>1.0</v>
      </c>
    </row>
    <row r="29" ht="15.75" hidden="1" customHeight="1">
      <c r="A29" s="22"/>
      <c r="B29" s="133" t="s">
        <v>244</v>
      </c>
      <c r="C29" s="134" t="str">
        <f>IFERROR(__xludf.DUMMYFUNCTION("SPLIT(B29,"" "")"),"Martin")</f>
        <v>Martin</v>
      </c>
      <c r="D29" s="134" t="str">
        <f>IFERROR(__xludf.DUMMYFUNCTION("""COMPUTED_VALUE"""),"Beasley")</f>
        <v>Beasley</v>
      </c>
      <c r="E29" s="134" t="s">
        <v>134</v>
      </c>
      <c r="F29" s="134">
        <v>44.0</v>
      </c>
      <c r="G29" s="134" t="s">
        <v>291</v>
      </c>
      <c r="H29" s="134" t="s">
        <v>292</v>
      </c>
      <c r="I29" s="135">
        <v>4267.0</v>
      </c>
      <c r="J29" s="135">
        <f t="shared" si="1"/>
        <v>51204</v>
      </c>
      <c r="K29" s="136">
        <v>4.75305514E8</v>
      </c>
      <c r="L29" s="134" t="s">
        <v>280</v>
      </c>
      <c r="M29" s="134" t="s">
        <v>225</v>
      </c>
      <c r="N29" s="137">
        <v>4.0</v>
      </c>
    </row>
    <row r="30" ht="15.75" customHeight="1">
      <c r="A30" s="22"/>
      <c r="B30" s="138" t="s">
        <v>245</v>
      </c>
      <c r="C30" s="139" t="str">
        <f>IFERROR(__xludf.DUMMYFUNCTION("SPLIT(B30,"" "")"),"Melba")</f>
        <v>Melba</v>
      </c>
      <c r="D30" s="139" t="str">
        <f>IFERROR(__xludf.DUMMYFUNCTION("""COMPUTED_VALUE"""),"Buchanan")</f>
        <v>Buchanan</v>
      </c>
      <c r="E30" s="139" t="s">
        <v>138</v>
      </c>
      <c r="F30" s="139">
        <v>48.0</v>
      </c>
      <c r="G30" s="139" t="s">
        <v>293</v>
      </c>
      <c r="H30" s="139" t="s">
        <v>294</v>
      </c>
      <c r="I30" s="140">
        <v>8097.0</v>
      </c>
      <c r="J30" s="140">
        <f t="shared" si="1"/>
        <v>97164</v>
      </c>
      <c r="K30" s="141">
        <v>6.57734805E8</v>
      </c>
      <c r="L30" s="139" t="s">
        <v>280</v>
      </c>
      <c r="M30" s="139" t="s">
        <v>225</v>
      </c>
      <c r="N30" s="142">
        <v>0.0</v>
      </c>
    </row>
    <row r="31" ht="15.75" customHeight="1">
      <c r="A31" s="22"/>
      <c r="B31" s="133" t="s">
        <v>246</v>
      </c>
      <c r="C31" s="134" t="str">
        <f>IFERROR(__xludf.DUMMYFUNCTION("SPLIT(B31,"" "")"),"Phyllis")</f>
        <v>Phyllis</v>
      </c>
      <c r="D31" s="134" t="str">
        <f>IFERROR(__xludf.DUMMYFUNCTION("""COMPUTED_VALUE"""),"Jefferson")</f>
        <v>Jefferson</v>
      </c>
      <c r="E31" s="134" t="s">
        <v>138</v>
      </c>
      <c r="F31" s="134">
        <v>43.0</v>
      </c>
      <c r="G31" s="134" t="s">
        <v>295</v>
      </c>
      <c r="H31" s="134" t="s">
        <v>274</v>
      </c>
      <c r="I31" s="135">
        <v>8325.0</v>
      </c>
      <c r="J31" s="135">
        <f t="shared" si="1"/>
        <v>99900</v>
      </c>
      <c r="K31" s="136">
        <v>2.32302956E8</v>
      </c>
      <c r="L31" s="134" t="s">
        <v>267</v>
      </c>
      <c r="M31" s="134" t="s">
        <v>225</v>
      </c>
      <c r="N31" s="137">
        <v>1.0</v>
      </c>
    </row>
    <row r="32" ht="15.75" customHeight="1">
      <c r="A32" s="22"/>
      <c r="B32" s="138" t="s">
        <v>220</v>
      </c>
      <c r="C32" s="139" t="str">
        <f>IFERROR(__xludf.DUMMYFUNCTION("SPLIT(B32,"" "")"),"Raquel")</f>
        <v>Raquel</v>
      </c>
      <c r="D32" s="139" t="str">
        <f>IFERROR(__xludf.DUMMYFUNCTION("""COMPUTED_VALUE"""),"Pierce")</f>
        <v>Pierce</v>
      </c>
      <c r="E32" s="139" t="s">
        <v>138</v>
      </c>
      <c r="F32" s="139">
        <v>48.0</v>
      </c>
      <c r="G32" s="139" t="s">
        <v>296</v>
      </c>
      <c r="H32" s="139" t="s">
        <v>297</v>
      </c>
      <c r="I32" s="140">
        <v>2394.0</v>
      </c>
      <c r="J32" s="140">
        <f t="shared" si="1"/>
        <v>28728</v>
      </c>
      <c r="K32" s="141">
        <v>7.10502241E8</v>
      </c>
      <c r="L32" s="139" t="s">
        <v>267</v>
      </c>
      <c r="M32" s="139" t="s">
        <v>229</v>
      </c>
      <c r="N32" s="142">
        <v>2.0</v>
      </c>
    </row>
    <row r="33" ht="15.75" customHeight="1">
      <c r="A33" s="22"/>
      <c r="B33" s="133" t="s">
        <v>215</v>
      </c>
      <c r="C33" s="134" t="str">
        <f>IFERROR(__xludf.DUMMYFUNCTION("SPLIT(B33,"" "")"),"Rigoberto")</f>
        <v>Rigoberto</v>
      </c>
      <c r="D33" s="134" t="str">
        <f>IFERROR(__xludf.DUMMYFUNCTION("""COMPUTED_VALUE"""),"Montoya")</f>
        <v>Montoya</v>
      </c>
      <c r="E33" s="134" t="s">
        <v>134</v>
      </c>
      <c r="F33" s="143">
        <v>40.0</v>
      </c>
      <c r="G33" s="134" t="s">
        <v>298</v>
      </c>
      <c r="H33" s="134" t="s">
        <v>299</v>
      </c>
      <c r="I33" s="135">
        <v>7526.0</v>
      </c>
      <c r="J33" s="135">
        <f t="shared" si="1"/>
        <v>90312</v>
      </c>
      <c r="K33" s="136">
        <v>3.27637448E8</v>
      </c>
      <c r="L33" s="134" t="s">
        <v>290</v>
      </c>
      <c r="M33" s="134" t="s">
        <v>225</v>
      </c>
      <c r="N33" s="137">
        <v>2.0</v>
      </c>
    </row>
    <row r="34" ht="15.75" hidden="1" customHeight="1">
      <c r="A34" s="22"/>
      <c r="B34" s="138" t="s">
        <v>247</v>
      </c>
      <c r="C34" s="139" t="str">
        <f>IFERROR(__xludf.DUMMYFUNCTION("SPLIT(B34,"" "")"),"Terra")</f>
        <v>Terra</v>
      </c>
      <c r="D34" s="139" t="str">
        <f>IFERROR(__xludf.DUMMYFUNCTION("""COMPUTED_VALUE"""),"Greer")</f>
        <v>Greer</v>
      </c>
      <c r="E34" s="139" t="s">
        <v>138</v>
      </c>
      <c r="F34" s="139">
        <v>47.0</v>
      </c>
      <c r="G34" s="139" t="s">
        <v>300</v>
      </c>
      <c r="H34" s="139" t="s">
        <v>301</v>
      </c>
      <c r="I34" s="140">
        <v>863.0</v>
      </c>
      <c r="J34" s="140">
        <f t="shared" si="1"/>
        <v>10356</v>
      </c>
      <c r="K34" s="141">
        <v>1.03002425E8</v>
      </c>
      <c r="L34" s="139" t="s">
        <v>272</v>
      </c>
      <c r="M34" s="139" t="s">
        <v>229</v>
      </c>
      <c r="N34" s="142">
        <v>5.0</v>
      </c>
    </row>
    <row r="35" ht="15.75" customHeight="1">
      <c r="A35" s="22"/>
      <c r="B35" s="133" t="s">
        <v>248</v>
      </c>
      <c r="C35" s="134" t="str">
        <f>IFERROR(__xludf.DUMMYFUNCTION("SPLIT(B35,"" "")"),"Valarie")</f>
        <v>Valarie</v>
      </c>
      <c r="D35" s="134" t="str">
        <f>IFERROR(__xludf.DUMMYFUNCTION("""COMPUTED_VALUE"""),"Thornton")</f>
        <v>Thornton</v>
      </c>
      <c r="E35" s="134" t="s">
        <v>138</v>
      </c>
      <c r="F35" s="134">
        <v>41.0</v>
      </c>
      <c r="G35" s="134" t="s">
        <v>302</v>
      </c>
      <c r="H35" s="134" t="s">
        <v>274</v>
      </c>
      <c r="I35" s="135">
        <v>2555.0</v>
      </c>
      <c r="J35" s="135">
        <f t="shared" si="1"/>
        <v>30660</v>
      </c>
      <c r="K35" s="136">
        <v>1.26484863E8</v>
      </c>
      <c r="L35" s="134" t="s">
        <v>270</v>
      </c>
      <c r="M35" s="134" t="s">
        <v>229</v>
      </c>
      <c r="N35" s="137">
        <v>0.0</v>
      </c>
    </row>
    <row r="36" ht="15.75" hidden="1" customHeight="1">
      <c r="A36" s="22"/>
      <c r="B36" s="144" t="s">
        <v>216</v>
      </c>
      <c r="C36" s="145" t="str">
        <f>IFERROR(__xludf.DUMMYFUNCTION("SPLIT(B36,"" "")"),"Valentine")</f>
        <v>Valentine</v>
      </c>
      <c r="D36" s="145" t="str">
        <f>IFERROR(__xludf.DUMMYFUNCTION("""COMPUTED_VALUE"""),"Ramirez")</f>
        <v>Ramirez</v>
      </c>
      <c r="E36" s="145" t="s">
        <v>138</v>
      </c>
      <c r="F36" s="145">
        <v>49.0</v>
      </c>
      <c r="G36" s="145" t="s">
        <v>283</v>
      </c>
      <c r="H36" s="145" t="s">
        <v>284</v>
      </c>
      <c r="I36" s="146">
        <v>3169.0</v>
      </c>
      <c r="J36" s="146">
        <f t="shared" si="1"/>
        <v>38028</v>
      </c>
      <c r="K36" s="147">
        <v>2.43493818E8</v>
      </c>
      <c r="L36" s="145" t="s">
        <v>277</v>
      </c>
      <c r="M36" s="145" t="s">
        <v>225</v>
      </c>
      <c r="N36" s="148">
        <v>3.0</v>
      </c>
    </row>
    <row r="37" ht="15.75" customHeight="1">
      <c r="A37" s="149"/>
      <c r="B37" s="150"/>
    </row>
    <row r="38" ht="15.75" customHeight="1">
      <c r="A38" s="149"/>
      <c r="B38" s="149"/>
    </row>
    <row r="39" ht="15.75" customHeight="1">
      <c r="A39" s="149"/>
      <c r="B39" s="149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6:$AC$36">
    <filterColumn colId="13">
      <filters>
        <filter val="0"/>
        <filter val="1"/>
        <filter val="2"/>
      </filters>
    </filterColumn>
    <sortState ref="A16:AC36">
      <sortCondition ref="B16:B36"/>
    </sortState>
  </autoFilter>
  <customSheetViews>
    <customSheetView guid="{B2413DBA-BED6-4F98-A586-4351D3D3574E}" filter="1" showAutoFilter="1">
      <autoFilter ref="$P$14"/>
    </customSheetView>
  </customSheetViews>
  <mergeCells count="12">
    <mergeCell ref="A10:N10"/>
    <mergeCell ref="A11:N11"/>
    <mergeCell ref="A12:N12"/>
    <mergeCell ref="A13:N13"/>
    <mergeCell ref="A14:N14"/>
    <mergeCell ref="A3:N3"/>
    <mergeCell ref="A4:N4"/>
    <mergeCell ref="A5:N5"/>
    <mergeCell ref="A6:N6"/>
    <mergeCell ref="A7:N7"/>
    <mergeCell ref="A8:N8"/>
    <mergeCell ref="A9:N9"/>
  </mergeCells>
  <conditionalFormatting sqref="F17:F36">
    <cfRule type="cellIs" dxfId="0" priority="1" operator="greaterThan">
      <formula>45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14.38"/>
    <col customWidth="1" min="3" max="3" width="15.38"/>
    <col customWidth="1" min="4" max="4" width="16.5"/>
    <col customWidth="1" min="5" max="26" width="14.38"/>
  </cols>
  <sheetData>
    <row r="1" ht="15.75" customHeight="1">
      <c r="D1" s="151"/>
    </row>
    <row r="2" ht="15.75" customHeight="1">
      <c r="D2" s="151"/>
    </row>
    <row r="3">
      <c r="A3" s="152" t="s">
        <v>303</v>
      </c>
      <c r="D3" s="22"/>
    </row>
    <row r="4" ht="15.75" customHeight="1">
      <c r="B4" s="153"/>
      <c r="C4" s="153"/>
      <c r="D4" s="154"/>
    </row>
    <row r="5" ht="15.75" customHeight="1">
      <c r="B5" s="153" t="s">
        <v>304</v>
      </c>
      <c r="C5" s="155" t="s">
        <v>305</v>
      </c>
      <c r="D5" s="154"/>
    </row>
    <row r="6" ht="15.75" customHeight="1">
      <c r="B6" s="153"/>
      <c r="C6" s="153"/>
      <c r="D6" s="154"/>
    </row>
    <row r="7" ht="15.75" customHeight="1">
      <c r="B7" s="153"/>
      <c r="C7" s="153"/>
      <c r="D7" s="154"/>
    </row>
    <row r="8" ht="15.75" customHeight="1">
      <c r="B8" s="156" t="s">
        <v>306</v>
      </c>
      <c r="C8" s="156" t="s">
        <v>307</v>
      </c>
      <c r="D8" s="157" t="s">
        <v>308</v>
      </c>
    </row>
    <row r="9" ht="15.75" customHeight="1">
      <c r="A9" s="158" t="s">
        <v>309</v>
      </c>
      <c r="B9" s="159">
        <f t="shared" ref="B9:C9" si="1">SUM(B10,B11)</f>
        <v>6197.587855</v>
      </c>
      <c r="C9" s="159">
        <f t="shared" si="1"/>
        <v>5544</v>
      </c>
      <c r="D9" s="159">
        <f t="shared" ref="D9:D34" si="2">B9-C9</f>
        <v>653.5878552</v>
      </c>
    </row>
    <row r="10" ht="15.75" customHeight="1">
      <c r="A10" s="160" t="s">
        <v>310</v>
      </c>
      <c r="B10" s="159">
        <f>SUMIFS('Task 7b Expense data'!E:E,'Task 7b Expense data'!B:B,$C$5,'Task 7b Expense data'!D:D,$A10)</f>
        <v>5544</v>
      </c>
      <c r="C10" s="161">
        <v>5544.0</v>
      </c>
      <c r="D10" s="159">
        <f t="shared" si="2"/>
        <v>0</v>
      </c>
    </row>
    <row r="11" ht="15.75" customHeight="1">
      <c r="A11" s="160" t="s">
        <v>311</v>
      </c>
      <c r="B11" s="159">
        <f>SUMIFS('Task 7b Expense data'!E:E,'Task 7b Expense data'!B:B,$C$5,'Task 7b Expense data'!D:D,$A11)</f>
        <v>653.5878552</v>
      </c>
      <c r="C11" s="161">
        <v>0.0</v>
      </c>
      <c r="D11" s="159">
        <f t="shared" si="2"/>
        <v>653.5878552</v>
      </c>
    </row>
    <row r="12" ht="15.75" customHeight="1">
      <c r="A12" s="162" t="s">
        <v>312</v>
      </c>
      <c r="B12" s="159">
        <f t="shared" ref="B12:C12" si="3">SUM(B13,B16,B19,B23,B26,B28)</f>
        <v>5257.10235</v>
      </c>
      <c r="C12" s="159">
        <f t="shared" si="3"/>
        <v>6540</v>
      </c>
      <c r="D12" s="159">
        <f t="shared" si="2"/>
        <v>-1282.89765</v>
      </c>
    </row>
    <row r="13" ht="15.75" customHeight="1">
      <c r="A13" s="163" t="s">
        <v>313</v>
      </c>
      <c r="B13" s="159">
        <f t="shared" ref="B13:C13" si="4">SUM(B14,B15)</f>
        <v>2152.680573</v>
      </c>
      <c r="C13" s="159">
        <f t="shared" si="4"/>
        <v>2250</v>
      </c>
      <c r="D13" s="159">
        <f t="shared" si="2"/>
        <v>-97.319427</v>
      </c>
    </row>
    <row r="14" ht="15.75" customHeight="1">
      <c r="A14" s="160" t="s">
        <v>314</v>
      </c>
      <c r="B14" s="159">
        <f>-SUMIFS('Task 7b Expense data'!E:E,'Task 7b Expense data'!B:B,$C$5,'Task 7b Expense data'!D:D,$A14)</f>
        <v>249.680573</v>
      </c>
      <c r="C14" s="161">
        <v>250.0</v>
      </c>
      <c r="D14" s="159">
        <f t="shared" si="2"/>
        <v>-0.3194270008</v>
      </c>
    </row>
    <row r="15" ht="15.75" customHeight="1">
      <c r="A15" s="160" t="s">
        <v>315</v>
      </c>
      <c r="B15" s="159">
        <f>-SUMIFS('Task 7b Expense data'!E:E,'Task 7b Expense data'!B:B,$C$5,'Task 7b Expense data'!D:D,$A15)</f>
        <v>1903</v>
      </c>
      <c r="C15" s="161">
        <v>2000.0</v>
      </c>
      <c r="D15" s="159">
        <f t="shared" si="2"/>
        <v>-97</v>
      </c>
    </row>
    <row r="16" ht="15.75" customHeight="1">
      <c r="A16" s="163" t="s">
        <v>316</v>
      </c>
      <c r="B16" s="159">
        <f t="shared" ref="B16:C16" si="5">SUM(B17,B18)</f>
        <v>332.7105135</v>
      </c>
      <c r="C16" s="159">
        <f t="shared" si="5"/>
        <v>700</v>
      </c>
      <c r="D16" s="159">
        <f t="shared" si="2"/>
        <v>-367.2894865</v>
      </c>
    </row>
    <row r="17" ht="15.75" customHeight="1">
      <c r="A17" s="160" t="s">
        <v>262</v>
      </c>
      <c r="B17" s="159">
        <f>-SUMIFS('Task 7b Expense data'!E:E,'Task 7b Expense data'!B:B,$C$5,'Task 7b Expense data'!D:D,$A17)</f>
        <v>127.2729545</v>
      </c>
      <c r="C17" s="161">
        <v>200.0</v>
      </c>
      <c r="D17" s="159">
        <f t="shared" si="2"/>
        <v>-72.72704551</v>
      </c>
    </row>
    <row r="18" ht="15.75" customHeight="1">
      <c r="A18" s="160" t="s">
        <v>317</v>
      </c>
      <c r="B18" s="159">
        <f>-SUMIFS('Task 7b Expense data'!E:E,'Task 7b Expense data'!B:B,$C$5,'Task 7b Expense data'!D:D,$A18)</f>
        <v>205.437559</v>
      </c>
      <c r="C18" s="161">
        <v>500.0</v>
      </c>
      <c r="D18" s="159">
        <f t="shared" si="2"/>
        <v>-294.562441</v>
      </c>
    </row>
    <row r="19" ht="15.75" customHeight="1">
      <c r="A19" s="163" t="s">
        <v>318</v>
      </c>
      <c r="B19" s="159">
        <f t="shared" ref="B19:C19" si="6">SUM(B20,B21,B22)</f>
        <v>397.5880177</v>
      </c>
      <c r="C19" s="159">
        <f t="shared" si="6"/>
        <v>520</v>
      </c>
      <c r="D19" s="159">
        <f t="shared" si="2"/>
        <v>-122.4119823</v>
      </c>
    </row>
    <row r="20" ht="15.75" customHeight="1">
      <c r="A20" s="160" t="s">
        <v>319</v>
      </c>
      <c r="B20" s="159">
        <f>-SUMIFS('Task 7b Expense data'!E:E,'Task 7b Expense data'!B:B,$C$5,'Task 7b Expense data'!D:D,$A20)</f>
        <v>246.6913549</v>
      </c>
      <c r="C20" s="161">
        <v>300.0</v>
      </c>
      <c r="D20" s="159">
        <f t="shared" si="2"/>
        <v>-53.30864514</v>
      </c>
    </row>
    <row r="21" ht="15.75" customHeight="1">
      <c r="A21" s="160" t="s">
        <v>320</v>
      </c>
      <c r="B21" s="159">
        <f>-SUMIFS('Task 7b Expense data'!E:E,'Task 7b Expense data'!B:B,$C$5,'Task 7b Expense data'!D:D,$A21)</f>
        <v>150.8966628</v>
      </c>
      <c r="C21" s="161">
        <v>200.0</v>
      </c>
      <c r="D21" s="159">
        <f t="shared" si="2"/>
        <v>-49.10333716</v>
      </c>
    </row>
    <row r="22" ht="15.75" customHeight="1">
      <c r="A22" s="160" t="s">
        <v>321</v>
      </c>
      <c r="B22" s="159">
        <f>-SUMIFS('Task 7b Expense data'!E:E,'Task 7b Expense data'!B:B,$C$5,'Task 7b Expense data'!D:D,$A22)</f>
        <v>0</v>
      </c>
      <c r="C22" s="161">
        <v>20.0</v>
      </c>
      <c r="D22" s="159">
        <f t="shared" si="2"/>
        <v>-20</v>
      </c>
    </row>
    <row r="23" ht="15.75" customHeight="1">
      <c r="A23" s="163" t="s">
        <v>322</v>
      </c>
      <c r="B23" s="159">
        <f t="shared" ref="B23:C23" si="7">SUM(B24,B25)</f>
        <v>395.2881353</v>
      </c>
      <c r="C23" s="159">
        <f t="shared" si="7"/>
        <v>650</v>
      </c>
      <c r="D23" s="159">
        <f t="shared" si="2"/>
        <v>-254.7118647</v>
      </c>
    </row>
    <row r="24" ht="15.75" customHeight="1">
      <c r="A24" s="160" t="s">
        <v>323</v>
      </c>
      <c r="B24" s="159">
        <f>-SUMIFS('Task 7b Expense data'!E:E,'Task 7b Expense data'!B:B,$C$5,'Task 7b Expense data'!D:D,$A24)</f>
        <v>369.8786026</v>
      </c>
      <c r="C24" s="161">
        <v>600.0</v>
      </c>
      <c r="D24" s="159">
        <f t="shared" si="2"/>
        <v>-230.1213974</v>
      </c>
    </row>
    <row r="25" ht="15.75" customHeight="1">
      <c r="A25" s="160" t="s">
        <v>324</v>
      </c>
      <c r="B25" s="159">
        <f>-SUMIFS('Task 7b Expense data'!E:E,'Task 7b Expense data'!B:B,$C$5,'Task 7b Expense data'!D:D,$A25)</f>
        <v>25.4095327</v>
      </c>
      <c r="C25" s="161">
        <v>50.0</v>
      </c>
      <c r="D25" s="159">
        <f t="shared" si="2"/>
        <v>-24.5904673</v>
      </c>
    </row>
    <row r="26" ht="15.75" customHeight="1">
      <c r="A26" s="163" t="s">
        <v>325</v>
      </c>
      <c r="B26" s="159">
        <f t="shared" ref="B26:C26" si="8">B27</f>
        <v>600</v>
      </c>
      <c r="C26" s="159">
        <f t="shared" si="8"/>
        <v>800</v>
      </c>
      <c r="D26" s="159">
        <f t="shared" si="2"/>
        <v>-200</v>
      </c>
    </row>
    <row r="27" ht="15.75" customHeight="1">
      <c r="A27" s="160" t="s">
        <v>326</v>
      </c>
      <c r="B27" s="159">
        <f>-SUMIFS('Task 7b Expense data'!E:E,'Task 7b Expense data'!B:B,$C$5,'Task 7b Expense data'!D:D,$A27)</f>
        <v>600</v>
      </c>
      <c r="C27" s="161">
        <v>800.0</v>
      </c>
      <c r="D27" s="159">
        <f t="shared" si="2"/>
        <v>-200</v>
      </c>
    </row>
    <row r="28" ht="15.75" customHeight="1">
      <c r="A28" s="163" t="s">
        <v>327</v>
      </c>
      <c r="B28" s="159">
        <f t="shared" ref="B28:C28" si="9">SUM(B29,B30,B31,B32,B33)</f>
        <v>1378.83511</v>
      </c>
      <c r="C28" s="159">
        <f t="shared" si="9"/>
        <v>1620</v>
      </c>
      <c r="D28" s="159">
        <f t="shared" si="2"/>
        <v>-241.1648897</v>
      </c>
    </row>
    <row r="29" ht="15.75" customHeight="1">
      <c r="A29" s="160" t="s">
        <v>328</v>
      </c>
      <c r="B29" s="159">
        <f>-SUMIFS('Task 7b Expense data'!E:E,'Task 7b Expense data'!B:B,$C$5,'Task 7b Expense data'!D:D,$A29)</f>
        <v>115.7496701</v>
      </c>
      <c r="C29" s="161">
        <v>150.0</v>
      </c>
      <c r="D29" s="159">
        <f t="shared" si="2"/>
        <v>-34.25032986</v>
      </c>
    </row>
    <row r="30" ht="15.75" customHeight="1">
      <c r="A30" s="160" t="s">
        <v>329</v>
      </c>
      <c r="B30" s="159">
        <f>-SUMIFS('Task 7b Expense data'!E:E,'Task 7b Expense data'!B:B,$C$5,'Task 7b Expense data'!D:D,$A30)</f>
        <v>50.34857495</v>
      </c>
      <c r="C30" s="161">
        <v>50.0</v>
      </c>
      <c r="D30" s="159">
        <f t="shared" si="2"/>
        <v>0.3485749496</v>
      </c>
    </row>
    <row r="31" ht="15.75" customHeight="1">
      <c r="A31" s="160" t="s">
        <v>330</v>
      </c>
      <c r="B31" s="159">
        <f>-SUMIFS('Task 7b Expense data'!E:E,'Task 7b Expense data'!B:B,$C$5,'Task 7b Expense data'!D:D,$A31)</f>
        <v>621.1731485</v>
      </c>
      <c r="C31" s="161">
        <v>750.0</v>
      </c>
      <c r="D31" s="159">
        <f t="shared" si="2"/>
        <v>-128.8268515</v>
      </c>
    </row>
    <row r="32" ht="15.75" customHeight="1">
      <c r="A32" s="160" t="s">
        <v>331</v>
      </c>
      <c r="B32" s="159">
        <f>-SUMIFS('Task 7b Expense data'!E:E,'Task 7b Expense data'!B:B,$C$5,'Task 7b Expense data'!D:D,$A32)</f>
        <v>505.4440685</v>
      </c>
      <c r="C32" s="161">
        <v>550.0</v>
      </c>
      <c r="D32" s="159">
        <f t="shared" si="2"/>
        <v>-44.55593153</v>
      </c>
    </row>
    <row r="33" ht="15.75" customHeight="1">
      <c r="A33" s="160" t="s">
        <v>332</v>
      </c>
      <c r="B33" s="159">
        <f>-SUMIFS('Task 7b Expense data'!E:E,'Task 7b Expense data'!B:B,$C$5,'Task 7b Expense data'!D:D,$A33)</f>
        <v>86.11964823</v>
      </c>
      <c r="C33" s="161">
        <v>120.0</v>
      </c>
      <c r="D33" s="159">
        <f t="shared" si="2"/>
        <v>-33.88035177</v>
      </c>
    </row>
    <row r="34" ht="15.75" customHeight="1">
      <c r="A34" s="164" t="s">
        <v>333</v>
      </c>
      <c r="B34" s="159">
        <f t="shared" ref="B34:C34" si="10">B9-B12</f>
        <v>940.4855054</v>
      </c>
      <c r="C34" s="159">
        <f t="shared" si="10"/>
        <v>-996</v>
      </c>
      <c r="D34" s="159">
        <f t="shared" si="2"/>
        <v>1936.485505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conditionalFormatting sqref="B34">
    <cfRule type="cellIs" dxfId="2" priority="1" operator="greaterThan">
      <formula>0</formula>
    </cfRule>
  </conditionalFormatting>
  <conditionalFormatting sqref="B34">
    <cfRule type="cellIs" dxfId="3" priority="2" operator="lessThanOrEqual">
      <formula>0</formula>
    </cfRule>
  </conditionalFormatting>
  <dataValidations>
    <dataValidation type="list" allowBlank="1" showErrorMessage="1" sqref="C5">
      <formula1>'Task 7b Expense data'!$B$2:$B$101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25"/>
    <col customWidth="1" min="2" max="3" width="26.75"/>
    <col customWidth="1" min="4" max="4" width="19.88"/>
    <col customWidth="1" min="5" max="5" width="18.38"/>
    <col customWidth="1" min="6" max="6" width="17.75"/>
    <col customWidth="1" min="7" max="7" width="14.38"/>
    <col customWidth="1" min="8" max="8" width="13.0"/>
    <col customWidth="1" min="9" max="9" width="29.13"/>
    <col customWidth="1" min="10" max="10" width="25.88"/>
    <col customWidth="1" min="11" max="27" width="14.38"/>
  </cols>
  <sheetData>
    <row r="1" ht="15.75" customHeight="1">
      <c r="A1" s="165" t="s">
        <v>334</v>
      </c>
      <c r="B1" s="166"/>
      <c r="C1" s="166" t="s">
        <v>335</v>
      </c>
      <c r="D1" s="166" t="s">
        <v>336</v>
      </c>
      <c r="E1" s="167" t="s">
        <v>337</v>
      </c>
      <c r="F1" s="166" t="s">
        <v>338</v>
      </c>
      <c r="H1" s="166" t="s">
        <v>338</v>
      </c>
      <c r="I1" s="168" t="s">
        <v>339</v>
      </c>
      <c r="J1" s="168" t="s">
        <v>340</v>
      </c>
    </row>
    <row r="2" ht="15.75" customHeight="1">
      <c r="A2" s="169">
        <v>43145.0</v>
      </c>
      <c r="B2" s="22" t="str">
        <f t="shared" ref="B2:B101" si="1">TEXT(A2,"mmmm")&amp;" "&amp; TEXT(A2,"yyy")</f>
        <v>febrero 2018</v>
      </c>
      <c r="C2" s="22" t="s">
        <v>341</v>
      </c>
      <c r="D2" s="22" t="s">
        <v>326</v>
      </c>
      <c r="E2" s="29">
        <v>-250.0</v>
      </c>
      <c r="F2" s="22" t="s">
        <v>342</v>
      </c>
      <c r="H2" s="22" t="s">
        <v>342</v>
      </c>
      <c r="I2" s="22" t="s">
        <v>343</v>
      </c>
      <c r="J2" s="22" t="s">
        <v>344</v>
      </c>
    </row>
    <row r="3" ht="15.75" customHeight="1">
      <c r="A3" s="169">
        <v>43145.0</v>
      </c>
      <c r="B3" s="22" t="str">
        <f t="shared" si="1"/>
        <v>febrero 2018</v>
      </c>
      <c r="C3" s="22" t="s">
        <v>345</v>
      </c>
      <c r="D3" s="22" t="s">
        <v>321</v>
      </c>
      <c r="E3" s="29">
        <v>-10.09547940682435</v>
      </c>
      <c r="F3" s="22" t="s">
        <v>346</v>
      </c>
      <c r="H3" s="22" t="s">
        <v>347</v>
      </c>
      <c r="I3" s="22" t="s">
        <v>348</v>
      </c>
      <c r="J3" s="22" t="s">
        <v>349</v>
      </c>
    </row>
    <row r="4" ht="15.75" customHeight="1">
      <c r="A4" s="169">
        <v>43144.0</v>
      </c>
      <c r="B4" s="22" t="str">
        <f t="shared" si="1"/>
        <v>febrero 2018</v>
      </c>
      <c r="C4" s="22" t="s">
        <v>350</v>
      </c>
      <c r="D4" s="22" t="s">
        <v>351</v>
      </c>
      <c r="E4" s="29">
        <v>-38.68916580909925</v>
      </c>
      <c r="F4" s="22" t="s">
        <v>347</v>
      </c>
      <c r="H4" s="22" t="s">
        <v>352</v>
      </c>
      <c r="I4" s="22" t="s">
        <v>353</v>
      </c>
      <c r="J4" s="22" t="s">
        <v>349</v>
      </c>
    </row>
    <row r="5" ht="15.75" customHeight="1">
      <c r="A5" s="169">
        <v>43143.0</v>
      </c>
      <c r="B5" s="22" t="str">
        <f t="shared" si="1"/>
        <v>febrero 2018</v>
      </c>
      <c r="C5" s="22" t="s">
        <v>354</v>
      </c>
      <c r="D5" s="22" t="s">
        <v>355</v>
      </c>
      <c r="E5" s="29">
        <v>-39.32394497005602</v>
      </c>
      <c r="F5" s="22" t="s">
        <v>356</v>
      </c>
      <c r="H5" s="22" t="s">
        <v>357</v>
      </c>
      <c r="I5" s="22" t="s">
        <v>358</v>
      </c>
      <c r="J5" s="22" t="s">
        <v>359</v>
      </c>
    </row>
    <row r="6" ht="15.75" customHeight="1">
      <c r="A6" s="169">
        <v>43142.0</v>
      </c>
      <c r="B6" s="22" t="str">
        <f t="shared" si="1"/>
        <v>febrero 2018</v>
      </c>
      <c r="C6" s="22" t="s">
        <v>360</v>
      </c>
      <c r="D6" s="22" t="s">
        <v>351</v>
      </c>
      <c r="E6" s="29">
        <v>-3251.38205580139</v>
      </c>
      <c r="F6" s="22" t="s">
        <v>356</v>
      </c>
      <c r="H6" s="22" t="s">
        <v>346</v>
      </c>
      <c r="I6" s="22" t="s">
        <v>361</v>
      </c>
      <c r="J6" s="22" t="s">
        <v>362</v>
      </c>
    </row>
    <row r="7" ht="15.75" customHeight="1">
      <c r="A7" s="169">
        <v>43141.0</v>
      </c>
      <c r="B7" s="22" t="str">
        <f t="shared" si="1"/>
        <v>febrero 2018</v>
      </c>
      <c r="C7" s="22" t="s">
        <v>363</v>
      </c>
      <c r="D7" s="22" t="s">
        <v>355</v>
      </c>
      <c r="E7" s="29">
        <v>-25.808571837218487</v>
      </c>
      <c r="F7" s="22" t="s">
        <v>352</v>
      </c>
      <c r="H7" s="22" t="s">
        <v>364</v>
      </c>
      <c r="I7" s="22" t="s">
        <v>365</v>
      </c>
      <c r="J7" s="22" t="s">
        <v>359</v>
      </c>
    </row>
    <row r="8" ht="15.75" customHeight="1">
      <c r="A8" s="169">
        <v>43140.0</v>
      </c>
      <c r="B8" s="22" t="str">
        <f t="shared" si="1"/>
        <v>febrero 2018</v>
      </c>
      <c r="C8" s="22" t="s">
        <v>366</v>
      </c>
      <c r="D8" s="22" t="s">
        <v>315</v>
      </c>
      <c r="E8" s="29">
        <v>-1903.0</v>
      </c>
      <c r="F8" s="22" t="s">
        <v>342</v>
      </c>
      <c r="H8" s="22" t="s">
        <v>356</v>
      </c>
      <c r="I8" s="22" t="s">
        <v>367</v>
      </c>
      <c r="J8" s="22" t="s">
        <v>349</v>
      </c>
    </row>
    <row r="9" ht="15.75" customHeight="1">
      <c r="A9" s="169">
        <v>43140.0</v>
      </c>
      <c r="B9" s="22" t="str">
        <f t="shared" si="1"/>
        <v>febrero 2018</v>
      </c>
      <c r="C9" s="22" t="s">
        <v>310</v>
      </c>
      <c r="D9" s="22" t="s">
        <v>310</v>
      </c>
      <c r="E9" s="170">
        <v>5544.0</v>
      </c>
      <c r="F9" s="22" t="s">
        <v>342</v>
      </c>
    </row>
    <row r="10" ht="15.75" customHeight="1">
      <c r="A10" s="169">
        <v>43140.0</v>
      </c>
      <c r="B10" s="22" t="str">
        <f t="shared" si="1"/>
        <v>febrero 2018</v>
      </c>
      <c r="C10" s="22" t="s">
        <v>368</v>
      </c>
      <c r="D10" s="22" t="s">
        <v>332</v>
      </c>
      <c r="E10" s="29">
        <v>-9.115287413929583</v>
      </c>
      <c r="F10" s="22" t="s">
        <v>352</v>
      </c>
    </row>
    <row r="11" ht="15.75" customHeight="1">
      <c r="A11" s="169">
        <v>43139.0</v>
      </c>
      <c r="B11" s="22" t="str">
        <f t="shared" si="1"/>
        <v>febrero 2018</v>
      </c>
      <c r="C11" s="22" t="s">
        <v>369</v>
      </c>
      <c r="D11" s="22" t="s">
        <v>370</v>
      </c>
      <c r="E11" s="29">
        <v>-8.928058478985726</v>
      </c>
      <c r="F11" s="22" t="s">
        <v>364</v>
      </c>
    </row>
    <row r="12" ht="15.75" customHeight="1">
      <c r="A12" s="169">
        <v>43139.0</v>
      </c>
      <c r="B12" s="22" t="str">
        <f t="shared" si="1"/>
        <v>febrero 2018</v>
      </c>
      <c r="C12" s="22" t="s">
        <v>371</v>
      </c>
      <c r="D12" s="22" t="s">
        <v>319</v>
      </c>
      <c r="E12" s="29">
        <v>-46.45521318072057</v>
      </c>
      <c r="F12" s="22" t="s">
        <v>347</v>
      </c>
    </row>
    <row r="13" ht="15.75" customHeight="1">
      <c r="A13" s="169">
        <v>43138.0</v>
      </c>
      <c r="B13" s="22" t="str">
        <f t="shared" si="1"/>
        <v>febrero 2018</v>
      </c>
      <c r="C13" s="22" t="s">
        <v>372</v>
      </c>
      <c r="D13" s="22" t="s">
        <v>314</v>
      </c>
      <c r="E13" s="29">
        <v>-246.53506616141286</v>
      </c>
      <c r="F13" s="22" t="s">
        <v>356</v>
      </c>
    </row>
    <row r="14" ht="15.75" customHeight="1">
      <c r="A14" s="169">
        <v>43137.0</v>
      </c>
      <c r="B14" s="22" t="str">
        <f t="shared" si="1"/>
        <v>febrero 2018</v>
      </c>
      <c r="C14" s="22" t="s">
        <v>373</v>
      </c>
      <c r="D14" s="22" t="s">
        <v>332</v>
      </c>
      <c r="E14" s="29">
        <v>-1.5893293546870486</v>
      </c>
      <c r="F14" s="22" t="s">
        <v>357</v>
      </c>
    </row>
    <row r="15" ht="15.75" customHeight="1">
      <c r="A15" s="169">
        <v>43136.0</v>
      </c>
      <c r="B15" s="22" t="str">
        <f t="shared" si="1"/>
        <v>febrero 2018</v>
      </c>
      <c r="C15" s="22" t="s">
        <v>374</v>
      </c>
      <c r="D15" s="22" t="s">
        <v>370</v>
      </c>
      <c r="E15" s="29">
        <v>-15.534943959463117</v>
      </c>
      <c r="F15" s="22" t="s">
        <v>347</v>
      </c>
    </row>
    <row r="16" ht="15.75" customHeight="1">
      <c r="A16" s="169">
        <v>43136.0</v>
      </c>
      <c r="B16" s="22" t="str">
        <f t="shared" si="1"/>
        <v>febrero 2018</v>
      </c>
      <c r="C16" s="22" t="s">
        <v>375</v>
      </c>
      <c r="D16" s="22" t="s">
        <v>332</v>
      </c>
      <c r="E16" s="29">
        <v>-18.083209013978067</v>
      </c>
      <c r="F16" s="22" t="s">
        <v>357</v>
      </c>
    </row>
    <row r="17" ht="15.75" customHeight="1">
      <c r="A17" s="169">
        <v>43135.0</v>
      </c>
      <c r="B17" s="22" t="str">
        <f t="shared" si="1"/>
        <v>febrero 2018</v>
      </c>
      <c r="C17" s="22" t="s">
        <v>376</v>
      </c>
      <c r="D17" s="22" t="s">
        <v>332</v>
      </c>
      <c r="E17" s="29">
        <v>-35.848294657848044</v>
      </c>
      <c r="F17" s="22" t="s">
        <v>356</v>
      </c>
    </row>
    <row r="18" ht="15.75" customHeight="1">
      <c r="A18" s="169">
        <v>43134.0</v>
      </c>
      <c r="B18" s="22" t="str">
        <f t="shared" si="1"/>
        <v>febrero 2018</v>
      </c>
      <c r="C18" s="22" t="s">
        <v>377</v>
      </c>
      <c r="D18" s="22" t="s">
        <v>351</v>
      </c>
      <c r="E18" s="29">
        <v>-27.6907565783354</v>
      </c>
      <c r="F18" s="22" t="s">
        <v>347</v>
      </c>
    </row>
    <row r="19" ht="15.75" customHeight="1">
      <c r="A19" s="169">
        <v>43133.0</v>
      </c>
      <c r="B19" s="22" t="str">
        <f t="shared" si="1"/>
        <v>febrero 2018</v>
      </c>
      <c r="C19" s="22" t="s">
        <v>378</v>
      </c>
      <c r="D19" s="22" t="s">
        <v>351</v>
      </c>
      <c r="E19" s="29">
        <v>-25.280933498351065</v>
      </c>
      <c r="F19" s="22" t="s">
        <v>347</v>
      </c>
    </row>
    <row r="20" ht="15.75" customHeight="1">
      <c r="A20" s="169">
        <v>43132.0</v>
      </c>
      <c r="B20" s="22" t="str">
        <f t="shared" si="1"/>
        <v>febrero 2018</v>
      </c>
      <c r="C20" s="22" t="s">
        <v>379</v>
      </c>
      <c r="D20" s="22" t="s">
        <v>351</v>
      </c>
      <c r="E20" s="29">
        <v>-19.15537966529622</v>
      </c>
      <c r="F20" s="22" t="s">
        <v>347</v>
      </c>
    </row>
    <row r="21" ht="15.75" customHeight="1">
      <c r="A21" s="169">
        <v>43132.0</v>
      </c>
      <c r="B21" s="22" t="str">
        <f t="shared" si="1"/>
        <v>febrero 2018</v>
      </c>
      <c r="C21" s="22" t="s">
        <v>380</v>
      </c>
      <c r="D21" s="22" t="s">
        <v>332</v>
      </c>
      <c r="E21" s="29">
        <v>-6.1872186695912</v>
      </c>
      <c r="F21" s="22" t="s">
        <v>364</v>
      </c>
    </row>
    <row r="22" ht="15.75" customHeight="1">
      <c r="A22" s="169">
        <v>43131.0</v>
      </c>
      <c r="B22" s="22" t="str">
        <f t="shared" si="1"/>
        <v>enero 2018</v>
      </c>
      <c r="C22" s="22" t="s">
        <v>381</v>
      </c>
      <c r="D22" s="22" t="s">
        <v>370</v>
      </c>
      <c r="E22" s="29">
        <v>-2.104954454933721</v>
      </c>
      <c r="F22" s="22" t="s">
        <v>346</v>
      </c>
    </row>
    <row r="23" ht="15.75" customHeight="1">
      <c r="A23" s="169">
        <v>43131.0</v>
      </c>
      <c r="B23" s="22" t="str">
        <f t="shared" si="1"/>
        <v>enero 2018</v>
      </c>
      <c r="C23" s="22" t="s">
        <v>382</v>
      </c>
      <c r="D23" s="22" t="s">
        <v>317</v>
      </c>
      <c r="E23" s="29">
        <v>-164.34778223566545</v>
      </c>
      <c r="F23" s="22" t="s">
        <v>356</v>
      </c>
    </row>
    <row r="24" ht="15.75" customHeight="1">
      <c r="A24" s="169">
        <v>43130.0</v>
      </c>
      <c r="B24" s="22" t="str">
        <f t="shared" si="1"/>
        <v>enero 2018</v>
      </c>
      <c r="C24" s="22" t="s">
        <v>383</v>
      </c>
      <c r="D24" s="22" t="s">
        <v>328</v>
      </c>
      <c r="E24" s="29">
        <v>-156.1</v>
      </c>
      <c r="F24" s="22" t="s">
        <v>346</v>
      </c>
    </row>
    <row r="25" ht="15.75" customHeight="1">
      <c r="A25" s="169">
        <v>43129.0</v>
      </c>
      <c r="B25" s="22" t="str">
        <f t="shared" si="1"/>
        <v>enero 2018</v>
      </c>
      <c r="C25" s="22" t="s">
        <v>384</v>
      </c>
      <c r="D25" s="22" t="s">
        <v>326</v>
      </c>
      <c r="E25" s="29">
        <v>-400.0</v>
      </c>
      <c r="F25" s="22" t="s">
        <v>357</v>
      </c>
    </row>
    <row r="26" ht="15.75" customHeight="1">
      <c r="A26" s="169">
        <v>43128.0</v>
      </c>
      <c r="B26" s="22" t="str">
        <f t="shared" si="1"/>
        <v>enero 2018</v>
      </c>
      <c r="C26" s="22" t="s">
        <v>385</v>
      </c>
      <c r="D26" s="22" t="s">
        <v>319</v>
      </c>
      <c r="E26" s="29">
        <v>-69.1</v>
      </c>
      <c r="F26" s="22" t="s">
        <v>347</v>
      </c>
    </row>
    <row r="27" ht="15.75" customHeight="1">
      <c r="A27" s="169">
        <v>43127.0</v>
      </c>
      <c r="B27" s="22" t="str">
        <f t="shared" si="1"/>
        <v>enero 2018</v>
      </c>
      <c r="C27" s="22" t="s">
        <v>376</v>
      </c>
      <c r="D27" s="22" t="s">
        <v>332</v>
      </c>
      <c r="E27" s="29">
        <v>-56.98</v>
      </c>
      <c r="F27" s="22" t="s">
        <v>356</v>
      </c>
    </row>
    <row r="28" ht="15.75" customHeight="1">
      <c r="A28" s="169">
        <v>43126.0</v>
      </c>
      <c r="B28" s="22" t="str">
        <f t="shared" si="1"/>
        <v>enero 2018</v>
      </c>
      <c r="C28" s="22" t="s">
        <v>377</v>
      </c>
      <c r="D28" s="22" t="s">
        <v>351</v>
      </c>
      <c r="E28" s="29">
        <v>-37.62</v>
      </c>
      <c r="F28" s="22" t="s">
        <v>347</v>
      </c>
    </row>
    <row r="29" ht="15.75" customHeight="1">
      <c r="A29" s="169">
        <v>43126.0</v>
      </c>
      <c r="B29" s="22" t="str">
        <f t="shared" si="1"/>
        <v>enero 2018</v>
      </c>
      <c r="C29" s="22" t="s">
        <v>386</v>
      </c>
      <c r="D29" s="22" t="s">
        <v>332</v>
      </c>
      <c r="E29" s="29">
        <v>-10.0</v>
      </c>
      <c r="F29" s="22" t="s">
        <v>364</v>
      </c>
    </row>
    <row r="30" ht="15.75" customHeight="1">
      <c r="A30" s="169">
        <v>43125.0</v>
      </c>
      <c r="B30" s="22" t="str">
        <f t="shared" si="1"/>
        <v>enero 2018</v>
      </c>
      <c r="C30" s="22" t="s">
        <v>350</v>
      </c>
      <c r="D30" s="22" t="s">
        <v>351</v>
      </c>
      <c r="E30" s="29">
        <v>-47.83</v>
      </c>
      <c r="F30" s="22" t="s">
        <v>347</v>
      </c>
    </row>
    <row r="31" ht="15.75" customHeight="1">
      <c r="A31" s="169">
        <v>43124.0</v>
      </c>
      <c r="B31" s="22" t="str">
        <f t="shared" si="1"/>
        <v>enero 2018</v>
      </c>
      <c r="C31" s="22" t="s">
        <v>354</v>
      </c>
      <c r="D31" s="22" t="s">
        <v>329</v>
      </c>
      <c r="E31" s="29">
        <v>-55.82</v>
      </c>
      <c r="F31" s="22" t="s">
        <v>356</v>
      </c>
    </row>
    <row r="32" ht="15.75" customHeight="1">
      <c r="A32" s="169">
        <v>43123.0</v>
      </c>
      <c r="B32" s="22" t="str">
        <f t="shared" si="1"/>
        <v>enero 2018</v>
      </c>
      <c r="C32" s="22" t="s">
        <v>387</v>
      </c>
      <c r="D32" s="22" t="s">
        <v>326</v>
      </c>
      <c r="E32" s="29">
        <v>-400.0</v>
      </c>
      <c r="F32" s="22" t="s">
        <v>342</v>
      </c>
    </row>
    <row r="33" ht="15.75" customHeight="1">
      <c r="A33" s="169">
        <v>43122.0</v>
      </c>
      <c r="B33" s="22" t="str">
        <f t="shared" si="1"/>
        <v>enero 2018</v>
      </c>
      <c r="C33" s="22" t="s">
        <v>388</v>
      </c>
      <c r="D33" s="22" t="s">
        <v>330</v>
      </c>
      <c r="E33" s="29">
        <v>-740.0</v>
      </c>
      <c r="F33" s="22" t="s">
        <v>342</v>
      </c>
    </row>
    <row r="34" ht="15.75" customHeight="1">
      <c r="A34" s="169">
        <v>43122.0</v>
      </c>
      <c r="B34" s="22" t="str">
        <f t="shared" si="1"/>
        <v>enero 2018</v>
      </c>
      <c r="C34" s="22" t="s">
        <v>373</v>
      </c>
      <c r="D34" s="22" t="s">
        <v>332</v>
      </c>
      <c r="E34" s="29">
        <v>-2.99</v>
      </c>
      <c r="F34" s="22" t="s">
        <v>357</v>
      </c>
    </row>
    <row r="35" ht="15.75" customHeight="1">
      <c r="A35" s="169">
        <v>43121.0</v>
      </c>
      <c r="B35" s="22" t="str">
        <f t="shared" si="1"/>
        <v>enero 2018</v>
      </c>
      <c r="C35" s="22" t="s">
        <v>374</v>
      </c>
      <c r="D35" s="22" t="s">
        <v>370</v>
      </c>
      <c r="E35" s="29">
        <v>-18.18</v>
      </c>
      <c r="F35" s="22" t="s">
        <v>347</v>
      </c>
    </row>
    <row r="36" ht="15.75" customHeight="1">
      <c r="A36" s="169">
        <v>43119.0</v>
      </c>
      <c r="B36" s="22" t="str">
        <f t="shared" si="1"/>
        <v>enero 2018</v>
      </c>
      <c r="C36" s="22" t="s">
        <v>360</v>
      </c>
      <c r="D36" s="22" t="s">
        <v>351</v>
      </c>
      <c r="E36" s="29">
        <v>-435.11</v>
      </c>
      <c r="F36" s="22" t="s">
        <v>356</v>
      </c>
    </row>
    <row r="37" ht="15.75" customHeight="1">
      <c r="A37" s="169">
        <v>43118.0</v>
      </c>
      <c r="B37" s="22" t="str">
        <f t="shared" si="1"/>
        <v>enero 2018</v>
      </c>
      <c r="C37" s="22" t="s">
        <v>363</v>
      </c>
      <c r="D37" s="22" t="s">
        <v>355</v>
      </c>
      <c r="E37" s="29">
        <v>-30.0</v>
      </c>
      <c r="F37" s="22" t="s">
        <v>352</v>
      </c>
    </row>
    <row r="38" ht="15.75" customHeight="1">
      <c r="A38" s="169">
        <v>43116.0</v>
      </c>
      <c r="B38" s="22" t="str">
        <f t="shared" si="1"/>
        <v>enero 2018</v>
      </c>
      <c r="C38" s="22" t="s">
        <v>389</v>
      </c>
      <c r="D38" s="22" t="s">
        <v>319</v>
      </c>
      <c r="E38" s="29">
        <v>-23.0</v>
      </c>
      <c r="F38" s="22" t="s">
        <v>347</v>
      </c>
    </row>
    <row r="39" ht="15.75" customHeight="1">
      <c r="A39" s="169">
        <v>43115.0</v>
      </c>
      <c r="B39" s="22" t="str">
        <f t="shared" si="1"/>
        <v>enero 2018</v>
      </c>
      <c r="C39" s="22" t="s">
        <v>390</v>
      </c>
      <c r="D39" s="22" t="s">
        <v>311</v>
      </c>
      <c r="E39" s="170">
        <v>923.0</v>
      </c>
      <c r="F39" s="22" t="s">
        <v>342</v>
      </c>
    </row>
    <row r="40" ht="15.75" customHeight="1">
      <c r="A40" s="169">
        <v>43114.0</v>
      </c>
      <c r="B40" s="22" t="str">
        <f t="shared" si="1"/>
        <v>enero 2018</v>
      </c>
      <c r="C40" s="22" t="s">
        <v>391</v>
      </c>
      <c r="D40" s="22" t="s">
        <v>370</v>
      </c>
      <c r="E40" s="29">
        <v>-7.25</v>
      </c>
      <c r="F40" s="22" t="s">
        <v>364</v>
      </c>
    </row>
    <row r="41" ht="15.75" customHeight="1">
      <c r="A41" s="169">
        <v>43114.0</v>
      </c>
      <c r="B41" s="22" t="str">
        <f t="shared" si="1"/>
        <v>enero 2018</v>
      </c>
      <c r="C41" s="22" t="s">
        <v>392</v>
      </c>
      <c r="D41" s="22" t="s">
        <v>370</v>
      </c>
      <c r="E41" s="29">
        <v>-16.35</v>
      </c>
      <c r="F41" s="22" t="s">
        <v>356</v>
      </c>
    </row>
    <row r="42" ht="15.75" customHeight="1">
      <c r="A42" s="169">
        <v>43113.0</v>
      </c>
      <c r="B42" s="22" t="str">
        <f t="shared" si="1"/>
        <v>enero 2018</v>
      </c>
      <c r="C42" s="22" t="s">
        <v>393</v>
      </c>
      <c r="D42" s="22" t="s">
        <v>262</v>
      </c>
      <c r="E42" s="29">
        <v>-125.43</v>
      </c>
      <c r="F42" s="22" t="s">
        <v>357</v>
      </c>
    </row>
    <row r="43" ht="15.75" customHeight="1">
      <c r="A43" s="169">
        <v>43112.0</v>
      </c>
      <c r="B43" s="22" t="str">
        <f t="shared" si="1"/>
        <v>enero 2018</v>
      </c>
      <c r="C43" s="22" t="s">
        <v>345</v>
      </c>
      <c r="D43" s="22" t="s">
        <v>370</v>
      </c>
      <c r="E43" s="29">
        <v>-12.51</v>
      </c>
      <c r="F43" s="22" t="s">
        <v>346</v>
      </c>
    </row>
    <row r="44" ht="15.75" customHeight="1">
      <c r="A44" s="169">
        <v>43111.0</v>
      </c>
      <c r="B44" s="22" t="str">
        <f t="shared" si="1"/>
        <v>enero 2018</v>
      </c>
      <c r="C44" s="22" t="s">
        <v>394</v>
      </c>
      <c r="D44" s="22" t="s">
        <v>262</v>
      </c>
      <c r="E44" s="29">
        <v>-43.73</v>
      </c>
      <c r="F44" s="22" t="s">
        <v>357</v>
      </c>
    </row>
    <row r="45" ht="15.75" customHeight="1">
      <c r="A45" s="169">
        <v>43110.0</v>
      </c>
      <c r="B45" s="22" t="str">
        <f t="shared" si="1"/>
        <v>enero 2018</v>
      </c>
      <c r="C45" s="22" t="s">
        <v>395</v>
      </c>
      <c r="D45" s="22" t="s">
        <v>370</v>
      </c>
      <c r="E45" s="29">
        <v>-72.28</v>
      </c>
      <c r="F45" s="22" t="s">
        <v>364</v>
      </c>
    </row>
    <row r="46" ht="15.75" customHeight="1">
      <c r="A46" s="169">
        <v>43110.0</v>
      </c>
      <c r="B46" s="22" t="str">
        <f t="shared" si="1"/>
        <v>enero 2018</v>
      </c>
      <c r="C46" s="22" t="s">
        <v>396</v>
      </c>
      <c r="D46" s="22" t="s">
        <v>319</v>
      </c>
      <c r="E46" s="29">
        <v>-108.91</v>
      </c>
      <c r="F46" s="22" t="s">
        <v>347</v>
      </c>
    </row>
    <row r="47" ht="15.75" customHeight="1">
      <c r="A47" s="169">
        <v>43110.0</v>
      </c>
      <c r="B47" s="22" t="str">
        <f t="shared" si="1"/>
        <v>enero 2018</v>
      </c>
      <c r="C47" s="22" t="s">
        <v>366</v>
      </c>
      <c r="D47" s="22" t="s">
        <v>315</v>
      </c>
      <c r="E47" s="29">
        <v>-1903.0</v>
      </c>
      <c r="F47" s="22" t="s">
        <v>342</v>
      </c>
    </row>
    <row r="48" ht="15.75" customHeight="1">
      <c r="A48" s="169">
        <v>43110.0</v>
      </c>
      <c r="B48" s="22" t="str">
        <f t="shared" si="1"/>
        <v>enero 2018</v>
      </c>
      <c r="C48" s="22" t="s">
        <v>310</v>
      </c>
      <c r="D48" s="22" t="s">
        <v>310</v>
      </c>
      <c r="E48" s="170">
        <v>5544.0</v>
      </c>
      <c r="F48" s="22" t="s">
        <v>342</v>
      </c>
    </row>
    <row r="49" ht="15.75" customHeight="1">
      <c r="A49" s="169">
        <v>43110.0</v>
      </c>
      <c r="B49" s="22" t="str">
        <f t="shared" si="1"/>
        <v>enero 2018</v>
      </c>
      <c r="C49" s="22" t="s">
        <v>368</v>
      </c>
      <c r="D49" s="22" t="s">
        <v>332</v>
      </c>
      <c r="E49" s="29">
        <v>-16.18</v>
      </c>
      <c r="F49" s="22" t="s">
        <v>352</v>
      </c>
    </row>
    <row r="50" ht="15.75" customHeight="1">
      <c r="A50" s="169">
        <v>43109.0</v>
      </c>
      <c r="B50" s="22" t="str">
        <f t="shared" si="1"/>
        <v>enero 2018</v>
      </c>
      <c r="C50" s="22" t="s">
        <v>397</v>
      </c>
      <c r="D50" s="22" t="s">
        <v>355</v>
      </c>
      <c r="E50" s="29">
        <v>-513.97</v>
      </c>
      <c r="F50" s="22" t="s">
        <v>357</v>
      </c>
    </row>
    <row r="51" ht="15.75" customHeight="1">
      <c r="A51" s="169">
        <v>43109.0</v>
      </c>
      <c r="B51" s="22" t="str">
        <f t="shared" si="1"/>
        <v>enero 2018</v>
      </c>
      <c r="C51" s="22" t="s">
        <v>398</v>
      </c>
      <c r="D51" s="22" t="s">
        <v>324</v>
      </c>
      <c r="E51" s="29">
        <v>-50.0</v>
      </c>
      <c r="F51" s="22" t="s">
        <v>357</v>
      </c>
    </row>
    <row r="52" ht="15.75" customHeight="1">
      <c r="A52" s="169">
        <v>43108.0</v>
      </c>
      <c r="B52" s="22" t="str">
        <f t="shared" si="1"/>
        <v>enero 2018</v>
      </c>
      <c r="C52" s="22" t="s">
        <v>399</v>
      </c>
      <c r="D52" s="22" t="s">
        <v>319</v>
      </c>
      <c r="E52" s="29">
        <v>-36.76</v>
      </c>
      <c r="F52" s="22" t="s">
        <v>347</v>
      </c>
    </row>
    <row r="53" ht="15.75" customHeight="1">
      <c r="A53" s="169">
        <v>43107.0</v>
      </c>
      <c r="B53" s="22" t="str">
        <f t="shared" si="1"/>
        <v>enero 2018</v>
      </c>
      <c r="C53" s="22" t="s">
        <v>400</v>
      </c>
      <c r="D53" s="22" t="s">
        <v>370</v>
      </c>
      <c r="E53" s="29">
        <v>-35.34</v>
      </c>
      <c r="F53" s="22" t="s">
        <v>357</v>
      </c>
    </row>
    <row r="54" ht="15.75" customHeight="1">
      <c r="A54" s="169">
        <v>43106.0</v>
      </c>
      <c r="B54" s="22" t="str">
        <f t="shared" si="1"/>
        <v>enero 2018</v>
      </c>
      <c r="C54" s="22" t="s">
        <v>379</v>
      </c>
      <c r="D54" s="22" t="s">
        <v>351</v>
      </c>
      <c r="E54" s="29">
        <v>-19.67</v>
      </c>
      <c r="F54" s="22" t="s">
        <v>347</v>
      </c>
    </row>
    <row r="55" ht="15.75" customHeight="1">
      <c r="A55" s="169">
        <v>43106.0</v>
      </c>
      <c r="B55" s="22" t="str">
        <f t="shared" si="1"/>
        <v>enero 2018</v>
      </c>
      <c r="C55" s="22" t="s">
        <v>378</v>
      </c>
      <c r="D55" s="22" t="s">
        <v>351</v>
      </c>
      <c r="E55" s="29">
        <v>-48.74</v>
      </c>
      <c r="F55" s="22" t="s">
        <v>347</v>
      </c>
    </row>
    <row r="56" ht="15.75" customHeight="1">
      <c r="A56" s="169">
        <v>43106.0</v>
      </c>
      <c r="B56" s="22" t="str">
        <f t="shared" si="1"/>
        <v>enero 2018</v>
      </c>
      <c r="C56" s="22" t="s">
        <v>375</v>
      </c>
      <c r="D56" s="22" t="s">
        <v>332</v>
      </c>
      <c r="E56" s="29">
        <v>-20.0</v>
      </c>
      <c r="F56" s="22" t="s">
        <v>357</v>
      </c>
    </row>
    <row r="57" ht="15.75" customHeight="1">
      <c r="A57" s="169">
        <v>43105.0</v>
      </c>
      <c r="B57" s="22" t="str">
        <f t="shared" si="1"/>
        <v>enero 2018</v>
      </c>
      <c r="C57" s="22" t="s">
        <v>380</v>
      </c>
      <c r="D57" s="22" t="s">
        <v>332</v>
      </c>
      <c r="E57" s="29">
        <v>-10.81</v>
      </c>
      <c r="F57" s="22" t="s">
        <v>364</v>
      </c>
    </row>
    <row r="58" ht="15.75" customHeight="1">
      <c r="A58" s="169">
        <v>43104.0</v>
      </c>
      <c r="B58" s="22" t="str">
        <f t="shared" si="1"/>
        <v>enero 2018</v>
      </c>
      <c r="C58" s="22" t="s">
        <v>371</v>
      </c>
      <c r="D58" s="22" t="s">
        <v>319</v>
      </c>
      <c r="E58" s="29">
        <v>-52.69</v>
      </c>
      <c r="F58" s="22" t="s">
        <v>347</v>
      </c>
    </row>
    <row r="59" ht="15.75" customHeight="1">
      <c r="A59" s="169">
        <v>43103.0</v>
      </c>
      <c r="B59" s="22" t="str">
        <f t="shared" si="1"/>
        <v>enero 2018</v>
      </c>
      <c r="C59" s="22" t="s">
        <v>369</v>
      </c>
      <c r="D59" s="22" t="s">
        <v>370</v>
      </c>
      <c r="E59" s="29">
        <v>-12.91</v>
      </c>
      <c r="F59" s="22" t="s">
        <v>364</v>
      </c>
    </row>
    <row r="60" ht="15.75" customHeight="1">
      <c r="A60" s="169">
        <v>43102.0</v>
      </c>
      <c r="B60" s="22" t="str">
        <f t="shared" si="1"/>
        <v>enero 2018</v>
      </c>
      <c r="C60" s="22" t="s">
        <v>401</v>
      </c>
      <c r="D60" s="22" t="s">
        <v>314</v>
      </c>
      <c r="E60" s="29">
        <v>-251.33</v>
      </c>
      <c r="F60" s="22" t="s">
        <v>356</v>
      </c>
    </row>
    <row r="61" ht="15.75" customHeight="1">
      <c r="A61" s="169">
        <v>43101.0</v>
      </c>
      <c r="B61" s="22" t="str">
        <f t="shared" si="1"/>
        <v>enero 2018</v>
      </c>
      <c r="C61" s="22" t="s">
        <v>381</v>
      </c>
      <c r="D61" s="22" t="s">
        <v>370</v>
      </c>
      <c r="E61" s="29">
        <v>-3.56</v>
      </c>
      <c r="F61" s="22" t="s">
        <v>346</v>
      </c>
    </row>
    <row r="62" ht="15.75" customHeight="1">
      <c r="A62" s="169">
        <v>43101.0</v>
      </c>
      <c r="B62" s="22" t="str">
        <f t="shared" si="1"/>
        <v>enero 2018</v>
      </c>
      <c r="C62" s="22" t="s">
        <v>382</v>
      </c>
      <c r="D62" s="22" t="s">
        <v>317</v>
      </c>
      <c r="E62" s="29">
        <v>-322.84</v>
      </c>
      <c r="F62" s="22" t="s">
        <v>356</v>
      </c>
    </row>
    <row r="63" ht="15.75" customHeight="1">
      <c r="A63" s="169">
        <v>43100.0</v>
      </c>
      <c r="B63" s="22" t="str">
        <f t="shared" si="1"/>
        <v>diciembre 2017</v>
      </c>
      <c r="C63" s="22" t="s">
        <v>383</v>
      </c>
      <c r="D63" s="22" t="s">
        <v>328</v>
      </c>
      <c r="E63" s="29">
        <v>-115.74967014479407</v>
      </c>
      <c r="F63" s="22" t="s">
        <v>346</v>
      </c>
    </row>
    <row r="64" ht="15.75" customHeight="1">
      <c r="A64" s="169">
        <v>43099.0</v>
      </c>
      <c r="B64" s="22" t="str">
        <f t="shared" si="1"/>
        <v>diciembre 2017</v>
      </c>
      <c r="C64" s="22" t="s">
        <v>399</v>
      </c>
      <c r="D64" s="22" t="s">
        <v>319</v>
      </c>
      <c r="E64" s="29">
        <v>-28.600200780444766</v>
      </c>
      <c r="F64" s="22" t="s">
        <v>347</v>
      </c>
    </row>
    <row r="65" ht="15.75" customHeight="1">
      <c r="A65" s="169">
        <v>43098.0</v>
      </c>
      <c r="B65" s="22" t="str">
        <f t="shared" si="1"/>
        <v>diciembre 2017</v>
      </c>
      <c r="C65" s="22" t="s">
        <v>400</v>
      </c>
      <c r="D65" s="22" t="s">
        <v>370</v>
      </c>
      <c r="E65" s="29">
        <v>-27.972195350837076</v>
      </c>
      <c r="F65" s="22" t="s">
        <v>357</v>
      </c>
    </row>
    <row r="66" ht="15.75" customHeight="1">
      <c r="A66" s="169">
        <v>43097.0</v>
      </c>
      <c r="B66" s="22" t="str">
        <f t="shared" si="1"/>
        <v>diciembre 2017</v>
      </c>
      <c r="C66" s="22" t="s">
        <v>388</v>
      </c>
      <c r="D66" s="22" t="s">
        <v>330</v>
      </c>
      <c r="E66" s="29">
        <v>-621.1731484738832</v>
      </c>
      <c r="F66" s="22" t="s">
        <v>342</v>
      </c>
    </row>
    <row r="67" ht="15.75" customHeight="1">
      <c r="A67" s="169">
        <v>43096.0</v>
      </c>
      <c r="B67" s="22" t="str">
        <f t="shared" si="1"/>
        <v>diciembre 2017</v>
      </c>
      <c r="C67" s="22" t="s">
        <v>402</v>
      </c>
      <c r="D67" s="22" t="s">
        <v>326</v>
      </c>
      <c r="E67" s="29">
        <v>-300.0</v>
      </c>
      <c r="F67" s="22" t="s">
        <v>357</v>
      </c>
    </row>
    <row r="68" ht="15.75" customHeight="1">
      <c r="A68" s="169">
        <v>43095.0</v>
      </c>
      <c r="B68" s="22" t="str">
        <f t="shared" si="1"/>
        <v>diciembre 2017</v>
      </c>
      <c r="C68" s="22" t="s">
        <v>386</v>
      </c>
      <c r="D68" s="22" t="s">
        <v>332</v>
      </c>
      <c r="E68" s="29">
        <v>-6.872212037170101</v>
      </c>
      <c r="F68" s="22" t="s">
        <v>364</v>
      </c>
    </row>
    <row r="69" ht="15.75" customHeight="1">
      <c r="A69" s="169">
        <v>43094.0</v>
      </c>
      <c r="B69" s="22" t="str">
        <f t="shared" si="1"/>
        <v>diciembre 2017</v>
      </c>
      <c r="C69" s="22" t="s">
        <v>389</v>
      </c>
      <c r="D69" s="22" t="s">
        <v>319</v>
      </c>
      <c r="E69" s="29">
        <v>-14.63268068805967</v>
      </c>
      <c r="F69" s="22" t="s">
        <v>347</v>
      </c>
    </row>
    <row r="70" ht="15.75" customHeight="1">
      <c r="A70" s="169">
        <v>43093.0</v>
      </c>
      <c r="B70" s="22" t="str">
        <f t="shared" si="1"/>
        <v>diciembre 2017</v>
      </c>
      <c r="C70" s="22" t="s">
        <v>390</v>
      </c>
      <c r="D70" s="22" t="s">
        <v>311</v>
      </c>
      <c r="E70" s="170">
        <v>653.5878551844278</v>
      </c>
      <c r="F70" s="22" t="s">
        <v>342</v>
      </c>
    </row>
    <row r="71" ht="15.75" customHeight="1">
      <c r="A71" s="169">
        <v>43092.0</v>
      </c>
      <c r="B71" s="22" t="str">
        <f t="shared" si="1"/>
        <v>diciembre 2017</v>
      </c>
      <c r="C71" s="22" t="s">
        <v>391</v>
      </c>
      <c r="D71" s="22" t="s">
        <v>370</v>
      </c>
      <c r="E71" s="29">
        <v>-6.18155654415109</v>
      </c>
      <c r="F71" s="22" t="s">
        <v>364</v>
      </c>
    </row>
    <row r="72" ht="15.75" customHeight="1">
      <c r="A72" s="169">
        <v>43092.0</v>
      </c>
      <c r="B72" s="22" t="str">
        <f t="shared" si="1"/>
        <v>diciembre 2017</v>
      </c>
      <c r="C72" s="22" t="s">
        <v>392</v>
      </c>
      <c r="D72" s="22" t="s">
        <v>370</v>
      </c>
      <c r="E72" s="29">
        <v>-15.956849155308712</v>
      </c>
      <c r="F72" s="22" t="s">
        <v>356</v>
      </c>
    </row>
    <row r="73" ht="15.75" customHeight="1">
      <c r="A73" s="169">
        <v>43091.0</v>
      </c>
      <c r="B73" s="22" t="str">
        <f t="shared" si="1"/>
        <v>diciembre 2017</v>
      </c>
      <c r="C73" s="22" t="s">
        <v>350</v>
      </c>
      <c r="D73" s="22" t="s">
        <v>351</v>
      </c>
      <c r="E73" s="29">
        <v>-25.17219849026685</v>
      </c>
      <c r="F73" s="22" t="s">
        <v>347</v>
      </c>
    </row>
    <row r="74" ht="15.75" customHeight="1">
      <c r="A74" s="169">
        <v>43091.0</v>
      </c>
      <c r="B74" s="22" t="str">
        <f t="shared" si="1"/>
        <v>diciembre 2017</v>
      </c>
      <c r="C74" s="22" t="s">
        <v>354</v>
      </c>
      <c r="D74" s="22" t="s">
        <v>329</v>
      </c>
      <c r="E74" s="29">
        <v>-50.34857494959573</v>
      </c>
      <c r="F74" s="22" t="s">
        <v>356</v>
      </c>
    </row>
    <row r="75" ht="15.75" customHeight="1">
      <c r="A75" s="169">
        <v>43090.0</v>
      </c>
      <c r="B75" s="22" t="str">
        <f t="shared" si="1"/>
        <v>diciembre 2017</v>
      </c>
      <c r="C75" s="22" t="s">
        <v>397</v>
      </c>
      <c r="D75" s="22" t="s">
        <v>355</v>
      </c>
      <c r="E75" s="29">
        <v>-488.95510428597606</v>
      </c>
      <c r="F75" s="22" t="s">
        <v>357</v>
      </c>
    </row>
    <row r="76" ht="15.75" customHeight="1">
      <c r="A76" s="169">
        <v>43089.0</v>
      </c>
      <c r="B76" s="22" t="str">
        <f t="shared" si="1"/>
        <v>diciembre 2017</v>
      </c>
      <c r="C76" s="22" t="s">
        <v>360</v>
      </c>
      <c r="D76" s="22" t="s">
        <v>351</v>
      </c>
      <c r="E76" s="29">
        <v>-260.3672663569953</v>
      </c>
      <c r="F76" s="22" t="s">
        <v>356</v>
      </c>
    </row>
    <row r="77" ht="15.75" customHeight="1">
      <c r="A77" s="169">
        <v>43088.0</v>
      </c>
      <c r="B77" s="22" t="str">
        <f t="shared" si="1"/>
        <v>diciembre 2017</v>
      </c>
      <c r="C77" s="22" t="s">
        <v>363</v>
      </c>
      <c r="D77" s="22" t="s">
        <v>355</v>
      </c>
      <c r="E77" s="29">
        <v>-16.48896418855478</v>
      </c>
      <c r="F77" s="22" t="s">
        <v>352</v>
      </c>
    </row>
    <row r="78" ht="15.75" customHeight="1">
      <c r="A78" s="169">
        <v>43086.0</v>
      </c>
      <c r="B78" s="22" t="str">
        <f t="shared" si="1"/>
        <v>diciembre 2017</v>
      </c>
      <c r="C78" s="22" t="s">
        <v>371</v>
      </c>
      <c r="D78" s="22" t="s">
        <v>319</v>
      </c>
      <c r="E78" s="29">
        <v>-27.183768951838047</v>
      </c>
      <c r="F78" s="22" t="s">
        <v>347</v>
      </c>
    </row>
    <row r="79" ht="15.75" customHeight="1">
      <c r="A79" s="169">
        <v>43085.0</v>
      </c>
      <c r="B79" s="22" t="str">
        <f t="shared" si="1"/>
        <v>diciembre 2017</v>
      </c>
      <c r="C79" s="22" t="s">
        <v>403</v>
      </c>
      <c r="D79" s="22" t="s">
        <v>326</v>
      </c>
      <c r="E79" s="29">
        <v>-300.0</v>
      </c>
      <c r="F79" s="22" t="s">
        <v>342</v>
      </c>
    </row>
    <row r="80" ht="15.75" customHeight="1">
      <c r="A80" s="169">
        <v>43084.0</v>
      </c>
      <c r="B80" s="22" t="str">
        <f t="shared" si="1"/>
        <v>diciembre 2017</v>
      </c>
      <c r="C80" s="22" t="s">
        <v>376</v>
      </c>
      <c r="D80" s="22" t="s">
        <v>332</v>
      </c>
      <c r="E80" s="29">
        <v>-34.21658162443002</v>
      </c>
      <c r="F80" s="22" t="s">
        <v>356</v>
      </c>
    </row>
    <row r="81" ht="15.75" customHeight="1">
      <c r="A81" s="169">
        <v>43083.0</v>
      </c>
      <c r="B81" s="22" t="str">
        <f t="shared" si="1"/>
        <v>diciembre 2017</v>
      </c>
      <c r="C81" s="22" t="s">
        <v>377</v>
      </c>
      <c r="D81" s="22" t="s">
        <v>351</v>
      </c>
      <c r="E81" s="29">
        <v>-25.753114033343255</v>
      </c>
      <c r="F81" s="22" t="s">
        <v>347</v>
      </c>
    </row>
    <row r="82" ht="15.75" customHeight="1">
      <c r="A82" s="169">
        <v>43082.0</v>
      </c>
      <c r="B82" s="22" t="str">
        <f t="shared" si="1"/>
        <v>diciembre 2017</v>
      </c>
      <c r="C82" s="22" t="s">
        <v>378</v>
      </c>
      <c r="D82" s="22" t="s">
        <v>351</v>
      </c>
      <c r="E82" s="29">
        <v>-44.81379030050658</v>
      </c>
      <c r="F82" s="22" t="s">
        <v>347</v>
      </c>
    </row>
    <row r="83" ht="15.75" customHeight="1">
      <c r="A83" s="169">
        <v>43082.0</v>
      </c>
      <c r="B83" s="22" t="str">
        <f t="shared" si="1"/>
        <v>diciembre 2017</v>
      </c>
      <c r="C83" s="22" t="s">
        <v>393</v>
      </c>
      <c r="D83" s="22" t="s">
        <v>262</v>
      </c>
      <c r="E83" s="29">
        <v>-102.8502322142107</v>
      </c>
      <c r="F83" s="22" t="s">
        <v>357</v>
      </c>
    </row>
    <row r="84" ht="15.75" customHeight="1">
      <c r="A84" s="169">
        <v>43081.0</v>
      </c>
      <c r="B84" s="22" t="str">
        <f t="shared" si="1"/>
        <v>diciembre 2017</v>
      </c>
      <c r="C84" s="22" t="s">
        <v>379</v>
      </c>
      <c r="D84" s="22" t="s">
        <v>351</v>
      </c>
      <c r="E84" s="29">
        <v>-13.772233433191696</v>
      </c>
      <c r="F84" s="22" t="s">
        <v>347</v>
      </c>
    </row>
    <row r="85" ht="15.75" customHeight="1">
      <c r="A85" s="169">
        <v>43080.0</v>
      </c>
      <c r="B85" s="22" t="str">
        <f t="shared" si="1"/>
        <v>diciembre 2017</v>
      </c>
      <c r="C85" s="22" t="s">
        <v>345</v>
      </c>
      <c r="D85" s="22" t="s">
        <v>370</v>
      </c>
      <c r="E85" s="29">
        <v>-10.264651962190525</v>
      </c>
      <c r="F85" s="22" t="s">
        <v>346</v>
      </c>
    </row>
    <row r="86" ht="15.75" customHeight="1">
      <c r="A86" s="169">
        <v>43080.0</v>
      </c>
      <c r="B86" s="22" t="str">
        <f t="shared" si="1"/>
        <v>diciembre 2017</v>
      </c>
      <c r="C86" s="22" t="s">
        <v>380</v>
      </c>
      <c r="D86" s="22" t="s">
        <v>332</v>
      </c>
      <c r="E86" s="29">
        <v>-9.714603292361232</v>
      </c>
      <c r="F86" s="22" t="s">
        <v>364</v>
      </c>
    </row>
    <row r="87" ht="15.75" customHeight="1">
      <c r="A87" s="169">
        <v>43079.0</v>
      </c>
      <c r="B87" s="22" t="str">
        <f t="shared" si="1"/>
        <v>diciembre 2017</v>
      </c>
      <c r="C87" s="22" t="s">
        <v>369</v>
      </c>
      <c r="D87" s="22" t="s">
        <v>370</v>
      </c>
      <c r="E87" s="29">
        <v>-11.733451140784947</v>
      </c>
      <c r="F87" s="22" t="s">
        <v>364</v>
      </c>
    </row>
    <row r="88" ht="15.75" customHeight="1">
      <c r="A88" s="169">
        <v>43079.0</v>
      </c>
      <c r="B88" s="22" t="str">
        <f t="shared" si="1"/>
        <v>diciembre 2017</v>
      </c>
      <c r="C88" s="22" t="s">
        <v>366</v>
      </c>
      <c r="D88" s="22" t="s">
        <v>315</v>
      </c>
      <c r="E88" s="29">
        <v>-1903.0</v>
      </c>
      <c r="F88" s="22" t="s">
        <v>342</v>
      </c>
    </row>
    <row r="89" ht="15.75" customHeight="1">
      <c r="A89" s="169">
        <v>43079.0</v>
      </c>
      <c r="B89" s="22" t="str">
        <f t="shared" si="1"/>
        <v>diciembre 2017</v>
      </c>
      <c r="C89" s="22" t="s">
        <v>310</v>
      </c>
      <c r="D89" s="22" t="s">
        <v>310</v>
      </c>
      <c r="E89" s="170">
        <v>5544.0</v>
      </c>
      <c r="F89" s="22" t="s">
        <v>342</v>
      </c>
    </row>
    <row r="90" ht="15.75" customHeight="1">
      <c r="A90" s="169">
        <v>43079.0</v>
      </c>
      <c r="B90" s="22" t="str">
        <f t="shared" si="1"/>
        <v>diciembre 2017</v>
      </c>
      <c r="C90" s="22" t="s">
        <v>368</v>
      </c>
      <c r="D90" s="22" t="s">
        <v>332</v>
      </c>
      <c r="E90" s="29">
        <v>-15.119178234607485</v>
      </c>
      <c r="F90" s="22" t="s">
        <v>352</v>
      </c>
    </row>
    <row r="91" ht="15.75" customHeight="1">
      <c r="A91" s="169">
        <v>43078.0</v>
      </c>
      <c r="B91" s="22" t="str">
        <f t="shared" si="1"/>
        <v>diciembre 2017</v>
      </c>
      <c r="C91" s="22" t="s">
        <v>404</v>
      </c>
      <c r="D91" s="22" t="s">
        <v>314</v>
      </c>
      <c r="E91" s="29">
        <v>-249.68057299921207</v>
      </c>
      <c r="F91" s="22" t="s">
        <v>356</v>
      </c>
    </row>
    <row r="92" ht="15.75" customHeight="1">
      <c r="A92" s="169">
        <v>43077.0</v>
      </c>
      <c r="B92" s="22" t="str">
        <f t="shared" si="1"/>
        <v>diciembre 2017</v>
      </c>
      <c r="C92" s="22" t="s">
        <v>373</v>
      </c>
      <c r="D92" s="22" t="s">
        <v>332</v>
      </c>
      <c r="E92" s="29">
        <v>-2.0757459156642257</v>
      </c>
      <c r="F92" s="22" t="s">
        <v>357</v>
      </c>
    </row>
    <row r="93" ht="15.75" customHeight="1">
      <c r="A93" s="169">
        <v>43076.0</v>
      </c>
      <c r="B93" s="22" t="str">
        <f t="shared" si="1"/>
        <v>diciembre 2017</v>
      </c>
      <c r="C93" s="22" t="s">
        <v>374</v>
      </c>
      <c r="D93" s="22" t="s">
        <v>370</v>
      </c>
      <c r="E93" s="29">
        <v>-16.06684016842345</v>
      </c>
      <c r="F93" s="22" t="s">
        <v>347</v>
      </c>
    </row>
    <row r="94" ht="15.75" customHeight="1">
      <c r="A94" s="169">
        <v>43075.0</v>
      </c>
      <c r="B94" s="22" t="str">
        <f t="shared" si="1"/>
        <v>diciembre 2017</v>
      </c>
      <c r="C94" s="22" t="s">
        <v>385</v>
      </c>
      <c r="D94" s="22" t="s">
        <v>319</v>
      </c>
      <c r="E94" s="29">
        <v>-68.51537488974336</v>
      </c>
      <c r="F94" s="22" t="s">
        <v>347</v>
      </c>
    </row>
    <row r="95" ht="15.75" customHeight="1">
      <c r="A95" s="169">
        <v>43075.0</v>
      </c>
      <c r="B95" s="22" t="str">
        <f t="shared" si="1"/>
        <v>diciembre 2017</v>
      </c>
      <c r="C95" s="22" t="s">
        <v>375</v>
      </c>
      <c r="D95" s="22" t="s">
        <v>332</v>
      </c>
      <c r="E95" s="29">
        <v>-18.12132712593789</v>
      </c>
      <c r="F95" s="22" t="s">
        <v>357</v>
      </c>
    </row>
    <row r="96" ht="15.75" customHeight="1">
      <c r="A96" s="169">
        <v>43074.0</v>
      </c>
      <c r="B96" s="22" t="str">
        <f t="shared" si="1"/>
        <v>diciembre 2017</v>
      </c>
      <c r="C96" s="22" t="s">
        <v>394</v>
      </c>
      <c r="D96" s="22" t="s">
        <v>262</v>
      </c>
      <c r="E96" s="29">
        <v>-24.422722278885228</v>
      </c>
      <c r="F96" s="22" t="s">
        <v>357</v>
      </c>
    </row>
    <row r="97" ht="15.75" customHeight="1">
      <c r="A97" s="169">
        <v>43073.0</v>
      </c>
      <c r="B97" s="22" t="str">
        <f t="shared" si="1"/>
        <v>diciembre 2017</v>
      </c>
      <c r="C97" s="22" t="s">
        <v>396</v>
      </c>
      <c r="D97" s="22" t="s">
        <v>319</v>
      </c>
      <c r="E97" s="29">
        <v>-107.75932954943372</v>
      </c>
      <c r="F97" s="22" t="s">
        <v>347</v>
      </c>
    </row>
    <row r="98" ht="15.75" customHeight="1">
      <c r="A98" s="169">
        <v>43072.0</v>
      </c>
      <c r="B98" s="22" t="str">
        <f t="shared" si="1"/>
        <v>diciembre 2017</v>
      </c>
      <c r="C98" s="22" t="s">
        <v>395</v>
      </c>
      <c r="D98" s="22" t="s">
        <v>370</v>
      </c>
      <c r="E98" s="29">
        <v>-60.205891588102475</v>
      </c>
      <c r="F98" s="22" t="s">
        <v>364</v>
      </c>
    </row>
    <row r="99" ht="15.75" customHeight="1">
      <c r="A99" s="169">
        <v>43072.0</v>
      </c>
      <c r="B99" s="22" t="str">
        <f t="shared" si="1"/>
        <v>diciembre 2017</v>
      </c>
      <c r="C99" s="22" t="s">
        <v>398</v>
      </c>
      <c r="D99" s="22" t="s">
        <v>324</v>
      </c>
      <c r="E99" s="29">
        <v>-25.409532702415337</v>
      </c>
      <c r="F99" s="22" t="s">
        <v>364</v>
      </c>
    </row>
    <row r="100" ht="15.75" customHeight="1">
      <c r="A100" s="169">
        <v>43071.0</v>
      </c>
      <c r="B100" s="22" t="str">
        <f t="shared" si="1"/>
        <v>diciembre 2017</v>
      </c>
      <c r="C100" s="22" t="s">
        <v>381</v>
      </c>
      <c r="D100" s="22" t="s">
        <v>370</v>
      </c>
      <c r="E100" s="29">
        <v>-2.5152269314867968</v>
      </c>
      <c r="F100" s="22" t="s">
        <v>346</v>
      </c>
    </row>
    <row r="101" ht="15.75" customHeight="1">
      <c r="A101" s="169">
        <v>43071.0</v>
      </c>
      <c r="B101" s="22" t="str">
        <f t="shared" si="1"/>
        <v>diciembre 2017</v>
      </c>
      <c r="C101" s="22" t="s">
        <v>382</v>
      </c>
      <c r="D101" s="22" t="s">
        <v>317</v>
      </c>
      <c r="E101" s="29">
        <v>-205.43755902360425</v>
      </c>
      <c r="F101" s="22" t="s">
        <v>356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18.0"/>
    <col customWidth="1" min="3" max="3" width="17.13"/>
    <col customWidth="1" min="4" max="4" width="16.38"/>
    <col customWidth="1" min="5" max="5" width="14.38"/>
    <col customWidth="1" min="6" max="6" width="21.0"/>
    <col customWidth="1" min="7" max="26" width="14.38"/>
  </cols>
  <sheetData>
    <row r="1" ht="15.75" customHeight="1">
      <c r="A1" s="92" t="s">
        <v>304</v>
      </c>
      <c r="B1" s="171" t="s">
        <v>405</v>
      </c>
      <c r="E1" s="172"/>
      <c r="F1" s="172"/>
      <c r="G1" s="172"/>
      <c r="H1" s="172"/>
    </row>
    <row r="2" ht="15.75" customHeight="1">
      <c r="A2" s="48"/>
      <c r="B2" s="172"/>
      <c r="C2" s="48"/>
    </row>
    <row r="3" ht="15.75" customHeight="1">
      <c r="A3" s="87" t="s">
        <v>406</v>
      </c>
      <c r="B3" s="172"/>
      <c r="C3" s="48"/>
    </row>
    <row r="4" ht="15.75" customHeight="1"/>
    <row r="5" ht="15.75" customHeight="1">
      <c r="A5" s="173"/>
      <c r="B5" s="174" t="s">
        <v>407</v>
      </c>
      <c r="C5" s="174" t="s">
        <v>408</v>
      </c>
    </row>
    <row r="6" ht="15.75" customHeight="1">
      <c r="A6" s="175" t="s">
        <v>344</v>
      </c>
      <c r="B6" s="176">
        <f>SUMIFS('Task 7 &amp; 8 Solution data'!$E:$E,'Task 7 &amp; 8 Solution data'!$G:$G,$A6,'Task 7 &amp; 8 Solution data'!$B:$B,$B$1,'Task 7 &amp; 8 Solution data'!$E:$E,"&gt;0")</f>
        <v>0</v>
      </c>
      <c r="C6" s="176">
        <f>-SUMIFS('Task 7 &amp; 8 Solution data'!$E:$E,'Task 7 &amp; 8 Solution data'!$G:$G,$A6,'Task 7 &amp; 8 Solution data'!$B:$B,$B$1,'Task 7 &amp; 8 Solution data'!$E:$E,"&lt;0")</f>
        <v>0</v>
      </c>
    </row>
    <row r="7" ht="15.75" customHeight="1">
      <c r="A7" s="175" t="s">
        <v>349</v>
      </c>
      <c r="B7" s="176">
        <f>SUMIFS('Task 7 &amp; 8 Solution data'!$E:$E,'Task 7 &amp; 8 Solution data'!$G:$G,$A7,'Task 7 &amp; 8 Solution data'!$B:$B,$B$1,'Task 7 &amp; 8 Solution data'!$E:$E,"&gt;0")</f>
        <v>0</v>
      </c>
      <c r="C7" s="176">
        <f>-SUMIFS('Task 7 &amp; 8 Solution data'!$E:$E,'Task 7 &amp; 8 Solution data'!$G:$G,$A7,'Task 7 &amp; 8 Solution data'!$B:$B,$B$1,'Task 7 &amp; 8 Solution data'!$E:$E,"&lt;0")</f>
        <v>0</v>
      </c>
    </row>
    <row r="8" ht="15.75" customHeight="1">
      <c r="A8" s="175" t="s">
        <v>359</v>
      </c>
      <c r="B8" s="176">
        <f>SUMIFS('Task 7 &amp; 8 Solution data'!$E:$E,'Task 7 &amp; 8 Solution data'!$G:$G,$A8,'Task 7 &amp; 8 Solution data'!$B:$B,$B$1,'Task 7 &amp; 8 Solution data'!$E:$E,"&gt;0")</f>
        <v>0</v>
      </c>
      <c r="C8" s="176">
        <f>-SUMIFS('Task 7 &amp; 8 Solution data'!$E:$E,'Task 7 &amp; 8 Solution data'!$G:$G,$A8,'Task 7 &amp; 8 Solution data'!$B:$B,$B$1,'Task 7 &amp; 8 Solution data'!$E:$E,"&lt;0")</f>
        <v>0</v>
      </c>
    </row>
    <row r="9" ht="15.75" customHeight="1">
      <c r="A9" s="175" t="s">
        <v>362</v>
      </c>
      <c r="B9" s="176">
        <f>SUMIFS('Task 7 &amp; 8 Solution data'!$E:$E,'Task 7 &amp; 8 Solution data'!$G:$G,$A9,'Task 7 &amp; 8 Solution data'!$B:$B,$B$1,'Task 7 &amp; 8 Solution data'!$E:$E,"&gt;0")</f>
        <v>0</v>
      </c>
      <c r="C9" s="176">
        <f>-SUMIFS('Task 7 &amp; 8 Solution data'!$E:$E,'Task 7 &amp; 8 Solution data'!$G:$G,$A9,'Task 7 &amp; 8 Solution data'!$B:$B,$B$1,'Task 7 &amp; 8 Solution data'!$E:$E,"&lt;0")</f>
        <v>0</v>
      </c>
    </row>
    <row r="10" ht="15.75" customHeight="1">
      <c r="A10" s="175" t="s">
        <v>152</v>
      </c>
      <c r="B10" s="177">
        <f t="shared" ref="B10:C10" si="1">SUM(B6:B9)</f>
        <v>0</v>
      </c>
      <c r="C10" s="177">
        <f t="shared" si="1"/>
        <v>0</v>
      </c>
    </row>
    <row r="11" ht="15.75" customHeight="1"/>
    <row r="12" ht="15.75" customHeight="1"/>
    <row r="13" ht="15.75" customHeight="1">
      <c r="A13" s="87" t="s">
        <v>409</v>
      </c>
    </row>
    <row r="14" ht="15.75" customHeight="1"/>
    <row r="15" ht="15.75" customHeight="1">
      <c r="A15" s="173"/>
      <c r="B15" s="178" t="s">
        <v>405</v>
      </c>
      <c r="C15" s="178" t="s">
        <v>410</v>
      </c>
      <c r="D15" s="178" t="s">
        <v>411</v>
      </c>
    </row>
    <row r="16" ht="15.75" customHeight="1">
      <c r="A16" s="175" t="s">
        <v>407</v>
      </c>
      <c r="B16" s="176">
        <f>SUMIFS('Task 7 &amp; 8 Solution data'!$E:$E,'Task 7 &amp; 8 Solution data'!$B:$B,B$15,'Task 7 &amp; 8 Solution data'!$E:$E,"&gt;0")</f>
        <v>0</v>
      </c>
      <c r="C16" s="176">
        <f>SUMIFS('Task 7 &amp; 8 Solution data'!$E:$E,'Task 7 &amp; 8 Solution data'!$B:$B,C$15,'Task 7 &amp; 8 Solution data'!$E:$E,"&gt;0")</f>
        <v>0</v>
      </c>
      <c r="D16" s="176">
        <f>SUMIFS('Task 7 &amp; 8 Solution data'!$E:$E,'Task 7 &amp; 8 Solution data'!$B:$B,D$15,'Task 7 &amp; 8 Solution data'!$E:$E,"&gt;0")</f>
        <v>0</v>
      </c>
    </row>
    <row r="17" ht="15.75" customHeight="1">
      <c r="A17" s="175" t="s">
        <v>412</v>
      </c>
      <c r="B17" s="176">
        <f>-SUMIFS('Task 7 &amp; 8 Solution data'!$E:$E,'Task 7 &amp; 8 Solution data'!$B:$B,B$15,'Task 7 &amp; 8 Solution data'!$E:$E,"&lt;0")</f>
        <v>0</v>
      </c>
      <c r="C17" s="176">
        <f>-SUMIFS('Task 7 &amp; 8 Solution data'!$E:$E,'Task 7 &amp; 8 Solution data'!$B:$B,C$15,'Task 7 &amp; 8 Solution data'!$E:$E,"&lt;0")</f>
        <v>0</v>
      </c>
      <c r="D17" s="176">
        <f>-SUMIFS('Task 7 &amp; 8 Solution data'!$E:$E,'Task 7 &amp; 8 Solution data'!$B:$B,D$15,'Task 7 &amp; 8 Solution data'!$E:$E,"&lt;0")</f>
        <v>0</v>
      </c>
    </row>
    <row r="18" ht="15.75" customHeight="1">
      <c r="A18" s="175" t="s">
        <v>333</v>
      </c>
      <c r="B18" s="177">
        <f t="shared" ref="B18:D18" si="2">B16-B17</f>
        <v>0</v>
      </c>
      <c r="C18" s="177">
        <f t="shared" si="2"/>
        <v>0</v>
      </c>
      <c r="D18" s="177">
        <f t="shared" si="2"/>
        <v>0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1">
      <formula1>'Task 7 &amp; 8 Solution data'!$B$2:$B$101</formula1>
    </dataValidation>
  </dataValidations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