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meta-flight-dispersal/"/>
    </mc:Choice>
  </mc:AlternateContent>
  <xr:revisionPtr revIDLastSave="0" documentId="13_ncr:1_{0585AA47-CD77-AD45-8B7B-29E5CAF8D8F8}" xr6:coauthVersionLast="36" xr6:coauthVersionMax="36" xr10:uidLastSave="{00000000-0000-0000-0000-000000000000}"/>
  <bookViews>
    <workbookView xWindow="60" yWindow="500" windowWidth="28740" windowHeight="16560" xr2:uid="{994D8FBF-FEAD-7D4B-9471-CDAD1F11A720}"/>
  </bookViews>
  <sheets>
    <sheet name="general data" sheetId="1" r:id="rId1"/>
    <sheet name="sex data" sheetId="3" r:id="rId2"/>
    <sheet name="legend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9" i="1" l="1"/>
  <c r="L179" i="1" s="1"/>
  <c r="N178" i="1"/>
  <c r="L178" i="1" s="1"/>
  <c r="Y177" i="1"/>
  <c r="Y176" i="1"/>
  <c r="X176" i="1"/>
  <c r="X177" i="1"/>
  <c r="Q177" i="1"/>
  <c r="P177" i="1"/>
  <c r="Q176" i="1"/>
  <c r="S175" i="1"/>
  <c r="S174" i="1"/>
  <c r="S173" i="1"/>
  <c r="S172" i="1"/>
  <c r="S171" i="1"/>
  <c r="R175" i="1"/>
  <c r="R174" i="1"/>
  <c r="R173" i="1"/>
  <c r="R172" i="1"/>
  <c r="R171" i="1"/>
  <c r="Q175" i="1"/>
  <c r="Q174" i="1"/>
  <c r="Q173" i="1"/>
  <c r="Q172" i="1"/>
  <c r="Q171" i="1"/>
  <c r="P175" i="1"/>
  <c r="P176" i="1"/>
  <c r="P174" i="1"/>
  <c r="P173" i="1"/>
  <c r="P172" i="1"/>
  <c r="P171" i="1"/>
  <c r="Y175" i="1"/>
  <c r="Y174" i="1"/>
  <c r="Y173" i="1"/>
  <c r="Y172" i="1"/>
  <c r="Y171" i="1"/>
  <c r="X175" i="1"/>
  <c r="X174" i="1"/>
  <c r="X173" i="1"/>
  <c r="X172" i="1"/>
  <c r="X171" i="1"/>
  <c r="U175" i="1"/>
  <c r="U174" i="1"/>
  <c r="U171" i="1"/>
  <c r="U172" i="1"/>
  <c r="U173" i="1"/>
  <c r="T175" i="1"/>
  <c r="T174" i="1"/>
  <c r="T173" i="1"/>
  <c r="T172" i="1"/>
  <c r="T171" i="1"/>
  <c r="V169" i="1"/>
  <c r="V168" i="1"/>
  <c r="V167" i="1"/>
  <c r="V166" i="1"/>
  <c r="V165" i="1"/>
  <c r="V164" i="1"/>
  <c r="V163" i="1"/>
  <c r="V162" i="1"/>
  <c r="V161" i="1" l="1"/>
  <c r="V160" i="1"/>
  <c r="T44" i="1"/>
  <c r="T33" i="1"/>
  <c r="T32" i="1"/>
  <c r="T30" i="1"/>
  <c r="O74" i="1" l="1"/>
  <c r="O73" i="1"/>
  <c r="O72" i="1"/>
  <c r="O71" i="1"/>
  <c r="O70" i="1"/>
  <c r="V129" i="1" l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M76" i="1" l="1"/>
  <c r="W75" i="1"/>
  <c r="V75" i="1"/>
  <c r="N73" i="1" l="1"/>
  <c r="N74" i="1"/>
  <c r="N72" i="1"/>
  <c r="N71" i="1"/>
  <c r="N70" i="1"/>
  <c r="W74" i="1"/>
  <c r="V74" i="1"/>
  <c r="W73" i="1"/>
  <c r="V73" i="1"/>
  <c r="W72" i="1"/>
  <c r="V72" i="1"/>
  <c r="W71" i="1"/>
  <c r="V71" i="1"/>
  <c r="W70" i="1"/>
  <c r="V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Anastasia Bernat</author>
  </authors>
  <commentList>
    <comment ref="V30" authorId="0" shapeId="0" xr:uid="{C315EAAE-1F04-0742-9CFD-FAF315502CDE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These come from Table 5. Distributions of longest daily tethered flight durations for different species of Oncopeltus. So keep in mind that these bugs were tested 5 times in a day (except the O. cingulifer from Trinidad which as only tested once) and these were their longest bouts.</t>
        </r>
      </text>
    </comment>
    <comment ref="E158" authorId="0" shapeId="0" xr:uid="{C6FF6B42-326E-7249-AD6A-34027252EC3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59" authorId="0" shapeId="0" xr:uid="{64C4581F-07A1-6945-979D-7C0D8676F02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0" authorId="0" shapeId="0" xr:uid="{51BCF9A1-B4C6-6340-B9D5-835720E1608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1" authorId="0" shapeId="0" xr:uid="{7C786387-0D44-8E4B-B0D0-03746B0658D4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2" authorId="0" shapeId="0" xr:uid="{FFAC982F-CDE0-B94A-9A9B-F29E2A64F406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3" authorId="0" shapeId="0" xr:uid="{EA24094E-24DA-354E-969B-46B6D95CA63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4" authorId="0" shapeId="0" xr:uid="{CA3CC2FE-D0A5-2140-8D46-69A662D46918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5" authorId="0" shapeId="0" xr:uid="{148EF32F-06AF-6442-9BB2-8920D3A587E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6" authorId="0" shapeId="0" xr:uid="{7922A481-A1CB-D544-8973-BC647125FFE5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7" authorId="0" shapeId="0" xr:uid="{492CCB4A-86A5-A441-8899-C26D54F11459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202 but that was between control, treatment 1, and treatment 2. Population numbers and split between the sexes were not recorded.</t>
        </r>
      </text>
    </comment>
    <comment ref="E168" authorId="0" shapeId="0" xr:uid="{13EB8694-B023-C64F-906B-96FE4C0005F3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E169" authorId="0" shapeId="0" xr:uid="{8A13E0E8-63E5-D943-A91B-8565DD9E44C0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was around 406-481 for males across all three treatments, but specific sample sizes were not given.</t>
        </r>
      </text>
    </comment>
    <comment ref="G170" authorId="0" shapeId="0" xr:uid="{3F913F7F-73AC-9B4A-A0EE-03832D272CED}">
      <text>
        <r>
          <rPr>
            <b/>
            <sz val="10"/>
            <color rgb="FF000000"/>
            <rFont val="Tahoma"/>
            <family val="2"/>
          </rPr>
          <t>Anastasia Bernat: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means that 93% made at least one flight of &gt;= 3 min.</t>
        </r>
      </text>
    </comment>
    <comment ref="AG171" authorId="0" shapeId="0" xr:uid="{94F178DA-400D-A541-8605-0DF04EB501A3}">
      <text>
        <r>
          <rPr>
            <b/>
            <sz val="10"/>
            <color rgb="FF000000"/>
            <rFont val="Tahoma"/>
            <family val="2"/>
          </rPr>
          <t xml:space="preserve">Anastasia Bernat:
</t>
        </r>
        <r>
          <rPr>
            <sz val="10"/>
            <color rgb="FF000000"/>
            <rFont val="Tahoma"/>
            <family val="2"/>
          </rPr>
          <t xml:space="preserve">1 day of adult life;
</t>
        </r>
        <r>
          <rPr>
            <sz val="10"/>
            <color rgb="FF000000"/>
            <rFont val="Tahoma"/>
            <family val="2"/>
          </rPr>
          <t xml:space="preserve">2 days of adult life;
</t>
        </r>
        <r>
          <rPr>
            <sz val="10"/>
            <color rgb="FF000000"/>
            <rFont val="Tahoma"/>
            <family val="2"/>
          </rPr>
          <t xml:space="preserve">3 days of adult life;
</t>
        </r>
        <r>
          <rPr>
            <sz val="10"/>
            <color rgb="FF000000"/>
            <rFont val="Tahoma"/>
            <family val="2"/>
          </rPr>
          <t xml:space="preserve">5 days of adult life;
</t>
        </r>
        <r>
          <rPr>
            <sz val="10"/>
            <color rgb="FF000000"/>
            <rFont val="Tahoma"/>
            <family val="2"/>
          </rPr>
          <t>7 days of adult life.</t>
        </r>
      </text>
    </comment>
  </commentList>
</comments>
</file>

<file path=xl/sharedStrings.xml><?xml version="1.0" encoding="utf-8"?>
<sst xmlns="http://schemas.openxmlformats.org/spreadsheetml/2006/main" count="2659" uniqueCount="251">
  <si>
    <t>family</t>
  </si>
  <si>
    <t>order</t>
  </si>
  <si>
    <t>paper_yr</t>
  </si>
  <si>
    <t>paper_author</t>
  </si>
  <si>
    <t>location</t>
  </si>
  <si>
    <t>season</t>
  </si>
  <si>
    <t>yr_tested</t>
  </si>
  <si>
    <t>field_or_lab</t>
  </si>
  <si>
    <t>free_or_tethered</t>
  </si>
  <si>
    <t>age</t>
  </si>
  <si>
    <t>population</t>
  </si>
  <si>
    <t>sex</t>
  </si>
  <si>
    <t>mating_status</t>
  </si>
  <si>
    <t>mass_mg</t>
  </si>
  <si>
    <t>hp_native_or_invasive</t>
  </si>
  <si>
    <t>Oncopelius fasciatus</t>
  </si>
  <si>
    <t>common_name</t>
  </si>
  <si>
    <t>milkweed bug</t>
  </si>
  <si>
    <t>Oncopelius cingulifer antillensis</t>
  </si>
  <si>
    <t>genus_species</t>
  </si>
  <si>
    <t>Lygaeidae</t>
  </si>
  <si>
    <t>Hemiptera</t>
  </si>
  <si>
    <t>Dingle et al.</t>
  </si>
  <si>
    <t>lab_gen</t>
  </si>
  <si>
    <t>lab</t>
  </si>
  <si>
    <t>native</t>
  </si>
  <si>
    <t>hp_common_name</t>
  </si>
  <si>
    <t>Milkweed</t>
  </si>
  <si>
    <t>Iowa</t>
  </si>
  <si>
    <t>Asclepias syriaca</t>
  </si>
  <si>
    <t>Asclepias curassavica</t>
  </si>
  <si>
    <t>Tropical Milkweed</t>
  </si>
  <si>
    <t>hp_genus_species</t>
  </si>
  <si>
    <t>summer_June_to_September</t>
  </si>
  <si>
    <t>Jamaica</t>
  </si>
  <si>
    <t>South Florida</t>
  </si>
  <si>
    <t>wing_length_mm</t>
  </si>
  <si>
    <t>Trinidad</t>
  </si>
  <si>
    <t>St. Vincent</t>
  </si>
  <si>
    <t>F</t>
  </si>
  <si>
    <t>M</t>
  </si>
  <si>
    <t xml:space="preserve">Oncopelius cingulifer </t>
  </si>
  <si>
    <t xml:space="preserve">Oncopelius cingulifer cingulifer </t>
  </si>
  <si>
    <t>Oncopelius cingulifer cingulifer</t>
  </si>
  <si>
    <t>land_type</t>
  </si>
  <si>
    <t>continental_island</t>
  </si>
  <si>
    <t>mountainous_island</t>
  </si>
  <si>
    <t>color</t>
  </si>
  <si>
    <t>pattern</t>
  </si>
  <si>
    <t>given_num_or_calc</t>
  </si>
  <si>
    <t>given</t>
  </si>
  <si>
    <t>field</t>
  </si>
  <si>
    <t>Oncopelius unifasciatellus</t>
  </si>
  <si>
    <t>Oncopelius sandarachatus</t>
  </si>
  <si>
    <t>Colombia</t>
  </si>
  <si>
    <t>Barbados</t>
  </si>
  <si>
    <t>figure</t>
  </si>
  <si>
    <t>table</t>
  </si>
  <si>
    <t>text_page</t>
  </si>
  <si>
    <t>Maryland</t>
  </si>
  <si>
    <t>Georgia</t>
  </si>
  <si>
    <t>Florida</t>
  </si>
  <si>
    <t>Mexico</t>
  </si>
  <si>
    <t>Puerto Rico</t>
  </si>
  <si>
    <t>Guadeloupe</t>
  </si>
  <si>
    <t>wing_length_SE</t>
  </si>
  <si>
    <t>n_flew</t>
  </si>
  <si>
    <t>(&lt;5)</t>
  </si>
  <si>
    <t>(5-30)</t>
  </si>
  <si>
    <t>(&gt;30)</t>
  </si>
  <si>
    <t>n_notflew</t>
  </si>
  <si>
    <t>several</t>
  </si>
  <si>
    <t>Michigan</t>
  </si>
  <si>
    <t>both</t>
  </si>
  <si>
    <t>island</t>
  </si>
  <si>
    <t>Bactrocera dorsalis</t>
  </si>
  <si>
    <t>oriental fruit fly</t>
  </si>
  <si>
    <t>Tephritidae</t>
  </si>
  <si>
    <t>Diptera</t>
  </si>
  <si>
    <t>Yuanjiang Country, Yunnan Province, China</t>
  </si>
  <si>
    <t>coordinates</t>
  </si>
  <si>
    <t>(23.18 N, 101.39 E)</t>
  </si>
  <si>
    <t>2012-2014</t>
  </si>
  <si>
    <t>Chen et al.</t>
  </si>
  <si>
    <t>diet</t>
  </si>
  <si>
    <t>artifical</t>
  </si>
  <si>
    <t>Mangifera indica</t>
  </si>
  <si>
    <t xml:space="preserve">Mango </t>
  </si>
  <si>
    <t>5 days</t>
  </si>
  <si>
    <t>10 days</t>
  </si>
  <si>
    <t>15 days</t>
  </si>
  <si>
    <t>20 days</t>
  </si>
  <si>
    <t>25 days</t>
  </si>
  <si>
    <t>notes</t>
  </si>
  <si>
    <t>tested once</t>
  </si>
  <si>
    <t>dur_SE</t>
  </si>
  <si>
    <t>speed_SE</t>
  </si>
  <si>
    <t>length_trial</t>
  </si>
  <si>
    <t>13 hrs</t>
  </si>
  <si>
    <t>30 min</t>
  </si>
  <si>
    <t>Louisa et al.</t>
  </si>
  <si>
    <t>max_distance_m</t>
  </si>
  <si>
    <t>June_to_December</t>
  </si>
  <si>
    <t>University of Pretoria, Hatfield, South Africa</t>
  </si>
  <si>
    <t>18+</t>
  </si>
  <si>
    <t>mass_SE</t>
  </si>
  <si>
    <t>wing_area_SE</t>
  </si>
  <si>
    <t>wing_loading_N.m2</t>
  </si>
  <si>
    <t>wing_loading_SE</t>
  </si>
  <si>
    <t>virgin</t>
  </si>
  <si>
    <t>(25.7545 S, 28.2314 E)</t>
  </si>
  <si>
    <t xml:space="preserve">continent </t>
  </si>
  <si>
    <t>wing_area_mm2</t>
  </si>
  <si>
    <t>num_bouts</t>
  </si>
  <si>
    <t>tethered</t>
  </si>
  <si>
    <t>num_bouts_SE</t>
  </si>
  <si>
    <t>max_num_bouts</t>
  </si>
  <si>
    <t>distance_m</t>
  </si>
  <si>
    <t>1 hr</t>
  </si>
  <si>
    <t>temperature_C</t>
  </si>
  <si>
    <t>?</t>
  </si>
  <si>
    <t>total_distance_m</t>
  </si>
  <si>
    <t>3 days</t>
  </si>
  <si>
    <t>21 days</t>
  </si>
  <si>
    <t>max_duration_s</t>
  </si>
  <si>
    <t>painted lady butterfly</t>
  </si>
  <si>
    <t>Lepidoptera</t>
  </si>
  <si>
    <t>4?</t>
  </si>
  <si>
    <t>10 min</t>
  </si>
  <si>
    <t>same</t>
  </si>
  <si>
    <t>sex differences not assesed</t>
  </si>
  <si>
    <t>Gribblybugs LLP, UK supplier</t>
  </si>
  <si>
    <t>9 parts water and 1 part honey</t>
  </si>
  <si>
    <t>Liu et al.</t>
  </si>
  <si>
    <t>yellow fever mosquito</t>
  </si>
  <si>
    <t>Rojas-Araya et al.</t>
  </si>
  <si>
    <t>max_speed_m.s</t>
  </si>
  <si>
    <t>speed_m.s</t>
  </si>
  <si>
    <t>tobacco budworm</t>
  </si>
  <si>
    <t>Benzon Research (Carlisle, Pennsylvania)</t>
  </si>
  <si>
    <t>RH</t>
  </si>
  <si>
    <t>L:D</t>
  </si>
  <si>
    <t>720 min</t>
  </si>
  <si>
    <t>Barros et al.</t>
  </si>
  <si>
    <t>rest_period_s</t>
  </si>
  <si>
    <t>total_duration_s</t>
  </si>
  <si>
    <t>max_speed_SE</t>
  </si>
  <si>
    <t>total_rest_period_s</t>
  </si>
  <si>
    <t>total_dist_SE</t>
  </si>
  <si>
    <t>dist_SE</t>
  </si>
  <si>
    <t>flight_behavior</t>
  </si>
  <si>
    <t>sustained (&gt;30 min)</t>
  </si>
  <si>
    <t>unsustained (&lt;=30 min)</t>
  </si>
  <si>
    <t>insecticide_treatment</t>
  </si>
  <si>
    <t>135-160</t>
  </si>
  <si>
    <t>dry premix following Southland Products' artificial diet protocol as larvae then adults fed 9 water and 1 part honey</t>
  </si>
  <si>
    <t>prop_flew</t>
  </si>
  <si>
    <t>2,3, 8</t>
  </si>
  <si>
    <t>2,3,8</t>
  </si>
  <si>
    <t>4,5,8</t>
  </si>
  <si>
    <t>8,9,11</t>
  </si>
  <si>
    <t>9,10,11</t>
  </si>
  <si>
    <t>calculated</t>
  </si>
  <si>
    <t>n_total</t>
  </si>
  <si>
    <t>13-14</t>
  </si>
  <si>
    <t>14-15</t>
  </si>
  <si>
    <t>106-126</t>
  </si>
  <si>
    <t>121-144</t>
  </si>
  <si>
    <t>20-21</t>
  </si>
  <si>
    <t>18-19</t>
  </si>
  <si>
    <t>29-34</t>
  </si>
  <si>
    <t>14-16</t>
  </si>
  <si>
    <t>10-11.0</t>
  </si>
  <si>
    <t>23-24</t>
  </si>
  <si>
    <t>22-23</t>
  </si>
  <si>
    <t>87-104</t>
  </si>
  <si>
    <t>48-56</t>
  </si>
  <si>
    <t>yes; flubendiamide (Flu)</t>
  </si>
  <si>
    <t>approximation from figure or text</t>
  </si>
  <si>
    <t>120-143</t>
  </si>
  <si>
    <t>15-17</t>
  </si>
  <si>
    <t>126-149</t>
  </si>
  <si>
    <t>9-11.0</t>
  </si>
  <si>
    <t>yes; chlorantraniliprole (Chlo)</t>
  </si>
  <si>
    <t>navel organeworm</t>
  </si>
  <si>
    <t>Chloridea virescens</t>
  </si>
  <si>
    <t>Noctuidae</t>
  </si>
  <si>
    <t>Amyelois transitella</t>
  </si>
  <si>
    <t>Pyralidae</t>
  </si>
  <si>
    <t>Aedes aegypti</t>
  </si>
  <si>
    <t>Culicidae</t>
  </si>
  <si>
    <t>Vanessa cardui</t>
  </si>
  <si>
    <t>Nymphalidae</t>
  </si>
  <si>
    <t>soybean</t>
  </si>
  <si>
    <t>almond, pistachio, and walnuts</t>
  </si>
  <si>
    <t>Sappington and Burks</t>
  </si>
  <si>
    <t xml:space="preserve">wheat bran </t>
  </si>
  <si>
    <t>San Joaquin Valley, Parlier, CA grew; Fresno County almond orchard eggs</t>
  </si>
  <si>
    <t>20-26</t>
  </si>
  <si>
    <t>July_to_Ocotober</t>
  </si>
  <si>
    <t>216-372</t>
  </si>
  <si>
    <t>630 min</t>
  </si>
  <si>
    <t>max_distance_SE</t>
  </si>
  <si>
    <t>max_duration_SE</t>
  </si>
  <si>
    <t>total_dur_SE</t>
  </si>
  <si>
    <t>duration_min</t>
  </si>
  <si>
    <t>FW_area_mm2</t>
  </si>
  <si>
    <t>HW_area_mm2</t>
  </si>
  <si>
    <t>FW_area_SE</t>
  </si>
  <si>
    <t>HW_area_SE</t>
  </si>
  <si>
    <t>HW_length_mm</t>
  </si>
  <si>
    <t>HW_len_SE</t>
  </si>
  <si>
    <t>FW_length_mm</t>
  </si>
  <si>
    <t>FW_len_SE</t>
  </si>
  <si>
    <t>cited_author</t>
  </si>
  <si>
    <t>citd_yr</t>
  </si>
  <si>
    <t>Schumacher et al.</t>
  </si>
  <si>
    <t>Dorhout et al.</t>
  </si>
  <si>
    <t>2008, 2011</t>
  </si>
  <si>
    <t>Hughes et al.</t>
  </si>
  <si>
    <t>2002, 2004</t>
  </si>
  <si>
    <t>Elliott &amp; Evenden</t>
  </si>
  <si>
    <t>Cydia pomonella</t>
  </si>
  <si>
    <t>codling moth</t>
  </si>
  <si>
    <t>5000-15000</t>
  </si>
  <si>
    <t>4000-5000</t>
  </si>
  <si>
    <t>13080-21300</t>
  </si>
  <si>
    <t>0.24-0.3</t>
  </si>
  <si>
    <t>European corn borer</t>
  </si>
  <si>
    <t>Ostrinia nubilalis</t>
  </si>
  <si>
    <t>Torticidae</t>
  </si>
  <si>
    <t>Crambidae</t>
  </si>
  <si>
    <t>Grapholita molesta</t>
  </si>
  <si>
    <t>oriental fruit moth</t>
  </si>
  <si>
    <t>cactus moth</t>
  </si>
  <si>
    <t>Cactoblastus cactorum</t>
  </si>
  <si>
    <t>Sarvey et al.</t>
  </si>
  <si>
    <t>1400-4000</t>
  </si>
  <si>
    <t>800-2300</t>
  </si>
  <si>
    <t>large aspen tortrix</t>
  </si>
  <si>
    <t>200-1200</t>
  </si>
  <si>
    <t xml:space="preserve">Choristoneura conflictana </t>
  </si>
  <si>
    <t>1000-5000</t>
  </si>
  <si>
    <t>600-3100</t>
  </si>
  <si>
    <t>100-800</t>
  </si>
  <si>
    <t>60-150</t>
  </si>
  <si>
    <t>paper</t>
  </si>
  <si>
    <t>if reported female as the 'stronger' flyer then put a 1; if male put a 1 under M</t>
  </si>
  <si>
    <t>not significant</t>
  </si>
  <si>
    <t>significant</t>
  </si>
  <si>
    <t>701-702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</si>
</sst>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E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BC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F8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/>
    <xf numFmtId="0" fontId="2" fillId="0" borderId="0" xfId="0" applyFont="1"/>
    <xf numFmtId="2" fontId="0" fillId="0" borderId="0" xfId="0" applyNumberFormat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0" borderId="5" xfId="0" applyBorder="1"/>
    <xf numFmtId="0" fontId="0" fillId="2" borderId="6" xfId="0" applyFill="1" applyBorder="1"/>
    <xf numFmtId="0" fontId="1" fillId="3" borderId="1" xfId="0" applyFont="1" applyFill="1" applyBorder="1"/>
    <xf numFmtId="0" fontId="0" fillId="3" borderId="0" xfId="0" applyFill="1"/>
    <xf numFmtId="0" fontId="0" fillId="0" borderId="7" xfId="0" applyBorder="1"/>
    <xf numFmtId="0" fontId="0" fillId="0" borderId="7" xfId="0" applyFont="1" applyBorder="1"/>
    <xf numFmtId="2" fontId="0" fillId="0" borderId="7" xfId="0" applyNumberFormat="1" applyBorder="1"/>
    <xf numFmtId="0" fontId="2" fillId="0" borderId="7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0" fontId="0" fillId="0" borderId="7" xfId="0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3" borderId="9" xfId="0" applyFont="1" applyFill="1" applyBorder="1"/>
    <xf numFmtId="0" fontId="1" fillId="3" borderId="8" xfId="0" applyFont="1" applyFill="1" applyBorder="1"/>
    <xf numFmtId="0" fontId="0" fillId="2" borderId="0" xfId="0" applyFill="1" applyBorder="1"/>
    <xf numFmtId="0" fontId="0" fillId="0" borderId="10" xfId="0" applyFill="1" applyBorder="1"/>
    <xf numFmtId="0" fontId="0" fillId="0" borderId="7" xfId="0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0" fillId="0" borderId="11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/>
    <xf numFmtId="0" fontId="2" fillId="0" borderId="11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0" fillId="0" borderId="12" xfId="0" applyFill="1" applyBorder="1" applyAlignment="1">
      <alignment horizontal="right" vertical="center"/>
    </xf>
    <xf numFmtId="20" fontId="0" fillId="0" borderId="0" xfId="0" applyNumberFormat="1"/>
    <xf numFmtId="9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6" fontId="0" fillId="4" borderId="1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6" fillId="5" borderId="1" xfId="0" applyFont="1" applyFill="1" applyBorder="1"/>
    <xf numFmtId="9" fontId="0" fillId="0" borderId="11" xfId="0" applyNumberFormat="1" applyBorder="1"/>
    <xf numFmtId="20" fontId="0" fillId="0" borderId="11" xfId="0" applyNumberFormat="1" applyBorder="1"/>
    <xf numFmtId="0" fontId="2" fillId="0" borderId="1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0" fillId="6" borderId="0" xfId="0" applyFill="1"/>
    <xf numFmtId="0" fontId="1" fillId="7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84"/>
      <color rgb="FFFFBCB5"/>
      <color rgb="FFFF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9439-B383-DA4C-BB77-7D0D1D48AD23}">
  <dimension ref="A1:BZ184"/>
  <sheetViews>
    <sheetView tabSelected="1" topLeftCell="BR1" zoomScale="125" workbookViewId="0">
      <pane ySplit="1" topLeftCell="A158" activePane="bottomLeft" state="frozen"/>
      <selection pane="bottomLeft" activeCell="BZ180" sqref="BZ180"/>
    </sheetView>
  </sheetViews>
  <sheetFormatPr baseColWidth="10" defaultRowHeight="16" x14ac:dyDescent="0.2"/>
  <cols>
    <col min="1" max="1" width="27.1640625" customWidth="1"/>
    <col min="2" max="2" width="12" bestFit="1" customWidth="1"/>
    <col min="4" max="4" width="18.83203125" bestFit="1" customWidth="1"/>
    <col min="5" max="5" width="8.6640625" bestFit="1" customWidth="1"/>
    <col min="6" max="6" width="7.83203125" customWidth="1"/>
    <col min="7" max="8" width="10.1640625" customWidth="1"/>
    <col min="9" max="9" width="20.6640625" bestFit="1" customWidth="1"/>
    <col min="10" max="10" width="14.33203125" customWidth="1"/>
    <col min="11" max="11" width="13.6640625" bestFit="1" customWidth="1"/>
    <col min="12" max="12" width="10.33203125" bestFit="1" customWidth="1"/>
    <col min="13" max="13" width="8.5" customWidth="1"/>
    <col min="14" max="14" width="10.6640625" bestFit="1" customWidth="1"/>
    <col min="15" max="15" width="7.1640625" bestFit="1" customWidth="1"/>
    <col min="16" max="16" width="15.5" bestFit="1" customWidth="1"/>
    <col min="17" max="17" width="12" bestFit="1" customWidth="1"/>
    <col min="18" max="19" width="15.6640625" customWidth="1"/>
    <col min="20" max="20" width="14.5" bestFit="1" customWidth="1"/>
    <col min="21" max="21" width="14.5" customWidth="1"/>
    <col min="22" max="22" width="12.6640625" bestFit="1" customWidth="1"/>
    <col min="23" max="23" width="7" customWidth="1"/>
    <col min="24" max="24" width="14.6640625" bestFit="1" customWidth="1"/>
    <col min="25" max="25" width="11.6640625" bestFit="1" customWidth="1"/>
    <col min="26" max="26" width="15" bestFit="1" customWidth="1"/>
    <col min="27" max="27" width="10.33203125" bestFit="1" customWidth="1"/>
    <col min="28" max="28" width="13.33203125" bestFit="1" customWidth="1"/>
    <col min="29" max="29" width="13.33203125" customWidth="1"/>
    <col min="30" max="30" width="17.5" bestFit="1" customWidth="1"/>
    <col min="31" max="31" width="18" customWidth="1"/>
    <col min="32" max="32" width="5.33203125" customWidth="1"/>
    <col min="33" max="33" width="7.1640625" customWidth="1"/>
    <col min="34" max="34" width="10.5" customWidth="1"/>
    <col min="35" max="35" width="13.5" bestFit="1" customWidth="1"/>
    <col min="36" max="36" width="4.6640625" bestFit="1" customWidth="1"/>
    <col min="37" max="37" width="6.5" customWidth="1"/>
    <col min="38" max="38" width="12.6640625" customWidth="1"/>
    <col min="39" max="39" width="25.6640625" bestFit="1" customWidth="1"/>
    <col min="40" max="40" width="14.33203125" bestFit="1" customWidth="1"/>
    <col min="41" max="41" width="12" bestFit="1" customWidth="1"/>
    <col min="42" max="42" width="15" bestFit="1" customWidth="1"/>
    <col min="43" max="43" width="10.83203125" bestFit="1" customWidth="1"/>
    <col min="44" max="44" width="13.6640625" customWidth="1"/>
    <col min="45" max="45" width="11.6640625" bestFit="1" customWidth="1"/>
    <col min="46" max="46" width="15" bestFit="1" customWidth="1"/>
    <col min="47" max="47" width="10.83203125" bestFit="1" customWidth="1"/>
    <col min="48" max="48" width="15.1640625" bestFit="1" customWidth="1"/>
    <col min="49" max="49" width="12.6640625" customWidth="1"/>
    <col min="50" max="50" width="16.5" customWidth="1"/>
    <col min="51" max="51" width="15.1640625" bestFit="1" customWidth="1"/>
    <col min="52" max="53" width="15" customWidth="1"/>
    <col min="54" max="54" width="9.1640625" customWidth="1"/>
    <col min="55" max="55" width="8.5" bestFit="1" customWidth="1"/>
    <col min="56" max="56" width="19" bestFit="1" customWidth="1"/>
    <col min="57" max="57" width="8.5" bestFit="1" customWidth="1"/>
    <col min="58" max="58" width="15.83203125" bestFit="1" customWidth="1"/>
    <col min="59" max="59" width="10.5" bestFit="1" customWidth="1"/>
    <col min="60" max="60" width="62.1640625" bestFit="1" customWidth="1"/>
    <col min="61" max="61" width="19.6640625" bestFit="1" customWidth="1"/>
    <col min="62" max="62" width="18.33203125" customWidth="1"/>
    <col min="63" max="63" width="24.33203125" customWidth="1"/>
    <col min="66" max="67" width="7.83203125" customWidth="1"/>
    <col min="68" max="69" width="13.5" customWidth="1"/>
    <col min="70" max="70" width="19.6640625" customWidth="1"/>
    <col min="71" max="71" width="21.1640625" customWidth="1"/>
    <col min="72" max="72" width="17.33203125" customWidth="1"/>
    <col min="73" max="73" width="26.1640625" customWidth="1"/>
    <col min="74" max="74" width="18.33203125" customWidth="1"/>
    <col min="75" max="75" width="7" customWidth="1"/>
    <col min="76" max="76" width="6.33203125" customWidth="1"/>
    <col min="77" max="77" width="11" customWidth="1"/>
  </cols>
  <sheetData>
    <row r="1" spans="1:78" s="10" customFormat="1" x14ac:dyDescent="0.2">
      <c r="A1" s="9" t="s">
        <v>19</v>
      </c>
      <c r="B1" s="9" t="s">
        <v>0</v>
      </c>
      <c r="C1" s="9" t="s">
        <v>1</v>
      </c>
      <c r="D1" s="9" t="s">
        <v>16</v>
      </c>
      <c r="E1" s="72" t="s">
        <v>163</v>
      </c>
      <c r="F1" s="9" t="s">
        <v>66</v>
      </c>
      <c r="G1" s="9" t="s">
        <v>70</v>
      </c>
      <c r="H1" s="9" t="s">
        <v>156</v>
      </c>
      <c r="I1" s="9" t="s">
        <v>150</v>
      </c>
      <c r="J1" s="9" t="s">
        <v>136</v>
      </c>
      <c r="K1" s="9" t="s">
        <v>146</v>
      </c>
      <c r="L1" s="9" t="s">
        <v>137</v>
      </c>
      <c r="M1" s="9" t="s">
        <v>96</v>
      </c>
      <c r="N1" s="9" t="s">
        <v>117</v>
      </c>
      <c r="O1" s="9" t="s">
        <v>149</v>
      </c>
      <c r="P1" s="9" t="s">
        <v>121</v>
      </c>
      <c r="Q1" s="9" t="s">
        <v>148</v>
      </c>
      <c r="R1" s="9" t="s">
        <v>101</v>
      </c>
      <c r="S1" s="9" t="s">
        <v>202</v>
      </c>
      <c r="T1" s="9" t="s">
        <v>124</v>
      </c>
      <c r="U1" s="9" t="s">
        <v>203</v>
      </c>
      <c r="V1" s="9" t="s">
        <v>205</v>
      </c>
      <c r="W1" s="9" t="s">
        <v>95</v>
      </c>
      <c r="X1" s="9" t="s">
        <v>145</v>
      </c>
      <c r="Y1" s="9" t="s">
        <v>204</v>
      </c>
      <c r="Z1" s="9" t="s">
        <v>116</v>
      </c>
      <c r="AA1" s="9" t="s">
        <v>113</v>
      </c>
      <c r="AB1" s="9" t="s">
        <v>115</v>
      </c>
      <c r="AC1" s="9" t="s">
        <v>144</v>
      </c>
      <c r="AD1" s="9" t="s">
        <v>147</v>
      </c>
      <c r="AE1" s="9" t="s">
        <v>8</v>
      </c>
      <c r="AF1" s="9" t="s">
        <v>11</v>
      </c>
      <c r="AG1" s="9" t="s">
        <v>9</v>
      </c>
      <c r="AH1" s="9" t="s">
        <v>97</v>
      </c>
      <c r="AI1" s="9" t="s">
        <v>119</v>
      </c>
      <c r="AJ1" s="9" t="s">
        <v>140</v>
      </c>
      <c r="AK1" s="9" t="s">
        <v>141</v>
      </c>
      <c r="AL1" s="9" t="s">
        <v>12</v>
      </c>
      <c r="AM1" s="9" t="s">
        <v>153</v>
      </c>
      <c r="AN1" s="9" t="s">
        <v>207</v>
      </c>
      <c r="AO1" s="9" t="s">
        <v>209</v>
      </c>
      <c r="AP1" s="9" t="s">
        <v>210</v>
      </c>
      <c r="AQ1" s="9" t="s">
        <v>211</v>
      </c>
      <c r="AR1" s="9" t="s">
        <v>206</v>
      </c>
      <c r="AS1" s="9" t="s">
        <v>208</v>
      </c>
      <c r="AT1" s="9" t="s">
        <v>212</v>
      </c>
      <c r="AU1" s="9" t="s">
        <v>213</v>
      </c>
      <c r="AV1" s="9" t="s">
        <v>112</v>
      </c>
      <c r="AW1" s="9" t="s">
        <v>106</v>
      </c>
      <c r="AX1" s="9" t="s">
        <v>107</v>
      </c>
      <c r="AY1" s="9" t="s">
        <v>108</v>
      </c>
      <c r="AZ1" s="9" t="s">
        <v>36</v>
      </c>
      <c r="BA1" s="9" t="s">
        <v>65</v>
      </c>
      <c r="BB1" s="9" t="s">
        <v>13</v>
      </c>
      <c r="BC1" s="9" t="s">
        <v>105</v>
      </c>
      <c r="BD1" s="9" t="s">
        <v>3</v>
      </c>
      <c r="BE1" s="9" t="s">
        <v>2</v>
      </c>
      <c r="BF1" s="9" t="s">
        <v>214</v>
      </c>
      <c r="BG1" s="9" t="s">
        <v>215</v>
      </c>
      <c r="BH1" s="9" t="s">
        <v>4</v>
      </c>
      <c r="BI1" s="9" t="s">
        <v>80</v>
      </c>
      <c r="BJ1" s="9" t="s">
        <v>44</v>
      </c>
      <c r="BK1" s="9" t="s">
        <v>5</v>
      </c>
      <c r="BL1" s="9" t="s">
        <v>6</v>
      </c>
      <c r="BM1" s="9" t="s">
        <v>10</v>
      </c>
      <c r="BN1" s="9" t="s">
        <v>47</v>
      </c>
      <c r="BO1" s="9" t="s">
        <v>48</v>
      </c>
      <c r="BP1" s="9" t="s">
        <v>7</v>
      </c>
      <c r="BQ1" s="9" t="s">
        <v>23</v>
      </c>
      <c r="BR1" s="9" t="s">
        <v>14</v>
      </c>
      <c r="BS1" s="9" t="s">
        <v>32</v>
      </c>
      <c r="BT1" s="9" t="s">
        <v>26</v>
      </c>
      <c r="BU1" s="9" t="s">
        <v>84</v>
      </c>
      <c r="BV1" s="9" t="s">
        <v>49</v>
      </c>
      <c r="BW1" s="9" t="s">
        <v>56</v>
      </c>
      <c r="BX1" s="9" t="s">
        <v>57</v>
      </c>
      <c r="BY1" s="28" t="s">
        <v>58</v>
      </c>
      <c r="BZ1" s="29" t="s">
        <v>93</v>
      </c>
    </row>
    <row r="2" spans="1:78" x14ac:dyDescent="0.2">
      <c r="A2" t="s">
        <v>18</v>
      </c>
      <c r="B2" s="1" t="s">
        <v>20</v>
      </c>
      <c r="C2" s="1" t="s">
        <v>21</v>
      </c>
      <c r="D2" s="1" t="s">
        <v>17</v>
      </c>
      <c r="E2">
        <v>13</v>
      </c>
      <c r="AF2" t="s">
        <v>39</v>
      </c>
      <c r="AZ2" s="3">
        <v>9.11</v>
      </c>
      <c r="BA2" s="3">
        <v>0.08</v>
      </c>
      <c r="BD2" t="s">
        <v>22</v>
      </c>
      <c r="BE2">
        <v>1979</v>
      </c>
      <c r="BH2" t="s">
        <v>35</v>
      </c>
      <c r="BK2" t="s">
        <v>33</v>
      </c>
      <c r="BP2" t="s">
        <v>24</v>
      </c>
      <c r="BQ2">
        <v>1</v>
      </c>
      <c r="BR2" t="s">
        <v>25</v>
      </c>
      <c r="BS2" t="s">
        <v>30</v>
      </c>
      <c r="BT2" t="s">
        <v>31</v>
      </c>
      <c r="BV2" t="s">
        <v>50</v>
      </c>
      <c r="BX2">
        <v>1</v>
      </c>
    </row>
    <row r="3" spans="1:78" x14ac:dyDescent="0.2">
      <c r="A3" t="s">
        <v>18</v>
      </c>
      <c r="B3" s="1" t="s">
        <v>20</v>
      </c>
      <c r="C3" s="1" t="s">
        <v>21</v>
      </c>
      <c r="D3" s="1" t="s">
        <v>17</v>
      </c>
      <c r="E3">
        <v>20</v>
      </c>
      <c r="AF3" t="s">
        <v>39</v>
      </c>
      <c r="AZ3" s="3">
        <v>8.69</v>
      </c>
      <c r="BA3" s="3">
        <v>0.13</v>
      </c>
      <c r="BD3" t="s">
        <v>22</v>
      </c>
      <c r="BE3">
        <v>1979</v>
      </c>
      <c r="BH3" t="s">
        <v>34</v>
      </c>
      <c r="BK3" t="s">
        <v>33</v>
      </c>
      <c r="BP3" t="s">
        <v>24</v>
      </c>
      <c r="BQ3">
        <v>1</v>
      </c>
      <c r="BR3" t="s">
        <v>25</v>
      </c>
      <c r="BS3" t="s">
        <v>30</v>
      </c>
      <c r="BT3" t="s">
        <v>31</v>
      </c>
      <c r="BV3" t="s">
        <v>50</v>
      </c>
      <c r="BX3">
        <v>1</v>
      </c>
    </row>
    <row r="4" spans="1:78" x14ac:dyDescent="0.2">
      <c r="A4" t="s">
        <v>42</v>
      </c>
      <c r="B4" s="1" t="s">
        <v>20</v>
      </c>
      <c r="C4" s="1" t="s">
        <v>21</v>
      </c>
      <c r="D4" s="1" t="s">
        <v>17</v>
      </c>
      <c r="E4">
        <v>20</v>
      </c>
      <c r="AF4" t="s">
        <v>39</v>
      </c>
      <c r="AZ4" s="3">
        <v>9.86</v>
      </c>
      <c r="BA4" s="3">
        <v>0.08</v>
      </c>
      <c r="BD4" t="s">
        <v>22</v>
      </c>
      <c r="BE4">
        <v>1979</v>
      </c>
      <c r="BH4" t="s">
        <v>37</v>
      </c>
      <c r="BJ4" s="1" t="s">
        <v>45</v>
      </c>
      <c r="BK4" t="s">
        <v>33</v>
      </c>
      <c r="BP4" t="s">
        <v>24</v>
      </c>
      <c r="BQ4">
        <v>1</v>
      </c>
      <c r="BR4" t="s">
        <v>25</v>
      </c>
      <c r="BS4" t="s">
        <v>30</v>
      </c>
      <c r="BT4" t="s">
        <v>31</v>
      </c>
      <c r="BV4" t="s">
        <v>50</v>
      </c>
      <c r="BX4">
        <v>1</v>
      </c>
    </row>
    <row r="5" spans="1:78" x14ac:dyDescent="0.2">
      <c r="A5" t="s">
        <v>43</v>
      </c>
      <c r="B5" s="1" t="s">
        <v>20</v>
      </c>
      <c r="C5" s="1" t="s">
        <v>21</v>
      </c>
      <c r="D5" s="1" t="s">
        <v>17</v>
      </c>
      <c r="E5">
        <v>14</v>
      </c>
      <c r="AF5" t="s">
        <v>39</v>
      </c>
      <c r="AZ5" s="3">
        <v>8.9600000000000009</v>
      </c>
      <c r="BA5" s="3">
        <v>0.08</v>
      </c>
      <c r="BD5" t="s">
        <v>22</v>
      </c>
      <c r="BE5">
        <v>1979</v>
      </c>
      <c r="BH5" t="s">
        <v>38</v>
      </c>
      <c r="BJ5" s="1" t="s">
        <v>46</v>
      </c>
      <c r="BK5" t="s">
        <v>33</v>
      </c>
      <c r="BP5" t="s">
        <v>24</v>
      </c>
      <c r="BQ5">
        <v>1</v>
      </c>
      <c r="BR5" t="s">
        <v>25</v>
      </c>
      <c r="BS5" t="s">
        <v>30</v>
      </c>
      <c r="BT5" t="s">
        <v>31</v>
      </c>
      <c r="BV5" t="s">
        <v>50</v>
      </c>
      <c r="BX5">
        <v>1</v>
      </c>
    </row>
    <row r="6" spans="1:78" x14ac:dyDescent="0.2">
      <c r="A6" t="s">
        <v>18</v>
      </c>
      <c r="B6" s="1" t="s">
        <v>20</v>
      </c>
      <c r="C6" s="1" t="s">
        <v>21</v>
      </c>
      <c r="D6" s="1" t="s">
        <v>17</v>
      </c>
      <c r="E6">
        <v>15</v>
      </c>
      <c r="AF6" t="s">
        <v>40</v>
      </c>
      <c r="AZ6" s="3">
        <v>7.82</v>
      </c>
      <c r="BA6" s="3">
        <v>0.1</v>
      </c>
      <c r="BD6" t="s">
        <v>22</v>
      </c>
      <c r="BE6">
        <v>1979</v>
      </c>
      <c r="BH6" t="s">
        <v>35</v>
      </c>
      <c r="BK6" t="s">
        <v>33</v>
      </c>
      <c r="BP6" t="s">
        <v>24</v>
      </c>
      <c r="BQ6">
        <v>1</v>
      </c>
      <c r="BR6" t="s">
        <v>25</v>
      </c>
      <c r="BS6" t="s">
        <v>30</v>
      </c>
      <c r="BT6" t="s">
        <v>31</v>
      </c>
      <c r="BV6" t="s">
        <v>50</v>
      </c>
      <c r="BX6">
        <v>1</v>
      </c>
    </row>
    <row r="7" spans="1:78" x14ac:dyDescent="0.2">
      <c r="A7" t="s">
        <v>18</v>
      </c>
      <c r="B7" s="1" t="s">
        <v>20</v>
      </c>
      <c r="C7" s="1" t="s">
        <v>21</v>
      </c>
      <c r="D7" s="1" t="s">
        <v>17</v>
      </c>
      <c r="E7">
        <v>20</v>
      </c>
      <c r="F7" s="1"/>
      <c r="G7" s="1"/>
      <c r="H7" s="1"/>
      <c r="I7" s="1"/>
      <c r="J7" s="1"/>
      <c r="K7" s="1"/>
      <c r="AF7" t="s">
        <v>40</v>
      </c>
      <c r="AZ7" s="3">
        <v>7.65</v>
      </c>
      <c r="BA7" s="3">
        <v>0.04</v>
      </c>
      <c r="BD7" t="s">
        <v>22</v>
      </c>
      <c r="BE7">
        <v>1979</v>
      </c>
      <c r="BH7" t="s">
        <v>34</v>
      </c>
      <c r="BK7" t="s">
        <v>33</v>
      </c>
      <c r="BN7" s="1"/>
      <c r="BO7" s="1"/>
      <c r="BP7" t="s">
        <v>24</v>
      </c>
      <c r="BQ7">
        <v>1</v>
      </c>
      <c r="BR7" t="s">
        <v>25</v>
      </c>
      <c r="BS7" t="s">
        <v>30</v>
      </c>
      <c r="BT7" t="s">
        <v>31</v>
      </c>
      <c r="BV7" t="s">
        <v>50</v>
      </c>
      <c r="BX7">
        <v>1</v>
      </c>
    </row>
    <row r="8" spans="1:78" x14ac:dyDescent="0.2">
      <c r="A8" t="s">
        <v>43</v>
      </c>
      <c r="B8" s="1" t="s">
        <v>20</v>
      </c>
      <c r="C8" s="1" t="s">
        <v>21</v>
      </c>
      <c r="D8" s="1" t="s">
        <v>17</v>
      </c>
      <c r="E8">
        <v>20</v>
      </c>
      <c r="F8" s="1"/>
      <c r="G8" s="1"/>
      <c r="H8" s="1"/>
      <c r="I8" s="1"/>
      <c r="J8" s="1"/>
      <c r="K8" s="1"/>
      <c r="AF8" t="s">
        <v>40</v>
      </c>
      <c r="AZ8" s="3">
        <v>8.33</v>
      </c>
      <c r="BA8" s="3">
        <v>7.0000000000000007E-2</v>
      </c>
      <c r="BD8" t="s">
        <v>22</v>
      </c>
      <c r="BE8">
        <v>1979</v>
      </c>
      <c r="BH8" t="s">
        <v>37</v>
      </c>
      <c r="BJ8" s="1" t="s">
        <v>45</v>
      </c>
      <c r="BK8" t="s">
        <v>33</v>
      </c>
      <c r="BN8" s="1"/>
      <c r="BO8" s="1"/>
      <c r="BP8" t="s">
        <v>24</v>
      </c>
      <c r="BQ8">
        <v>1</v>
      </c>
      <c r="BR8" t="s">
        <v>25</v>
      </c>
      <c r="BS8" t="s">
        <v>30</v>
      </c>
      <c r="BT8" t="s">
        <v>31</v>
      </c>
      <c r="BV8" t="s">
        <v>50</v>
      </c>
      <c r="BX8">
        <v>1</v>
      </c>
    </row>
    <row r="9" spans="1:78" s="11" customFormat="1" x14ac:dyDescent="0.2">
      <c r="A9" s="11" t="s">
        <v>43</v>
      </c>
      <c r="B9" s="12" t="s">
        <v>20</v>
      </c>
      <c r="C9" s="12" t="s">
        <v>21</v>
      </c>
      <c r="D9" s="12" t="s">
        <v>17</v>
      </c>
      <c r="E9" s="11">
        <v>18</v>
      </c>
      <c r="AF9" s="11" t="s">
        <v>40</v>
      </c>
      <c r="AZ9" s="13">
        <v>7.91</v>
      </c>
      <c r="BA9" s="13">
        <v>0.08</v>
      </c>
      <c r="BD9" s="11" t="s">
        <v>22</v>
      </c>
      <c r="BE9" s="11">
        <v>1979</v>
      </c>
      <c r="BH9" s="11" t="s">
        <v>38</v>
      </c>
      <c r="BJ9" s="12" t="s">
        <v>46</v>
      </c>
      <c r="BK9" s="11" t="s">
        <v>33</v>
      </c>
      <c r="BP9" s="11" t="s">
        <v>24</v>
      </c>
      <c r="BQ9" s="11">
        <v>1</v>
      </c>
      <c r="BR9" s="11" t="s">
        <v>25</v>
      </c>
      <c r="BS9" s="11" t="s">
        <v>30</v>
      </c>
      <c r="BT9" s="11" t="s">
        <v>31</v>
      </c>
      <c r="BV9" s="11" t="s">
        <v>50</v>
      </c>
      <c r="BX9" s="11">
        <v>1</v>
      </c>
    </row>
    <row r="10" spans="1:78" x14ac:dyDescent="0.2">
      <c r="A10" t="s">
        <v>52</v>
      </c>
      <c r="B10" s="1" t="s">
        <v>20</v>
      </c>
      <c r="C10" s="1" t="s">
        <v>21</v>
      </c>
      <c r="D10" s="1" t="s">
        <v>17</v>
      </c>
      <c r="E10">
        <v>20</v>
      </c>
      <c r="AF10" t="s">
        <v>39</v>
      </c>
      <c r="AZ10" s="3">
        <v>8.9600000000000009</v>
      </c>
      <c r="BA10" s="3">
        <v>0.11</v>
      </c>
      <c r="BD10" t="s">
        <v>22</v>
      </c>
      <c r="BE10">
        <v>1979</v>
      </c>
      <c r="BH10" t="s">
        <v>54</v>
      </c>
      <c r="BK10" t="s">
        <v>33</v>
      </c>
      <c r="BP10" t="s">
        <v>24</v>
      </c>
      <c r="BQ10">
        <v>1</v>
      </c>
      <c r="BR10" t="s">
        <v>25</v>
      </c>
      <c r="BS10" t="s">
        <v>30</v>
      </c>
      <c r="BT10" t="s">
        <v>31</v>
      </c>
      <c r="BV10" t="s">
        <v>50</v>
      </c>
      <c r="BX10">
        <v>2</v>
      </c>
    </row>
    <row r="11" spans="1:78" x14ac:dyDescent="0.2">
      <c r="A11" s="2" t="s">
        <v>53</v>
      </c>
      <c r="B11" s="1" t="s">
        <v>20</v>
      </c>
      <c r="C11" s="1" t="s">
        <v>21</v>
      </c>
      <c r="D11" s="1" t="s">
        <v>17</v>
      </c>
      <c r="E11">
        <v>20</v>
      </c>
      <c r="F11" s="1"/>
      <c r="G11" s="1"/>
      <c r="H11" s="1"/>
      <c r="I11" s="1"/>
      <c r="J11" s="1"/>
      <c r="K11" s="1"/>
      <c r="AF11" t="s">
        <v>39</v>
      </c>
      <c r="AZ11" s="3">
        <v>10.83</v>
      </c>
      <c r="BA11" s="3">
        <v>0.14000000000000001</v>
      </c>
      <c r="BD11" t="s">
        <v>22</v>
      </c>
      <c r="BE11">
        <v>1979</v>
      </c>
      <c r="BH11" t="s">
        <v>55</v>
      </c>
      <c r="BK11" t="s">
        <v>33</v>
      </c>
      <c r="BN11" s="1"/>
      <c r="BO11" s="1"/>
      <c r="BP11" t="s">
        <v>24</v>
      </c>
      <c r="BQ11">
        <v>1</v>
      </c>
      <c r="BR11" t="s">
        <v>25</v>
      </c>
      <c r="BS11" t="s">
        <v>30</v>
      </c>
      <c r="BT11" t="s">
        <v>31</v>
      </c>
      <c r="BV11" t="s">
        <v>50</v>
      </c>
      <c r="BX11">
        <v>2</v>
      </c>
    </row>
    <row r="12" spans="1:78" x14ac:dyDescent="0.2">
      <c r="A12" s="2" t="s">
        <v>53</v>
      </c>
      <c r="B12" s="1" t="s">
        <v>20</v>
      </c>
      <c r="C12" s="1" t="s">
        <v>21</v>
      </c>
      <c r="D12" s="1" t="s">
        <v>17</v>
      </c>
      <c r="E12">
        <v>20</v>
      </c>
      <c r="F12" s="1"/>
      <c r="G12" s="1"/>
      <c r="H12" s="1"/>
      <c r="I12" s="1"/>
      <c r="J12" s="1"/>
      <c r="K12" s="1"/>
      <c r="AF12" t="s">
        <v>39</v>
      </c>
      <c r="AZ12" s="3">
        <v>10.28</v>
      </c>
      <c r="BA12" s="3">
        <v>0.1</v>
      </c>
      <c r="BD12" t="s">
        <v>22</v>
      </c>
      <c r="BE12">
        <v>1979</v>
      </c>
      <c r="BH12" t="s">
        <v>37</v>
      </c>
      <c r="BK12" t="s">
        <v>33</v>
      </c>
      <c r="BN12" s="1"/>
      <c r="BO12" s="1"/>
      <c r="BP12" t="s">
        <v>24</v>
      </c>
      <c r="BQ12">
        <v>1</v>
      </c>
      <c r="BR12" t="s">
        <v>25</v>
      </c>
      <c r="BS12" t="s">
        <v>30</v>
      </c>
      <c r="BT12" t="s">
        <v>31</v>
      </c>
      <c r="BV12" t="s">
        <v>50</v>
      </c>
      <c r="BX12">
        <v>2</v>
      </c>
    </row>
    <row r="13" spans="1:78" x14ac:dyDescent="0.2">
      <c r="A13" t="s">
        <v>52</v>
      </c>
      <c r="B13" s="1" t="s">
        <v>20</v>
      </c>
      <c r="C13" s="1" t="s">
        <v>21</v>
      </c>
      <c r="D13" s="1" t="s">
        <v>17</v>
      </c>
      <c r="E13">
        <v>20</v>
      </c>
      <c r="AF13" t="s">
        <v>40</v>
      </c>
      <c r="AZ13" s="3">
        <v>7.72</v>
      </c>
      <c r="BA13" s="3">
        <v>0.06</v>
      </c>
      <c r="BD13" t="s">
        <v>22</v>
      </c>
      <c r="BE13">
        <v>1979</v>
      </c>
      <c r="BH13" t="s">
        <v>54</v>
      </c>
      <c r="BK13" t="s">
        <v>33</v>
      </c>
      <c r="BP13" t="s">
        <v>24</v>
      </c>
      <c r="BQ13">
        <v>1</v>
      </c>
      <c r="BR13" t="s">
        <v>25</v>
      </c>
      <c r="BS13" t="s">
        <v>30</v>
      </c>
      <c r="BT13" t="s">
        <v>31</v>
      </c>
      <c r="BV13" t="s">
        <v>50</v>
      </c>
      <c r="BX13">
        <v>2</v>
      </c>
    </row>
    <row r="14" spans="1:78" x14ac:dyDescent="0.2">
      <c r="A14" s="2" t="s">
        <v>53</v>
      </c>
      <c r="B14" s="1" t="s">
        <v>20</v>
      </c>
      <c r="C14" s="1" t="s">
        <v>21</v>
      </c>
      <c r="D14" s="1" t="s">
        <v>17</v>
      </c>
      <c r="E14">
        <v>20</v>
      </c>
      <c r="AF14" t="s">
        <v>40</v>
      </c>
      <c r="AZ14" s="3">
        <v>9.3800000000000008</v>
      </c>
      <c r="BA14" s="3">
        <v>0.13</v>
      </c>
      <c r="BD14" t="s">
        <v>22</v>
      </c>
      <c r="BE14">
        <v>1979</v>
      </c>
      <c r="BH14" t="s">
        <v>55</v>
      </c>
      <c r="BK14" t="s">
        <v>33</v>
      </c>
      <c r="BP14" t="s">
        <v>24</v>
      </c>
      <c r="BQ14">
        <v>1</v>
      </c>
      <c r="BR14" t="s">
        <v>25</v>
      </c>
      <c r="BS14" t="s">
        <v>30</v>
      </c>
      <c r="BT14" t="s">
        <v>31</v>
      </c>
      <c r="BV14" t="s">
        <v>50</v>
      </c>
      <c r="BX14">
        <v>2</v>
      </c>
    </row>
    <row r="15" spans="1:78" s="11" customFormat="1" x14ac:dyDescent="0.2">
      <c r="A15" s="14" t="s">
        <v>53</v>
      </c>
      <c r="B15" s="12" t="s">
        <v>20</v>
      </c>
      <c r="C15" s="12" t="s">
        <v>21</v>
      </c>
      <c r="D15" s="12" t="s">
        <v>17</v>
      </c>
      <c r="E15" s="11">
        <v>20</v>
      </c>
      <c r="AF15" s="11" t="s">
        <v>40</v>
      </c>
      <c r="AZ15" s="13">
        <v>9.2200000000000006</v>
      </c>
      <c r="BA15" s="13">
        <v>0.05</v>
      </c>
      <c r="BD15" s="11" t="s">
        <v>22</v>
      </c>
      <c r="BE15" s="11">
        <v>1979</v>
      </c>
      <c r="BH15" s="11" t="s">
        <v>37</v>
      </c>
      <c r="BK15" s="11" t="s">
        <v>33</v>
      </c>
      <c r="BP15" s="11" t="s">
        <v>24</v>
      </c>
      <c r="BQ15" s="11">
        <v>1</v>
      </c>
      <c r="BR15" s="11" t="s">
        <v>25</v>
      </c>
      <c r="BS15" s="11" t="s">
        <v>30</v>
      </c>
      <c r="BT15" s="11" t="s">
        <v>31</v>
      </c>
      <c r="BV15" s="11" t="s">
        <v>50</v>
      </c>
      <c r="BX15" s="11">
        <v>2</v>
      </c>
    </row>
    <row r="16" spans="1:78" x14ac:dyDescent="0.2">
      <c r="A16" t="s">
        <v>15</v>
      </c>
      <c r="B16" s="1" t="s">
        <v>20</v>
      </c>
      <c r="C16" s="1" t="s">
        <v>21</v>
      </c>
      <c r="D16" t="s">
        <v>17</v>
      </c>
      <c r="E16">
        <v>20</v>
      </c>
      <c r="AF16" t="s">
        <v>39</v>
      </c>
      <c r="AZ16" s="3">
        <v>12.56</v>
      </c>
      <c r="BA16" s="3">
        <v>7.0000000000000007E-2</v>
      </c>
      <c r="BD16" t="s">
        <v>22</v>
      </c>
      <c r="BE16">
        <v>1979</v>
      </c>
      <c r="BH16" t="s">
        <v>28</v>
      </c>
      <c r="BK16" t="s">
        <v>33</v>
      </c>
      <c r="BP16" t="s">
        <v>24</v>
      </c>
      <c r="BQ16">
        <v>1</v>
      </c>
      <c r="BR16" t="s">
        <v>25</v>
      </c>
      <c r="BS16" t="s">
        <v>29</v>
      </c>
      <c r="BT16" t="s">
        <v>27</v>
      </c>
      <c r="BV16" t="s">
        <v>50</v>
      </c>
      <c r="BX16">
        <v>3</v>
      </c>
    </row>
    <row r="17" spans="1:76" x14ac:dyDescent="0.2">
      <c r="A17" t="s">
        <v>15</v>
      </c>
      <c r="B17" s="1" t="s">
        <v>20</v>
      </c>
      <c r="C17" s="1" t="s">
        <v>21</v>
      </c>
      <c r="D17" t="s">
        <v>17</v>
      </c>
      <c r="E17">
        <v>33</v>
      </c>
      <c r="AF17" t="s">
        <v>39</v>
      </c>
      <c r="AZ17" s="3">
        <v>11.73</v>
      </c>
      <c r="BA17" s="3">
        <v>0.17</v>
      </c>
      <c r="BD17" t="s">
        <v>22</v>
      </c>
      <c r="BE17">
        <v>1979</v>
      </c>
      <c r="BH17" t="s">
        <v>59</v>
      </c>
      <c r="BK17" t="s">
        <v>33</v>
      </c>
      <c r="BP17" t="s">
        <v>24</v>
      </c>
      <c r="BQ17">
        <v>1</v>
      </c>
      <c r="BR17" t="s">
        <v>25</v>
      </c>
      <c r="BS17" t="s">
        <v>29</v>
      </c>
      <c r="BT17" t="s">
        <v>27</v>
      </c>
      <c r="BV17" t="s">
        <v>50</v>
      </c>
      <c r="BX17">
        <v>3</v>
      </c>
    </row>
    <row r="18" spans="1:76" x14ac:dyDescent="0.2">
      <c r="A18" t="s">
        <v>15</v>
      </c>
      <c r="B18" s="1" t="s">
        <v>20</v>
      </c>
      <c r="C18" s="1" t="s">
        <v>21</v>
      </c>
      <c r="D18" t="s">
        <v>17</v>
      </c>
      <c r="E18">
        <v>20</v>
      </c>
      <c r="AF18" t="s">
        <v>39</v>
      </c>
      <c r="AZ18" s="3">
        <v>13</v>
      </c>
      <c r="BA18" s="3">
        <v>0.15</v>
      </c>
      <c r="BD18" t="s">
        <v>22</v>
      </c>
      <c r="BE18">
        <v>1979</v>
      </c>
      <c r="BH18" t="s">
        <v>60</v>
      </c>
      <c r="BK18" t="s">
        <v>33</v>
      </c>
      <c r="BP18" t="s">
        <v>24</v>
      </c>
      <c r="BQ18">
        <v>1</v>
      </c>
      <c r="BR18" t="s">
        <v>25</v>
      </c>
      <c r="BS18" t="s">
        <v>29</v>
      </c>
      <c r="BT18" t="s">
        <v>27</v>
      </c>
      <c r="BV18" t="s">
        <v>50</v>
      </c>
      <c r="BX18">
        <v>3</v>
      </c>
    </row>
    <row r="19" spans="1:76" x14ac:dyDescent="0.2">
      <c r="A19" t="s">
        <v>15</v>
      </c>
      <c r="B19" s="1" t="s">
        <v>20</v>
      </c>
      <c r="C19" s="1" t="s">
        <v>21</v>
      </c>
      <c r="D19" t="s">
        <v>17</v>
      </c>
      <c r="E19">
        <v>20</v>
      </c>
      <c r="AF19" t="s">
        <v>39</v>
      </c>
      <c r="AZ19" s="3">
        <v>13.17</v>
      </c>
      <c r="BA19" s="3">
        <v>0.09</v>
      </c>
      <c r="BD19" t="s">
        <v>22</v>
      </c>
      <c r="BE19">
        <v>1979</v>
      </c>
      <c r="BH19" t="s">
        <v>61</v>
      </c>
      <c r="BK19" t="s">
        <v>33</v>
      </c>
      <c r="BP19" t="s">
        <v>24</v>
      </c>
      <c r="BQ19">
        <v>1</v>
      </c>
      <c r="BR19" t="s">
        <v>25</v>
      </c>
      <c r="BS19" t="s">
        <v>29</v>
      </c>
      <c r="BT19" t="s">
        <v>27</v>
      </c>
      <c r="BV19" t="s">
        <v>50</v>
      </c>
      <c r="BX19">
        <v>3</v>
      </c>
    </row>
    <row r="20" spans="1:76" x14ac:dyDescent="0.2">
      <c r="A20" t="s">
        <v>15</v>
      </c>
      <c r="B20" s="1" t="s">
        <v>20</v>
      </c>
      <c r="C20" s="1" t="s">
        <v>21</v>
      </c>
      <c r="D20" t="s">
        <v>17</v>
      </c>
      <c r="E20">
        <v>20</v>
      </c>
      <c r="AF20" t="s">
        <v>39</v>
      </c>
      <c r="AZ20" s="3">
        <v>12.16</v>
      </c>
      <c r="BA20" s="3">
        <v>0.02</v>
      </c>
      <c r="BD20" t="s">
        <v>22</v>
      </c>
      <c r="BE20">
        <v>1979</v>
      </c>
      <c r="BH20" t="s">
        <v>62</v>
      </c>
      <c r="BJ20" t="s">
        <v>74</v>
      </c>
      <c r="BK20" t="s">
        <v>33</v>
      </c>
      <c r="BP20" t="s">
        <v>24</v>
      </c>
      <c r="BQ20">
        <v>1</v>
      </c>
      <c r="BR20" t="s">
        <v>25</v>
      </c>
      <c r="BS20" t="s">
        <v>29</v>
      </c>
      <c r="BT20" t="s">
        <v>27</v>
      </c>
      <c r="BV20" t="s">
        <v>50</v>
      </c>
      <c r="BX20">
        <v>3</v>
      </c>
    </row>
    <row r="21" spans="1:76" x14ac:dyDescent="0.2">
      <c r="A21" t="s">
        <v>15</v>
      </c>
      <c r="B21" s="1" t="s">
        <v>20</v>
      </c>
      <c r="C21" s="1" t="s">
        <v>21</v>
      </c>
      <c r="D21" t="s">
        <v>17</v>
      </c>
      <c r="E21">
        <v>20</v>
      </c>
      <c r="AF21" t="s">
        <v>39</v>
      </c>
      <c r="AZ21" s="3">
        <v>10.95</v>
      </c>
      <c r="BA21" s="3">
        <v>0.08</v>
      </c>
      <c r="BD21" t="s">
        <v>22</v>
      </c>
      <c r="BE21">
        <v>1979</v>
      </c>
      <c r="BH21" t="s">
        <v>63</v>
      </c>
      <c r="BJ21" t="s">
        <v>74</v>
      </c>
      <c r="BK21" t="s">
        <v>33</v>
      </c>
      <c r="BP21" t="s">
        <v>24</v>
      </c>
      <c r="BQ21">
        <v>1</v>
      </c>
      <c r="BR21" t="s">
        <v>25</v>
      </c>
      <c r="BS21" t="s">
        <v>29</v>
      </c>
      <c r="BT21" t="s">
        <v>27</v>
      </c>
      <c r="BV21" t="s">
        <v>50</v>
      </c>
      <c r="BX21">
        <v>3</v>
      </c>
    </row>
    <row r="22" spans="1:76" x14ac:dyDescent="0.2">
      <c r="A22" t="s">
        <v>15</v>
      </c>
      <c r="B22" s="1" t="s">
        <v>20</v>
      </c>
      <c r="C22" s="1" t="s">
        <v>21</v>
      </c>
      <c r="D22" t="s">
        <v>17</v>
      </c>
      <c r="E22">
        <v>20</v>
      </c>
      <c r="AF22" t="s">
        <v>39</v>
      </c>
      <c r="AZ22" s="3">
        <v>11.26</v>
      </c>
      <c r="BA22" s="3">
        <v>0.06</v>
      </c>
      <c r="BD22" t="s">
        <v>22</v>
      </c>
      <c r="BE22">
        <v>1979</v>
      </c>
      <c r="BH22" t="s">
        <v>64</v>
      </c>
      <c r="BJ22" t="s">
        <v>74</v>
      </c>
      <c r="BK22" t="s">
        <v>33</v>
      </c>
      <c r="BO22" s="7"/>
      <c r="BP22" t="s">
        <v>24</v>
      </c>
      <c r="BQ22">
        <v>1</v>
      </c>
      <c r="BR22" t="s">
        <v>25</v>
      </c>
      <c r="BS22" t="s">
        <v>29</v>
      </c>
      <c r="BT22" t="s">
        <v>27</v>
      </c>
      <c r="BV22" t="s">
        <v>50</v>
      </c>
      <c r="BX22">
        <v>3</v>
      </c>
    </row>
    <row r="23" spans="1:76" x14ac:dyDescent="0.2">
      <c r="A23" t="s">
        <v>15</v>
      </c>
      <c r="B23" s="1" t="s">
        <v>20</v>
      </c>
      <c r="C23" s="1" t="s">
        <v>21</v>
      </c>
      <c r="D23" t="s">
        <v>17</v>
      </c>
      <c r="E23">
        <v>20</v>
      </c>
      <c r="AF23" t="s">
        <v>40</v>
      </c>
      <c r="AZ23" s="3">
        <v>11.51</v>
      </c>
      <c r="BA23" s="3">
        <v>7.0000000000000007E-2</v>
      </c>
      <c r="BD23" t="s">
        <v>22</v>
      </c>
      <c r="BE23">
        <v>1979</v>
      </c>
      <c r="BH23" t="s">
        <v>28</v>
      </c>
      <c r="BK23" t="s">
        <v>33</v>
      </c>
      <c r="BP23" t="s">
        <v>24</v>
      </c>
      <c r="BQ23">
        <v>1</v>
      </c>
      <c r="BR23" t="s">
        <v>25</v>
      </c>
      <c r="BS23" t="s">
        <v>29</v>
      </c>
      <c r="BT23" t="s">
        <v>27</v>
      </c>
      <c r="BV23" t="s">
        <v>50</v>
      </c>
      <c r="BX23">
        <v>3</v>
      </c>
    </row>
    <row r="24" spans="1:76" x14ac:dyDescent="0.2">
      <c r="A24" t="s">
        <v>15</v>
      </c>
      <c r="B24" s="1" t="s">
        <v>20</v>
      </c>
      <c r="C24" s="1" t="s">
        <v>21</v>
      </c>
      <c r="D24" t="s">
        <v>17</v>
      </c>
      <c r="E24">
        <v>33</v>
      </c>
      <c r="AF24" t="s">
        <v>40</v>
      </c>
      <c r="AZ24" s="3">
        <v>10.82</v>
      </c>
      <c r="BA24" s="3">
        <v>0.13</v>
      </c>
      <c r="BD24" t="s">
        <v>22</v>
      </c>
      <c r="BE24">
        <v>1979</v>
      </c>
      <c r="BH24" t="s">
        <v>59</v>
      </c>
      <c r="BK24" t="s">
        <v>33</v>
      </c>
      <c r="BP24" t="s">
        <v>24</v>
      </c>
      <c r="BQ24">
        <v>1</v>
      </c>
      <c r="BR24" t="s">
        <v>25</v>
      </c>
      <c r="BS24" t="s">
        <v>29</v>
      </c>
      <c r="BT24" t="s">
        <v>27</v>
      </c>
      <c r="BV24" t="s">
        <v>50</v>
      </c>
      <c r="BX24">
        <v>3</v>
      </c>
    </row>
    <row r="25" spans="1:76" x14ac:dyDescent="0.2">
      <c r="A25" t="s">
        <v>15</v>
      </c>
      <c r="B25" s="1" t="s">
        <v>20</v>
      </c>
      <c r="C25" s="1" t="s">
        <v>21</v>
      </c>
      <c r="D25" t="s">
        <v>17</v>
      </c>
      <c r="E25">
        <v>20</v>
      </c>
      <c r="AF25" t="s">
        <v>40</v>
      </c>
      <c r="AZ25" s="3">
        <v>11.51</v>
      </c>
      <c r="BA25" s="3">
        <v>0.16</v>
      </c>
      <c r="BD25" t="s">
        <v>22</v>
      </c>
      <c r="BE25">
        <v>1979</v>
      </c>
      <c r="BH25" t="s">
        <v>60</v>
      </c>
      <c r="BK25" t="s">
        <v>33</v>
      </c>
      <c r="BP25" t="s">
        <v>24</v>
      </c>
      <c r="BQ25">
        <v>1</v>
      </c>
      <c r="BR25" t="s">
        <v>25</v>
      </c>
      <c r="BS25" t="s">
        <v>29</v>
      </c>
      <c r="BT25" t="s">
        <v>27</v>
      </c>
      <c r="BV25" t="s">
        <v>50</v>
      </c>
      <c r="BX25">
        <v>3</v>
      </c>
    </row>
    <row r="26" spans="1:76" x14ac:dyDescent="0.2">
      <c r="A26" t="s">
        <v>15</v>
      </c>
      <c r="B26" s="1" t="s">
        <v>20</v>
      </c>
      <c r="C26" s="1" t="s">
        <v>21</v>
      </c>
      <c r="D26" t="s">
        <v>17</v>
      </c>
      <c r="E26">
        <v>20</v>
      </c>
      <c r="AF26" t="s">
        <v>40</v>
      </c>
      <c r="AZ26" s="3">
        <v>12.04</v>
      </c>
      <c r="BA26" s="3">
        <v>0.1</v>
      </c>
      <c r="BD26" t="s">
        <v>22</v>
      </c>
      <c r="BE26">
        <v>1979</v>
      </c>
      <c r="BH26" t="s">
        <v>61</v>
      </c>
      <c r="BK26" t="s">
        <v>33</v>
      </c>
      <c r="BP26" t="s">
        <v>24</v>
      </c>
      <c r="BQ26">
        <v>1</v>
      </c>
      <c r="BR26" t="s">
        <v>25</v>
      </c>
      <c r="BS26" t="s">
        <v>29</v>
      </c>
      <c r="BT26" t="s">
        <v>27</v>
      </c>
      <c r="BV26" t="s">
        <v>50</v>
      </c>
      <c r="BX26">
        <v>3</v>
      </c>
    </row>
    <row r="27" spans="1:76" x14ac:dyDescent="0.2">
      <c r="A27" t="s">
        <v>15</v>
      </c>
      <c r="B27" s="1" t="s">
        <v>20</v>
      </c>
      <c r="C27" s="1" t="s">
        <v>21</v>
      </c>
      <c r="D27" t="s">
        <v>17</v>
      </c>
      <c r="E27">
        <v>20</v>
      </c>
      <c r="AF27" t="s">
        <v>40</v>
      </c>
      <c r="AZ27" s="3">
        <v>10.56</v>
      </c>
      <c r="BA27" s="3">
        <v>0.02</v>
      </c>
      <c r="BD27" t="s">
        <v>22</v>
      </c>
      <c r="BE27">
        <v>1979</v>
      </c>
      <c r="BH27" t="s">
        <v>62</v>
      </c>
      <c r="BJ27" t="s">
        <v>74</v>
      </c>
      <c r="BK27" t="s">
        <v>33</v>
      </c>
      <c r="BP27" t="s">
        <v>24</v>
      </c>
      <c r="BQ27">
        <v>1</v>
      </c>
      <c r="BR27" t="s">
        <v>25</v>
      </c>
      <c r="BS27" t="s">
        <v>29</v>
      </c>
      <c r="BT27" t="s">
        <v>27</v>
      </c>
      <c r="BV27" t="s">
        <v>50</v>
      </c>
      <c r="BX27">
        <v>3</v>
      </c>
    </row>
    <row r="28" spans="1:76" x14ac:dyDescent="0.2">
      <c r="A28" t="s">
        <v>15</v>
      </c>
      <c r="B28" s="1" t="s">
        <v>20</v>
      </c>
      <c r="C28" s="1" t="s">
        <v>21</v>
      </c>
      <c r="D28" t="s">
        <v>17</v>
      </c>
      <c r="E28">
        <v>20</v>
      </c>
      <c r="AF28" t="s">
        <v>40</v>
      </c>
      <c r="AZ28" s="3">
        <v>9.65</v>
      </c>
      <c r="BA28" s="3">
        <v>7.0000000000000007E-2</v>
      </c>
      <c r="BD28" t="s">
        <v>22</v>
      </c>
      <c r="BE28">
        <v>1979</v>
      </c>
      <c r="BH28" t="s">
        <v>63</v>
      </c>
      <c r="BJ28" t="s">
        <v>74</v>
      </c>
      <c r="BK28" t="s">
        <v>33</v>
      </c>
      <c r="BP28" t="s">
        <v>24</v>
      </c>
      <c r="BQ28">
        <v>1</v>
      </c>
      <c r="BR28" t="s">
        <v>25</v>
      </c>
      <c r="BS28" t="s">
        <v>29</v>
      </c>
      <c r="BT28" t="s">
        <v>27</v>
      </c>
      <c r="BV28" t="s">
        <v>50</v>
      </c>
      <c r="BX28">
        <v>3</v>
      </c>
    </row>
    <row r="29" spans="1:76" s="11" customFormat="1" x14ac:dyDescent="0.2">
      <c r="A29" s="11" t="s">
        <v>15</v>
      </c>
      <c r="B29" s="12" t="s">
        <v>20</v>
      </c>
      <c r="C29" s="12" t="s">
        <v>21</v>
      </c>
      <c r="D29" s="11" t="s">
        <v>17</v>
      </c>
      <c r="E29" s="11">
        <v>20</v>
      </c>
      <c r="AF29" s="11" t="s">
        <v>40</v>
      </c>
      <c r="AZ29" s="13">
        <v>9.8800000000000008</v>
      </c>
      <c r="BA29" s="13">
        <v>0.08</v>
      </c>
      <c r="BD29" s="11" t="s">
        <v>22</v>
      </c>
      <c r="BE29" s="11">
        <v>1979</v>
      </c>
      <c r="BH29" s="11" t="s">
        <v>64</v>
      </c>
      <c r="BJ29" s="11" t="s">
        <v>74</v>
      </c>
      <c r="BK29" s="11" t="s">
        <v>33</v>
      </c>
      <c r="BP29" s="11" t="s">
        <v>24</v>
      </c>
      <c r="BQ29" s="11">
        <v>1</v>
      </c>
      <c r="BR29" s="11" t="s">
        <v>25</v>
      </c>
      <c r="BS29" s="11" t="s">
        <v>29</v>
      </c>
      <c r="BT29" s="11" t="s">
        <v>27</v>
      </c>
      <c r="BV29" s="11" t="s">
        <v>50</v>
      </c>
      <c r="BX29" s="11">
        <v>3</v>
      </c>
    </row>
    <row r="30" spans="1:76" x14ac:dyDescent="0.2">
      <c r="A30" t="s">
        <v>41</v>
      </c>
      <c r="B30" s="1" t="s">
        <v>20</v>
      </c>
      <c r="C30" s="1" t="s">
        <v>21</v>
      </c>
      <c r="D30" t="s">
        <v>17</v>
      </c>
      <c r="E30">
        <v>90</v>
      </c>
      <c r="F30">
        <v>80</v>
      </c>
      <c r="N30" s="4"/>
      <c r="O30" s="4"/>
      <c r="P30" s="4"/>
      <c r="Q30" s="4"/>
      <c r="R30" s="4"/>
      <c r="S30" s="16"/>
      <c r="T30">
        <f>75*60</f>
        <v>4500</v>
      </c>
      <c r="V30" s="6" t="s">
        <v>67</v>
      </c>
      <c r="W30" s="30"/>
      <c r="AH30" s="31" t="s">
        <v>99</v>
      </c>
      <c r="AI30" s="15"/>
      <c r="AJ30" s="15"/>
      <c r="AK30" s="15"/>
      <c r="BD30" t="s">
        <v>22</v>
      </c>
      <c r="BE30">
        <v>1979</v>
      </c>
      <c r="BK30" t="s">
        <v>33</v>
      </c>
      <c r="BP30" t="s">
        <v>51</v>
      </c>
      <c r="BR30" t="s">
        <v>25</v>
      </c>
      <c r="BV30" t="s">
        <v>50</v>
      </c>
      <c r="BX30">
        <v>5</v>
      </c>
    </row>
    <row r="31" spans="1:76" x14ac:dyDescent="0.2">
      <c r="A31" t="s">
        <v>41</v>
      </c>
      <c r="B31" s="1" t="s">
        <v>20</v>
      </c>
      <c r="C31" s="1" t="s">
        <v>21</v>
      </c>
      <c r="D31" t="s">
        <v>17</v>
      </c>
      <c r="E31">
        <v>55</v>
      </c>
      <c r="F31">
        <v>47</v>
      </c>
      <c r="N31" s="4"/>
      <c r="O31" s="4"/>
      <c r="P31" s="4"/>
      <c r="Q31" s="4"/>
      <c r="R31" s="4"/>
      <c r="S31" s="16"/>
      <c r="V31" s="8" t="s">
        <v>67</v>
      </c>
      <c r="W31" s="30"/>
      <c r="AH31" s="15" t="s">
        <v>99</v>
      </c>
      <c r="AI31" s="15"/>
      <c r="AJ31" s="15"/>
      <c r="AK31" s="15"/>
      <c r="BD31" t="s">
        <v>22</v>
      </c>
      <c r="BE31">
        <v>1979</v>
      </c>
      <c r="BH31" t="s">
        <v>37</v>
      </c>
      <c r="BK31" t="s">
        <v>33</v>
      </c>
      <c r="BP31" t="s">
        <v>51</v>
      </c>
      <c r="BR31" t="s">
        <v>25</v>
      </c>
      <c r="BS31" t="s">
        <v>30</v>
      </c>
      <c r="BT31" t="s">
        <v>31</v>
      </c>
      <c r="BV31" t="s">
        <v>50</v>
      </c>
      <c r="BX31">
        <v>5</v>
      </c>
    </row>
    <row r="32" spans="1:76" x14ac:dyDescent="0.2">
      <c r="A32" t="s">
        <v>53</v>
      </c>
      <c r="B32" s="1" t="s">
        <v>20</v>
      </c>
      <c r="C32" s="1" t="s">
        <v>21</v>
      </c>
      <c r="D32" t="s">
        <v>17</v>
      </c>
      <c r="E32">
        <v>60</v>
      </c>
      <c r="F32">
        <v>50</v>
      </c>
      <c r="N32" s="4"/>
      <c r="O32" s="4"/>
      <c r="P32" s="4"/>
      <c r="Q32" s="4"/>
      <c r="R32" s="4"/>
      <c r="S32" s="16"/>
      <c r="T32">
        <f>62*60</f>
        <v>3720</v>
      </c>
      <c r="V32" s="8" t="s">
        <v>67</v>
      </c>
      <c r="W32" s="30"/>
      <c r="AH32" s="15" t="s">
        <v>99</v>
      </c>
      <c r="AI32" s="15"/>
      <c r="AJ32" s="15"/>
      <c r="AK32" s="15"/>
      <c r="BD32" t="s">
        <v>22</v>
      </c>
      <c r="BE32">
        <v>1979</v>
      </c>
      <c r="BK32" t="s">
        <v>33</v>
      </c>
      <c r="BP32" t="s">
        <v>51</v>
      </c>
      <c r="BR32" t="s">
        <v>25</v>
      </c>
      <c r="BV32" t="s">
        <v>50</v>
      </c>
      <c r="BX32">
        <v>5</v>
      </c>
    </row>
    <row r="33" spans="1:76" x14ac:dyDescent="0.2">
      <c r="A33" t="s">
        <v>52</v>
      </c>
      <c r="B33" s="1" t="s">
        <v>20</v>
      </c>
      <c r="C33" s="1" t="s">
        <v>21</v>
      </c>
      <c r="D33" t="s">
        <v>17</v>
      </c>
      <c r="E33">
        <v>135</v>
      </c>
      <c r="F33">
        <v>126</v>
      </c>
      <c r="N33" s="4"/>
      <c r="O33" s="4"/>
      <c r="P33" s="4"/>
      <c r="Q33" s="4"/>
      <c r="R33" s="4"/>
      <c r="S33" s="16"/>
      <c r="T33">
        <f>5*60</f>
        <v>300</v>
      </c>
      <c r="V33" s="8" t="s">
        <v>67</v>
      </c>
      <c r="W33" s="30"/>
      <c r="AH33" s="15" t="s">
        <v>99</v>
      </c>
      <c r="AI33" s="15"/>
      <c r="AJ33" s="15"/>
      <c r="AK33" s="15"/>
      <c r="BD33" t="s">
        <v>22</v>
      </c>
      <c r="BE33">
        <v>1979</v>
      </c>
      <c r="BK33" t="s">
        <v>33</v>
      </c>
      <c r="BP33" t="s">
        <v>51</v>
      </c>
      <c r="BR33" t="s">
        <v>25</v>
      </c>
      <c r="BV33" t="s">
        <v>50</v>
      </c>
      <c r="BX33">
        <v>5</v>
      </c>
    </row>
    <row r="34" spans="1:76" x14ac:dyDescent="0.2">
      <c r="A34" t="s">
        <v>41</v>
      </c>
      <c r="B34" s="1" t="s">
        <v>20</v>
      </c>
      <c r="C34" s="1" t="s">
        <v>21</v>
      </c>
      <c r="D34" t="s">
        <v>17</v>
      </c>
      <c r="E34">
        <v>90</v>
      </c>
      <c r="F34">
        <v>8</v>
      </c>
      <c r="N34" s="4"/>
      <c r="O34" s="4"/>
      <c r="P34" s="4"/>
      <c r="Q34" s="4"/>
      <c r="R34" s="4"/>
      <c r="S34" s="16"/>
      <c r="V34" s="8" t="s">
        <v>68</v>
      </c>
      <c r="W34" s="30"/>
      <c r="AH34" s="15" t="s">
        <v>99</v>
      </c>
      <c r="AI34" s="15"/>
      <c r="AJ34" s="15"/>
      <c r="AK34" s="15"/>
      <c r="BD34" t="s">
        <v>22</v>
      </c>
      <c r="BE34">
        <v>1979</v>
      </c>
      <c r="BK34" t="s">
        <v>33</v>
      </c>
      <c r="BP34" t="s">
        <v>51</v>
      </c>
      <c r="BR34" t="s">
        <v>25</v>
      </c>
      <c r="BV34" t="s">
        <v>50</v>
      </c>
      <c r="BX34">
        <v>5</v>
      </c>
    </row>
    <row r="35" spans="1:76" x14ac:dyDescent="0.2">
      <c r="A35" t="s">
        <v>41</v>
      </c>
      <c r="B35" s="1" t="s">
        <v>20</v>
      </c>
      <c r="C35" s="1" t="s">
        <v>21</v>
      </c>
      <c r="D35" t="s">
        <v>17</v>
      </c>
      <c r="E35">
        <v>55</v>
      </c>
      <c r="F35">
        <v>0</v>
      </c>
      <c r="N35" s="4"/>
      <c r="O35" s="4"/>
      <c r="P35" s="4"/>
      <c r="Q35" s="4"/>
      <c r="R35" s="4"/>
      <c r="S35" s="16"/>
      <c r="V35" s="8" t="s">
        <v>68</v>
      </c>
      <c r="W35" s="30"/>
      <c r="AH35" s="15" t="s">
        <v>99</v>
      </c>
      <c r="AI35" s="15"/>
      <c r="AJ35" s="15"/>
      <c r="AK35" s="15"/>
      <c r="BD35" t="s">
        <v>22</v>
      </c>
      <c r="BE35">
        <v>1979</v>
      </c>
      <c r="BH35" t="s">
        <v>37</v>
      </c>
      <c r="BK35" t="s">
        <v>33</v>
      </c>
      <c r="BP35" t="s">
        <v>51</v>
      </c>
      <c r="BR35" t="s">
        <v>25</v>
      </c>
      <c r="BS35" t="s">
        <v>30</v>
      </c>
      <c r="BT35" t="s">
        <v>31</v>
      </c>
      <c r="BV35" t="s">
        <v>50</v>
      </c>
      <c r="BX35">
        <v>5</v>
      </c>
    </row>
    <row r="36" spans="1:76" x14ac:dyDescent="0.2">
      <c r="A36" t="s">
        <v>53</v>
      </c>
      <c r="B36" s="1" t="s">
        <v>20</v>
      </c>
      <c r="C36" s="1" t="s">
        <v>21</v>
      </c>
      <c r="D36" t="s">
        <v>17</v>
      </c>
      <c r="E36">
        <v>60</v>
      </c>
      <c r="F36">
        <v>8</v>
      </c>
      <c r="N36" s="4"/>
      <c r="O36" s="4"/>
      <c r="P36" s="4"/>
      <c r="Q36" s="4"/>
      <c r="R36" s="4"/>
      <c r="S36" s="16"/>
      <c r="V36" s="8" t="s">
        <v>68</v>
      </c>
      <c r="W36" s="30"/>
      <c r="AH36" s="15" t="s">
        <v>99</v>
      </c>
      <c r="AI36" s="15"/>
      <c r="AJ36" s="15"/>
      <c r="AK36" s="15"/>
      <c r="BD36" t="s">
        <v>22</v>
      </c>
      <c r="BE36">
        <v>1979</v>
      </c>
      <c r="BK36" t="s">
        <v>33</v>
      </c>
      <c r="BP36" t="s">
        <v>51</v>
      </c>
      <c r="BR36" t="s">
        <v>25</v>
      </c>
      <c r="BV36" t="s">
        <v>50</v>
      </c>
      <c r="BX36">
        <v>5</v>
      </c>
    </row>
    <row r="37" spans="1:76" x14ac:dyDescent="0.2">
      <c r="A37" t="s">
        <v>52</v>
      </c>
      <c r="B37" s="1" t="s">
        <v>20</v>
      </c>
      <c r="C37" s="1" t="s">
        <v>21</v>
      </c>
      <c r="D37" t="s">
        <v>17</v>
      </c>
      <c r="E37">
        <v>135</v>
      </c>
      <c r="F37">
        <v>2</v>
      </c>
      <c r="N37" s="4"/>
      <c r="O37" s="4"/>
      <c r="P37" s="4"/>
      <c r="Q37" s="4"/>
      <c r="R37" s="4"/>
      <c r="S37" s="16"/>
      <c r="V37" s="5" t="s">
        <v>68</v>
      </c>
      <c r="W37" s="30"/>
      <c r="AH37" s="15" t="s">
        <v>99</v>
      </c>
      <c r="AI37" s="15"/>
      <c r="AJ37" s="15"/>
      <c r="AK37" s="15"/>
      <c r="BD37" t="s">
        <v>22</v>
      </c>
      <c r="BE37">
        <v>1979</v>
      </c>
      <c r="BK37" t="s">
        <v>33</v>
      </c>
      <c r="BP37" t="s">
        <v>51</v>
      </c>
      <c r="BR37" t="s">
        <v>25</v>
      </c>
      <c r="BV37" t="s">
        <v>50</v>
      </c>
      <c r="BX37">
        <v>5</v>
      </c>
    </row>
    <row r="38" spans="1:76" x14ac:dyDescent="0.2">
      <c r="A38" t="s">
        <v>41</v>
      </c>
      <c r="B38" s="1" t="s">
        <v>20</v>
      </c>
      <c r="C38" s="1" t="s">
        <v>21</v>
      </c>
      <c r="D38" t="s">
        <v>17</v>
      </c>
      <c r="E38">
        <v>90</v>
      </c>
      <c r="F38">
        <v>2</v>
      </c>
      <c r="N38" s="4"/>
      <c r="O38" s="4"/>
      <c r="P38" s="4"/>
      <c r="Q38" s="4"/>
      <c r="R38" s="4"/>
      <c r="S38" s="16"/>
      <c r="V38" s="8" t="s">
        <v>69</v>
      </c>
      <c r="W38" s="30"/>
      <c r="AH38" s="15" t="s">
        <v>99</v>
      </c>
      <c r="AI38" s="15"/>
      <c r="AJ38" s="15"/>
      <c r="AK38" s="15"/>
      <c r="BD38" t="s">
        <v>22</v>
      </c>
      <c r="BE38">
        <v>1979</v>
      </c>
      <c r="BK38" t="s">
        <v>33</v>
      </c>
      <c r="BP38" t="s">
        <v>51</v>
      </c>
      <c r="BR38" t="s">
        <v>25</v>
      </c>
      <c r="BV38" t="s">
        <v>50</v>
      </c>
      <c r="BX38">
        <v>5</v>
      </c>
    </row>
    <row r="39" spans="1:76" x14ac:dyDescent="0.2">
      <c r="A39" t="s">
        <v>41</v>
      </c>
      <c r="B39" s="1" t="s">
        <v>20</v>
      </c>
      <c r="C39" s="1" t="s">
        <v>21</v>
      </c>
      <c r="D39" t="s">
        <v>17</v>
      </c>
      <c r="E39">
        <v>55</v>
      </c>
      <c r="F39">
        <v>8</v>
      </c>
      <c r="N39" s="4"/>
      <c r="O39" s="4"/>
      <c r="P39" s="4"/>
      <c r="Q39" s="4"/>
      <c r="R39" s="4"/>
      <c r="S39" s="16"/>
      <c r="V39" s="8" t="s">
        <v>69</v>
      </c>
      <c r="W39" s="30"/>
      <c r="AH39" s="15" t="s">
        <v>99</v>
      </c>
      <c r="AI39" s="15"/>
      <c r="AJ39" s="15"/>
      <c r="AK39" s="15"/>
      <c r="BD39" t="s">
        <v>22</v>
      </c>
      <c r="BE39">
        <v>1979</v>
      </c>
      <c r="BH39" t="s">
        <v>37</v>
      </c>
      <c r="BK39" t="s">
        <v>33</v>
      </c>
      <c r="BP39" t="s">
        <v>51</v>
      </c>
      <c r="BR39" t="s">
        <v>25</v>
      </c>
      <c r="BV39" t="s">
        <v>50</v>
      </c>
      <c r="BX39">
        <v>5</v>
      </c>
    </row>
    <row r="40" spans="1:76" x14ac:dyDescent="0.2">
      <c r="A40" t="s">
        <v>53</v>
      </c>
      <c r="B40" s="1" t="s">
        <v>20</v>
      </c>
      <c r="C40" s="1" t="s">
        <v>21</v>
      </c>
      <c r="D40" t="s">
        <v>17</v>
      </c>
      <c r="E40">
        <v>60</v>
      </c>
      <c r="F40">
        <v>2</v>
      </c>
      <c r="N40" s="4"/>
      <c r="O40" s="4"/>
      <c r="P40" s="4"/>
      <c r="Q40" s="4"/>
      <c r="R40" s="4"/>
      <c r="S40" s="16"/>
      <c r="V40" s="8" t="s">
        <v>69</v>
      </c>
      <c r="W40" s="30"/>
      <c r="AH40" s="15" t="s">
        <v>99</v>
      </c>
      <c r="AI40" s="15"/>
      <c r="AJ40" s="15"/>
      <c r="AK40" s="15"/>
      <c r="BD40" t="s">
        <v>22</v>
      </c>
      <c r="BE40">
        <v>1979</v>
      </c>
      <c r="BK40" t="s">
        <v>33</v>
      </c>
      <c r="BP40" t="s">
        <v>51</v>
      </c>
      <c r="BR40" t="s">
        <v>25</v>
      </c>
      <c r="BS40" t="s">
        <v>30</v>
      </c>
      <c r="BT40" t="s">
        <v>31</v>
      </c>
      <c r="BV40" t="s">
        <v>50</v>
      </c>
      <c r="BX40">
        <v>5</v>
      </c>
    </row>
    <row r="41" spans="1:76" x14ac:dyDescent="0.2">
      <c r="A41" t="s">
        <v>52</v>
      </c>
      <c r="B41" s="1" t="s">
        <v>20</v>
      </c>
      <c r="C41" s="1" t="s">
        <v>21</v>
      </c>
      <c r="D41" t="s">
        <v>17</v>
      </c>
      <c r="E41">
        <v>135</v>
      </c>
      <c r="F41">
        <v>0</v>
      </c>
      <c r="N41" s="4"/>
      <c r="O41" s="4"/>
      <c r="P41" s="4"/>
      <c r="Q41" s="4"/>
      <c r="R41" s="4"/>
      <c r="S41" s="16"/>
      <c r="V41" s="6" t="s">
        <v>69</v>
      </c>
      <c r="W41" s="30"/>
      <c r="AH41" s="15" t="s">
        <v>99</v>
      </c>
      <c r="AI41" s="15"/>
      <c r="AJ41" s="15"/>
      <c r="AK41" s="15"/>
      <c r="BD41" t="s">
        <v>22</v>
      </c>
      <c r="BE41">
        <v>1979</v>
      </c>
      <c r="BK41" t="s">
        <v>33</v>
      </c>
      <c r="BP41" t="s">
        <v>24</v>
      </c>
      <c r="BQ41" t="s">
        <v>71</v>
      </c>
      <c r="BR41" t="s">
        <v>25</v>
      </c>
      <c r="BV41" t="s">
        <v>50</v>
      </c>
      <c r="BX41">
        <v>5</v>
      </c>
    </row>
    <row r="42" spans="1:76" s="11" customFormat="1" x14ac:dyDescent="0.2">
      <c r="A42" s="11" t="s">
        <v>52</v>
      </c>
      <c r="B42" s="12" t="s">
        <v>20</v>
      </c>
      <c r="C42" s="12" t="s">
        <v>21</v>
      </c>
      <c r="D42" s="11" t="s">
        <v>17</v>
      </c>
      <c r="E42" s="11">
        <v>135</v>
      </c>
      <c r="G42" s="11">
        <v>7</v>
      </c>
      <c r="AH42" s="18" t="s">
        <v>99</v>
      </c>
      <c r="AI42" s="18"/>
      <c r="AJ42" s="18"/>
      <c r="AK42" s="18"/>
      <c r="BD42" s="11" t="s">
        <v>22</v>
      </c>
      <c r="BE42" s="11">
        <v>1979</v>
      </c>
      <c r="BK42" s="11" t="s">
        <v>33</v>
      </c>
      <c r="BP42" s="11" t="s">
        <v>24</v>
      </c>
      <c r="BQ42" s="11" t="s">
        <v>71</v>
      </c>
      <c r="BR42" s="11" t="s">
        <v>25</v>
      </c>
      <c r="BV42" s="11" t="s">
        <v>50</v>
      </c>
      <c r="BX42" s="11">
        <v>5</v>
      </c>
    </row>
    <row r="43" spans="1:76" x14ac:dyDescent="0.2">
      <c r="A43" t="s">
        <v>15</v>
      </c>
      <c r="B43" s="1" t="s">
        <v>20</v>
      </c>
      <c r="C43" s="1" t="s">
        <v>21</v>
      </c>
      <c r="D43" t="s">
        <v>17</v>
      </c>
      <c r="E43" s="15">
        <v>311</v>
      </c>
      <c r="F43" s="15">
        <v>193</v>
      </c>
      <c r="V43" s="8" t="s">
        <v>67</v>
      </c>
      <c r="W43" s="30"/>
      <c r="AH43" s="15" t="s">
        <v>99</v>
      </c>
      <c r="AI43" s="15"/>
      <c r="AJ43" s="15"/>
      <c r="AK43" s="15"/>
      <c r="BD43" t="s">
        <v>22</v>
      </c>
      <c r="BE43">
        <v>1979</v>
      </c>
      <c r="BH43" t="s">
        <v>72</v>
      </c>
      <c r="BK43" t="s">
        <v>33</v>
      </c>
      <c r="BP43" s="15" t="s">
        <v>73</v>
      </c>
      <c r="BR43" t="s">
        <v>25</v>
      </c>
      <c r="BS43" t="s">
        <v>29</v>
      </c>
      <c r="BT43" t="s">
        <v>27</v>
      </c>
      <c r="BV43" t="s">
        <v>50</v>
      </c>
      <c r="BX43" s="15">
        <v>6</v>
      </c>
    </row>
    <row r="44" spans="1:76" x14ac:dyDescent="0.2">
      <c r="A44" t="s">
        <v>15</v>
      </c>
      <c r="B44" s="1" t="s">
        <v>20</v>
      </c>
      <c r="C44" s="1" t="s">
        <v>21</v>
      </c>
      <c r="D44" t="s">
        <v>17</v>
      </c>
      <c r="E44" s="15">
        <v>185</v>
      </c>
      <c r="F44" s="15">
        <v>114</v>
      </c>
      <c r="T44">
        <f>36*60*60</f>
        <v>129600</v>
      </c>
      <c r="V44" s="8" t="s">
        <v>67</v>
      </c>
      <c r="W44" s="30"/>
      <c r="AH44" s="15" t="s">
        <v>99</v>
      </c>
      <c r="AI44" s="15"/>
      <c r="AJ44" s="15"/>
      <c r="AK44" s="15"/>
      <c r="BD44" t="s">
        <v>22</v>
      </c>
      <c r="BE44">
        <v>1979</v>
      </c>
      <c r="BH44" t="s">
        <v>28</v>
      </c>
      <c r="BK44" t="s">
        <v>33</v>
      </c>
      <c r="BP44" s="15" t="s">
        <v>73</v>
      </c>
      <c r="BR44" t="s">
        <v>25</v>
      </c>
      <c r="BS44" t="s">
        <v>29</v>
      </c>
      <c r="BT44" t="s">
        <v>27</v>
      </c>
      <c r="BV44" t="s">
        <v>50</v>
      </c>
      <c r="BX44" s="15">
        <v>6</v>
      </c>
    </row>
    <row r="45" spans="1:76" x14ac:dyDescent="0.2">
      <c r="A45" t="s">
        <v>15</v>
      </c>
      <c r="B45" s="1" t="s">
        <v>20</v>
      </c>
      <c r="C45" s="1" t="s">
        <v>21</v>
      </c>
      <c r="D45" t="s">
        <v>17</v>
      </c>
      <c r="E45" s="15">
        <v>53</v>
      </c>
      <c r="F45" s="15">
        <v>33</v>
      </c>
      <c r="V45" s="8" t="s">
        <v>67</v>
      </c>
      <c r="W45" s="30"/>
      <c r="AH45" s="15" t="s">
        <v>99</v>
      </c>
      <c r="AI45" s="15"/>
      <c r="AJ45" s="15"/>
      <c r="AK45" s="15"/>
      <c r="BD45" t="s">
        <v>22</v>
      </c>
      <c r="BE45">
        <v>1979</v>
      </c>
      <c r="BH45" t="s">
        <v>59</v>
      </c>
      <c r="BK45" t="s">
        <v>33</v>
      </c>
      <c r="BP45" s="15" t="s">
        <v>73</v>
      </c>
      <c r="BR45" t="s">
        <v>25</v>
      </c>
      <c r="BS45" t="s">
        <v>29</v>
      </c>
      <c r="BT45" t="s">
        <v>27</v>
      </c>
      <c r="BV45" t="s">
        <v>50</v>
      </c>
      <c r="BX45" s="15">
        <v>6</v>
      </c>
    </row>
    <row r="46" spans="1:76" x14ac:dyDescent="0.2">
      <c r="A46" t="s">
        <v>15</v>
      </c>
      <c r="B46" s="1" t="s">
        <v>20</v>
      </c>
      <c r="C46" s="1" t="s">
        <v>21</v>
      </c>
      <c r="D46" t="s">
        <v>17</v>
      </c>
      <c r="E46" s="15">
        <v>104</v>
      </c>
      <c r="F46" s="15">
        <v>91</v>
      </c>
      <c r="V46" s="8" t="s">
        <v>67</v>
      </c>
      <c r="W46" s="30"/>
      <c r="AH46" s="15" t="s">
        <v>99</v>
      </c>
      <c r="AI46" s="15"/>
      <c r="AJ46" s="15"/>
      <c r="AK46" s="15"/>
      <c r="BD46" t="s">
        <v>22</v>
      </c>
      <c r="BE46">
        <v>1979</v>
      </c>
      <c r="BH46" t="s">
        <v>60</v>
      </c>
      <c r="BK46" t="s">
        <v>33</v>
      </c>
      <c r="BP46" s="15" t="s">
        <v>73</v>
      </c>
      <c r="BR46" t="s">
        <v>25</v>
      </c>
      <c r="BS46" t="s">
        <v>29</v>
      </c>
      <c r="BT46" t="s">
        <v>27</v>
      </c>
      <c r="BV46" t="s">
        <v>50</v>
      </c>
      <c r="BX46" s="15">
        <v>6</v>
      </c>
    </row>
    <row r="47" spans="1:76" x14ac:dyDescent="0.2">
      <c r="A47" t="s">
        <v>15</v>
      </c>
      <c r="B47" s="1" t="s">
        <v>20</v>
      </c>
      <c r="C47" s="1" t="s">
        <v>21</v>
      </c>
      <c r="D47" t="s">
        <v>17</v>
      </c>
      <c r="E47" s="15">
        <v>45</v>
      </c>
      <c r="F47" s="15">
        <v>30</v>
      </c>
      <c r="V47" s="8" t="s">
        <v>67</v>
      </c>
      <c r="W47" s="30"/>
      <c r="AH47" s="15" t="s">
        <v>99</v>
      </c>
      <c r="AI47" s="15"/>
      <c r="AJ47" s="15"/>
      <c r="AK47" s="15"/>
      <c r="BD47" t="s">
        <v>22</v>
      </c>
      <c r="BE47">
        <v>1979</v>
      </c>
      <c r="BH47" t="s">
        <v>61</v>
      </c>
      <c r="BK47" t="s">
        <v>33</v>
      </c>
      <c r="BP47" s="15" t="s">
        <v>73</v>
      </c>
      <c r="BR47" t="s">
        <v>25</v>
      </c>
      <c r="BS47" t="s">
        <v>29</v>
      </c>
      <c r="BT47" t="s">
        <v>27</v>
      </c>
      <c r="BV47" t="s">
        <v>50</v>
      </c>
      <c r="BX47" s="15">
        <v>6</v>
      </c>
    </row>
    <row r="48" spans="1:76" x14ac:dyDescent="0.2">
      <c r="A48" t="s">
        <v>15</v>
      </c>
      <c r="B48" s="1" t="s">
        <v>20</v>
      </c>
      <c r="C48" s="1" t="s">
        <v>21</v>
      </c>
      <c r="D48" t="s">
        <v>17</v>
      </c>
      <c r="E48" s="15">
        <v>98</v>
      </c>
      <c r="F48" s="15">
        <v>96</v>
      </c>
      <c r="V48" s="8" t="s">
        <v>67</v>
      </c>
      <c r="W48" s="30"/>
      <c r="AH48" s="15" t="s">
        <v>99</v>
      </c>
      <c r="AI48" s="15"/>
      <c r="AJ48" s="15"/>
      <c r="AK48" s="15"/>
      <c r="BD48" t="s">
        <v>22</v>
      </c>
      <c r="BE48">
        <v>1979</v>
      </c>
      <c r="BH48" t="s">
        <v>62</v>
      </c>
      <c r="BJ48" t="s">
        <v>74</v>
      </c>
      <c r="BK48" t="s">
        <v>33</v>
      </c>
      <c r="BP48" s="15" t="s">
        <v>73</v>
      </c>
      <c r="BR48" t="s">
        <v>25</v>
      </c>
      <c r="BS48" t="s">
        <v>29</v>
      </c>
      <c r="BT48" t="s">
        <v>27</v>
      </c>
      <c r="BV48" t="s">
        <v>50</v>
      </c>
      <c r="BX48" s="15">
        <v>6</v>
      </c>
    </row>
    <row r="49" spans="1:76" x14ac:dyDescent="0.2">
      <c r="A49" t="s">
        <v>15</v>
      </c>
      <c r="B49" s="1" t="s">
        <v>20</v>
      </c>
      <c r="C49" s="1" t="s">
        <v>21</v>
      </c>
      <c r="D49" t="s">
        <v>17</v>
      </c>
      <c r="E49" s="15">
        <v>62</v>
      </c>
      <c r="F49" s="15">
        <v>48</v>
      </c>
      <c r="V49" s="8" t="s">
        <v>67</v>
      </c>
      <c r="W49" s="30"/>
      <c r="AH49" s="15" t="s">
        <v>99</v>
      </c>
      <c r="AI49" s="15"/>
      <c r="AJ49" s="15"/>
      <c r="AK49" s="15"/>
      <c r="BD49" t="s">
        <v>22</v>
      </c>
      <c r="BE49">
        <v>1979</v>
      </c>
      <c r="BH49" t="s">
        <v>63</v>
      </c>
      <c r="BJ49" t="s">
        <v>74</v>
      </c>
      <c r="BK49" t="s">
        <v>33</v>
      </c>
      <c r="BP49" s="15" t="s">
        <v>73</v>
      </c>
      <c r="BR49" t="s">
        <v>25</v>
      </c>
      <c r="BS49" t="s">
        <v>29</v>
      </c>
      <c r="BT49" t="s">
        <v>27</v>
      </c>
      <c r="BV49" t="s">
        <v>50</v>
      </c>
      <c r="BX49" s="15">
        <v>6</v>
      </c>
    </row>
    <row r="50" spans="1:76" s="16" customFormat="1" x14ac:dyDescent="0.2">
      <c r="A50" s="16" t="s">
        <v>15</v>
      </c>
      <c r="B50" s="17" t="s">
        <v>20</v>
      </c>
      <c r="C50" s="17" t="s">
        <v>21</v>
      </c>
      <c r="D50" s="16" t="s">
        <v>17</v>
      </c>
      <c r="E50" s="15">
        <v>44</v>
      </c>
      <c r="F50" s="15">
        <v>28</v>
      </c>
      <c r="V50" s="8" t="s">
        <v>67</v>
      </c>
      <c r="W50" s="30"/>
      <c r="AH50" s="15" t="s">
        <v>99</v>
      </c>
      <c r="AI50" s="15"/>
      <c r="AJ50" s="15"/>
      <c r="AK50" s="15"/>
      <c r="BD50" s="16" t="s">
        <v>22</v>
      </c>
      <c r="BE50" s="16">
        <v>1979</v>
      </c>
      <c r="BH50" s="16" t="s">
        <v>64</v>
      </c>
      <c r="BJ50" t="s">
        <v>74</v>
      </c>
      <c r="BK50" s="16" t="s">
        <v>33</v>
      </c>
      <c r="BP50" s="15" t="s">
        <v>73</v>
      </c>
      <c r="BR50" t="s">
        <v>25</v>
      </c>
      <c r="BS50" t="s">
        <v>29</v>
      </c>
      <c r="BT50" t="s">
        <v>27</v>
      </c>
      <c r="BU50"/>
      <c r="BV50" t="s">
        <v>50</v>
      </c>
      <c r="BX50" s="15">
        <v>6</v>
      </c>
    </row>
    <row r="51" spans="1:76" x14ac:dyDescent="0.2">
      <c r="A51" s="16" t="s">
        <v>15</v>
      </c>
      <c r="B51" s="17" t="s">
        <v>20</v>
      </c>
      <c r="C51" s="17" t="s">
        <v>21</v>
      </c>
      <c r="D51" s="16" t="s">
        <v>17</v>
      </c>
      <c r="E51" s="15">
        <v>311</v>
      </c>
      <c r="F51" s="15">
        <v>44</v>
      </c>
      <c r="V51" s="8" t="s">
        <v>68</v>
      </c>
      <c r="W51" s="30"/>
      <c r="AH51" s="15" t="s">
        <v>99</v>
      </c>
      <c r="AI51" s="15"/>
      <c r="AJ51" s="15"/>
      <c r="AK51" s="15"/>
      <c r="BD51" s="16" t="s">
        <v>22</v>
      </c>
      <c r="BE51" s="16">
        <v>1979</v>
      </c>
      <c r="BF51" s="16"/>
      <c r="BG51" s="16"/>
      <c r="BH51" t="s">
        <v>72</v>
      </c>
      <c r="BK51" s="16" t="s">
        <v>33</v>
      </c>
      <c r="BP51" s="15" t="s">
        <v>73</v>
      </c>
      <c r="BR51" t="s">
        <v>25</v>
      </c>
      <c r="BS51" t="s">
        <v>29</v>
      </c>
      <c r="BT51" t="s">
        <v>27</v>
      </c>
      <c r="BV51" t="s">
        <v>50</v>
      </c>
      <c r="BX51" s="15">
        <v>6</v>
      </c>
    </row>
    <row r="52" spans="1:76" x14ac:dyDescent="0.2">
      <c r="A52" s="16" t="s">
        <v>15</v>
      </c>
      <c r="B52" s="17" t="s">
        <v>20</v>
      </c>
      <c r="C52" s="17" t="s">
        <v>21</v>
      </c>
      <c r="D52" s="16" t="s">
        <v>17</v>
      </c>
      <c r="E52" s="15">
        <v>185</v>
      </c>
      <c r="F52" s="15">
        <v>27</v>
      </c>
      <c r="V52" s="8" t="s">
        <v>68</v>
      </c>
      <c r="W52" s="30"/>
      <c r="AH52" s="15" t="s">
        <v>99</v>
      </c>
      <c r="AI52" s="15"/>
      <c r="AJ52" s="15"/>
      <c r="AK52" s="15"/>
      <c r="BD52" s="16" t="s">
        <v>22</v>
      </c>
      <c r="BE52" s="16">
        <v>1979</v>
      </c>
      <c r="BF52" s="16"/>
      <c r="BG52" s="16"/>
      <c r="BH52" t="s">
        <v>28</v>
      </c>
      <c r="BK52" s="16" t="s">
        <v>33</v>
      </c>
      <c r="BP52" s="15" t="s">
        <v>73</v>
      </c>
      <c r="BR52" t="s">
        <v>25</v>
      </c>
      <c r="BS52" t="s">
        <v>29</v>
      </c>
      <c r="BT52" t="s">
        <v>27</v>
      </c>
      <c r="BV52" t="s">
        <v>50</v>
      </c>
      <c r="BX52" s="15">
        <v>6</v>
      </c>
    </row>
    <row r="53" spans="1:76" x14ac:dyDescent="0.2">
      <c r="A53" s="16" t="s">
        <v>15</v>
      </c>
      <c r="B53" s="17" t="s">
        <v>20</v>
      </c>
      <c r="C53" s="17" t="s">
        <v>21</v>
      </c>
      <c r="D53" s="16" t="s">
        <v>17</v>
      </c>
      <c r="E53" s="15">
        <v>53</v>
      </c>
      <c r="F53" s="15">
        <v>7</v>
      </c>
      <c r="V53" s="8" t="s">
        <v>68</v>
      </c>
      <c r="W53" s="30"/>
      <c r="AH53" s="15" t="s">
        <v>99</v>
      </c>
      <c r="AI53" s="15"/>
      <c r="AJ53" s="15"/>
      <c r="AK53" s="15"/>
      <c r="BD53" s="16" t="s">
        <v>22</v>
      </c>
      <c r="BE53" s="16">
        <v>1979</v>
      </c>
      <c r="BF53" s="16"/>
      <c r="BG53" s="16"/>
      <c r="BH53" t="s">
        <v>59</v>
      </c>
      <c r="BK53" s="16" t="s">
        <v>33</v>
      </c>
      <c r="BP53" s="15" t="s">
        <v>73</v>
      </c>
      <c r="BR53" t="s">
        <v>25</v>
      </c>
      <c r="BS53" t="s">
        <v>29</v>
      </c>
      <c r="BT53" t="s">
        <v>27</v>
      </c>
      <c r="BV53" t="s">
        <v>50</v>
      </c>
      <c r="BX53" s="15">
        <v>6</v>
      </c>
    </row>
    <row r="54" spans="1:76" x14ac:dyDescent="0.2">
      <c r="A54" s="16" t="s">
        <v>15</v>
      </c>
      <c r="B54" s="17" t="s">
        <v>20</v>
      </c>
      <c r="C54" s="17" t="s">
        <v>21</v>
      </c>
      <c r="D54" s="16" t="s">
        <v>17</v>
      </c>
      <c r="E54" s="15">
        <v>104</v>
      </c>
      <c r="F54" s="15">
        <v>7</v>
      </c>
      <c r="V54" s="8" t="s">
        <v>68</v>
      </c>
      <c r="W54" s="30"/>
      <c r="AH54" s="15" t="s">
        <v>99</v>
      </c>
      <c r="AI54" s="15"/>
      <c r="AJ54" s="15"/>
      <c r="AK54" s="15"/>
      <c r="BD54" s="16" t="s">
        <v>22</v>
      </c>
      <c r="BE54" s="16">
        <v>1979</v>
      </c>
      <c r="BF54" s="16"/>
      <c r="BG54" s="16"/>
      <c r="BH54" t="s">
        <v>60</v>
      </c>
      <c r="BK54" s="16" t="s">
        <v>33</v>
      </c>
      <c r="BP54" s="15" t="s">
        <v>73</v>
      </c>
      <c r="BR54" t="s">
        <v>25</v>
      </c>
      <c r="BS54" t="s">
        <v>29</v>
      </c>
      <c r="BT54" t="s">
        <v>27</v>
      </c>
      <c r="BV54" t="s">
        <v>50</v>
      </c>
      <c r="BX54" s="15">
        <v>6</v>
      </c>
    </row>
    <row r="55" spans="1:76" x14ac:dyDescent="0.2">
      <c r="A55" s="16" t="s">
        <v>15</v>
      </c>
      <c r="B55" s="17" t="s">
        <v>20</v>
      </c>
      <c r="C55" s="17" t="s">
        <v>21</v>
      </c>
      <c r="D55" s="16" t="s">
        <v>17</v>
      </c>
      <c r="E55" s="15">
        <v>45</v>
      </c>
      <c r="F55" s="15">
        <v>6</v>
      </c>
      <c r="V55" s="8" t="s">
        <v>68</v>
      </c>
      <c r="W55" s="30"/>
      <c r="AH55" s="15" t="s">
        <v>99</v>
      </c>
      <c r="AI55" s="15"/>
      <c r="AJ55" s="15"/>
      <c r="AK55" s="15"/>
      <c r="BD55" s="16" t="s">
        <v>22</v>
      </c>
      <c r="BE55" s="16">
        <v>1979</v>
      </c>
      <c r="BF55" s="16"/>
      <c r="BG55" s="16"/>
      <c r="BH55" t="s">
        <v>61</v>
      </c>
      <c r="BK55" s="16" t="s">
        <v>33</v>
      </c>
      <c r="BP55" s="15" t="s">
        <v>73</v>
      </c>
      <c r="BR55" t="s">
        <v>25</v>
      </c>
      <c r="BS55" t="s">
        <v>29</v>
      </c>
      <c r="BT55" t="s">
        <v>27</v>
      </c>
      <c r="BV55" t="s">
        <v>50</v>
      </c>
      <c r="BX55" s="15">
        <v>6</v>
      </c>
    </row>
    <row r="56" spans="1:76" x14ac:dyDescent="0.2">
      <c r="A56" s="16" t="s">
        <v>15</v>
      </c>
      <c r="B56" s="17" t="s">
        <v>20</v>
      </c>
      <c r="C56" s="17" t="s">
        <v>21</v>
      </c>
      <c r="D56" s="16" t="s">
        <v>17</v>
      </c>
      <c r="E56" s="15">
        <v>98</v>
      </c>
      <c r="F56" s="15">
        <v>2</v>
      </c>
      <c r="V56" s="8" t="s">
        <v>68</v>
      </c>
      <c r="W56" s="30"/>
      <c r="AH56" s="15" t="s">
        <v>99</v>
      </c>
      <c r="AI56" s="15"/>
      <c r="AJ56" s="15"/>
      <c r="AK56" s="15"/>
      <c r="BD56" s="16" t="s">
        <v>22</v>
      </c>
      <c r="BE56" s="16">
        <v>1979</v>
      </c>
      <c r="BF56" s="16"/>
      <c r="BG56" s="16"/>
      <c r="BH56" t="s">
        <v>62</v>
      </c>
      <c r="BJ56" t="s">
        <v>74</v>
      </c>
      <c r="BK56" s="16" t="s">
        <v>33</v>
      </c>
      <c r="BP56" s="15" t="s">
        <v>73</v>
      </c>
      <c r="BR56" t="s">
        <v>25</v>
      </c>
      <c r="BS56" t="s">
        <v>29</v>
      </c>
      <c r="BT56" t="s">
        <v>27</v>
      </c>
      <c r="BV56" t="s">
        <v>50</v>
      </c>
      <c r="BX56" s="15">
        <v>6</v>
      </c>
    </row>
    <row r="57" spans="1:76" x14ac:dyDescent="0.2">
      <c r="A57" s="16" t="s">
        <v>15</v>
      </c>
      <c r="B57" s="17" t="s">
        <v>20</v>
      </c>
      <c r="C57" s="17" t="s">
        <v>21</v>
      </c>
      <c r="D57" s="16" t="s">
        <v>17</v>
      </c>
      <c r="E57" s="15">
        <v>62</v>
      </c>
      <c r="F57" s="15">
        <v>5</v>
      </c>
      <c r="V57" s="8" t="s">
        <v>68</v>
      </c>
      <c r="W57" s="30"/>
      <c r="AH57" s="15" t="s">
        <v>99</v>
      </c>
      <c r="AI57" s="15"/>
      <c r="AJ57" s="15"/>
      <c r="AK57" s="15"/>
      <c r="BD57" s="16" t="s">
        <v>22</v>
      </c>
      <c r="BE57" s="16">
        <v>1979</v>
      </c>
      <c r="BF57" s="16"/>
      <c r="BG57" s="16"/>
      <c r="BH57" t="s">
        <v>63</v>
      </c>
      <c r="BJ57" t="s">
        <v>74</v>
      </c>
      <c r="BK57" s="16" t="s">
        <v>33</v>
      </c>
      <c r="BP57" s="15" t="s">
        <v>73</v>
      </c>
      <c r="BR57" t="s">
        <v>25</v>
      </c>
      <c r="BS57" t="s">
        <v>29</v>
      </c>
      <c r="BT57" t="s">
        <v>27</v>
      </c>
      <c r="BV57" t="s">
        <v>50</v>
      </c>
      <c r="BX57" s="15">
        <v>6</v>
      </c>
    </row>
    <row r="58" spans="1:76" x14ac:dyDescent="0.2">
      <c r="A58" s="16" t="s">
        <v>15</v>
      </c>
      <c r="B58" s="17" t="s">
        <v>20</v>
      </c>
      <c r="C58" s="17" t="s">
        <v>21</v>
      </c>
      <c r="D58" s="16" t="s">
        <v>17</v>
      </c>
      <c r="E58" s="15">
        <v>44</v>
      </c>
      <c r="F58" s="15">
        <v>1</v>
      </c>
      <c r="V58" s="8" t="s">
        <v>68</v>
      </c>
      <c r="W58" s="30"/>
      <c r="AH58" s="15" t="s">
        <v>99</v>
      </c>
      <c r="AI58" s="15"/>
      <c r="AJ58" s="15"/>
      <c r="AK58" s="15"/>
      <c r="BD58" s="16" t="s">
        <v>22</v>
      </c>
      <c r="BE58" s="16">
        <v>1979</v>
      </c>
      <c r="BF58" s="16"/>
      <c r="BG58" s="16"/>
      <c r="BH58" s="16" t="s">
        <v>64</v>
      </c>
      <c r="BI58" s="16"/>
      <c r="BJ58" t="s">
        <v>74</v>
      </c>
      <c r="BK58" s="16" t="s">
        <v>33</v>
      </c>
      <c r="BP58" s="15" t="s">
        <v>73</v>
      </c>
      <c r="BR58" t="s">
        <v>25</v>
      </c>
      <c r="BS58" t="s">
        <v>29</v>
      </c>
      <c r="BT58" t="s">
        <v>27</v>
      </c>
      <c r="BV58" t="s">
        <v>50</v>
      </c>
      <c r="BX58" s="15">
        <v>6</v>
      </c>
    </row>
    <row r="59" spans="1:76" x14ac:dyDescent="0.2">
      <c r="A59" s="16" t="s">
        <v>15</v>
      </c>
      <c r="B59" s="17" t="s">
        <v>20</v>
      </c>
      <c r="C59" s="17" t="s">
        <v>21</v>
      </c>
      <c r="D59" s="16" t="s">
        <v>17</v>
      </c>
      <c r="E59" s="15">
        <v>311</v>
      </c>
      <c r="F59" s="15">
        <v>74</v>
      </c>
      <c r="V59" s="8" t="s">
        <v>69</v>
      </c>
      <c r="W59" s="30"/>
      <c r="AH59" s="15" t="s">
        <v>99</v>
      </c>
      <c r="AI59" s="15"/>
      <c r="AJ59" s="15"/>
      <c r="AK59" s="15"/>
      <c r="BD59" s="16" t="s">
        <v>22</v>
      </c>
      <c r="BE59" s="16">
        <v>1979</v>
      </c>
      <c r="BF59" s="16"/>
      <c r="BG59" s="16"/>
      <c r="BH59" t="s">
        <v>72</v>
      </c>
      <c r="BK59" s="16" t="s">
        <v>33</v>
      </c>
      <c r="BP59" s="15" t="s">
        <v>73</v>
      </c>
      <c r="BR59" t="s">
        <v>25</v>
      </c>
      <c r="BS59" t="s">
        <v>29</v>
      </c>
      <c r="BT59" t="s">
        <v>27</v>
      </c>
      <c r="BV59" t="s">
        <v>50</v>
      </c>
      <c r="BX59" s="15">
        <v>6</v>
      </c>
    </row>
    <row r="60" spans="1:76" x14ac:dyDescent="0.2">
      <c r="A60" s="16" t="s">
        <v>15</v>
      </c>
      <c r="B60" s="17" t="s">
        <v>20</v>
      </c>
      <c r="C60" s="17" t="s">
        <v>21</v>
      </c>
      <c r="D60" s="16" t="s">
        <v>17</v>
      </c>
      <c r="E60" s="15">
        <v>185</v>
      </c>
      <c r="F60" s="15">
        <v>44</v>
      </c>
      <c r="V60" s="8" t="s">
        <v>69</v>
      </c>
      <c r="W60" s="30"/>
      <c r="AH60" s="15" t="s">
        <v>99</v>
      </c>
      <c r="AI60" s="15"/>
      <c r="AJ60" s="15"/>
      <c r="AK60" s="15"/>
      <c r="BD60" s="16" t="s">
        <v>22</v>
      </c>
      <c r="BE60" s="16">
        <v>1979</v>
      </c>
      <c r="BF60" s="16"/>
      <c r="BG60" s="16"/>
      <c r="BH60" t="s">
        <v>28</v>
      </c>
      <c r="BK60" s="16" t="s">
        <v>33</v>
      </c>
      <c r="BP60" s="15" t="s">
        <v>73</v>
      </c>
      <c r="BR60" t="s">
        <v>25</v>
      </c>
      <c r="BS60" t="s">
        <v>29</v>
      </c>
      <c r="BT60" t="s">
        <v>27</v>
      </c>
      <c r="BV60" t="s">
        <v>50</v>
      </c>
      <c r="BX60" s="15">
        <v>6</v>
      </c>
    </row>
    <row r="61" spans="1:76" x14ac:dyDescent="0.2">
      <c r="A61" s="16" t="s">
        <v>15</v>
      </c>
      <c r="B61" s="17" t="s">
        <v>20</v>
      </c>
      <c r="C61" s="17" t="s">
        <v>21</v>
      </c>
      <c r="D61" s="16" t="s">
        <v>17</v>
      </c>
      <c r="E61" s="15">
        <v>53</v>
      </c>
      <c r="F61" s="15">
        <v>13</v>
      </c>
      <c r="V61" s="8" t="s">
        <v>69</v>
      </c>
      <c r="W61" s="30"/>
      <c r="AH61" s="15" t="s">
        <v>99</v>
      </c>
      <c r="AI61" s="15"/>
      <c r="AJ61" s="15"/>
      <c r="AK61" s="15"/>
      <c r="BD61" s="16" t="s">
        <v>22</v>
      </c>
      <c r="BE61" s="16">
        <v>1979</v>
      </c>
      <c r="BF61" s="16"/>
      <c r="BG61" s="16"/>
      <c r="BH61" t="s">
        <v>59</v>
      </c>
      <c r="BK61" s="16" t="s">
        <v>33</v>
      </c>
      <c r="BP61" s="15" t="s">
        <v>73</v>
      </c>
      <c r="BR61" t="s">
        <v>25</v>
      </c>
      <c r="BS61" t="s">
        <v>29</v>
      </c>
      <c r="BT61" t="s">
        <v>27</v>
      </c>
      <c r="BV61" t="s">
        <v>50</v>
      </c>
      <c r="BX61" s="15">
        <v>6</v>
      </c>
    </row>
    <row r="62" spans="1:76" x14ac:dyDescent="0.2">
      <c r="A62" s="16" t="s">
        <v>15</v>
      </c>
      <c r="B62" s="17" t="s">
        <v>20</v>
      </c>
      <c r="C62" s="17" t="s">
        <v>21</v>
      </c>
      <c r="D62" s="16" t="s">
        <v>17</v>
      </c>
      <c r="E62" s="15">
        <v>104</v>
      </c>
      <c r="F62" s="15">
        <v>6</v>
      </c>
      <c r="V62" s="8" t="s">
        <v>69</v>
      </c>
      <c r="W62" s="30"/>
      <c r="AH62" s="15" t="s">
        <v>99</v>
      </c>
      <c r="AI62" s="15"/>
      <c r="AJ62" s="15"/>
      <c r="AK62" s="15"/>
      <c r="BD62" s="16" t="s">
        <v>22</v>
      </c>
      <c r="BE62" s="16">
        <v>1979</v>
      </c>
      <c r="BF62" s="16"/>
      <c r="BG62" s="16"/>
      <c r="BH62" t="s">
        <v>60</v>
      </c>
      <c r="BK62" s="16" t="s">
        <v>33</v>
      </c>
      <c r="BP62" s="15" t="s">
        <v>73</v>
      </c>
      <c r="BR62" t="s">
        <v>25</v>
      </c>
      <c r="BS62" t="s">
        <v>29</v>
      </c>
      <c r="BT62" t="s">
        <v>27</v>
      </c>
      <c r="BV62" t="s">
        <v>50</v>
      </c>
      <c r="BX62" s="15">
        <v>6</v>
      </c>
    </row>
    <row r="63" spans="1:76" x14ac:dyDescent="0.2">
      <c r="A63" s="16" t="s">
        <v>15</v>
      </c>
      <c r="B63" s="17" t="s">
        <v>20</v>
      </c>
      <c r="C63" s="17" t="s">
        <v>21</v>
      </c>
      <c r="D63" s="16" t="s">
        <v>17</v>
      </c>
      <c r="E63" s="15">
        <v>45</v>
      </c>
      <c r="F63" s="15">
        <v>8</v>
      </c>
      <c r="V63" s="8" t="s">
        <v>69</v>
      </c>
      <c r="W63" s="30"/>
      <c r="AH63" s="15" t="s">
        <v>99</v>
      </c>
      <c r="AI63" s="15"/>
      <c r="AJ63" s="15"/>
      <c r="AK63" s="15"/>
      <c r="BD63" s="16" t="s">
        <v>22</v>
      </c>
      <c r="BE63" s="16">
        <v>1979</v>
      </c>
      <c r="BF63" s="16"/>
      <c r="BG63" s="16"/>
      <c r="BH63" t="s">
        <v>61</v>
      </c>
      <c r="BK63" s="16" t="s">
        <v>33</v>
      </c>
      <c r="BP63" s="15" t="s">
        <v>73</v>
      </c>
      <c r="BR63" t="s">
        <v>25</v>
      </c>
      <c r="BS63" t="s">
        <v>29</v>
      </c>
      <c r="BT63" t="s">
        <v>27</v>
      </c>
      <c r="BV63" t="s">
        <v>50</v>
      </c>
      <c r="BX63" s="15">
        <v>6</v>
      </c>
    </row>
    <row r="64" spans="1:76" x14ac:dyDescent="0.2">
      <c r="A64" s="16" t="s">
        <v>15</v>
      </c>
      <c r="B64" s="17" t="s">
        <v>20</v>
      </c>
      <c r="C64" s="17" t="s">
        <v>21</v>
      </c>
      <c r="D64" s="16" t="s">
        <v>17</v>
      </c>
      <c r="E64" s="15">
        <v>98</v>
      </c>
      <c r="F64" s="15">
        <v>0</v>
      </c>
      <c r="V64" s="8" t="s">
        <v>69</v>
      </c>
      <c r="W64" s="30"/>
      <c r="AH64" s="15" t="s">
        <v>99</v>
      </c>
      <c r="AI64" s="15"/>
      <c r="AJ64" s="15"/>
      <c r="AK64" s="15"/>
      <c r="BD64" s="16" t="s">
        <v>22</v>
      </c>
      <c r="BE64" s="16">
        <v>1979</v>
      </c>
      <c r="BF64" s="16"/>
      <c r="BG64" s="16"/>
      <c r="BH64" t="s">
        <v>62</v>
      </c>
      <c r="BJ64" t="s">
        <v>74</v>
      </c>
      <c r="BK64" s="16" t="s">
        <v>33</v>
      </c>
      <c r="BP64" s="15" t="s">
        <v>73</v>
      </c>
      <c r="BR64" t="s">
        <v>25</v>
      </c>
      <c r="BS64" t="s">
        <v>29</v>
      </c>
      <c r="BT64" t="s">
        <v>27</v>
      </c>
      <c r="BV64" t="s">
        <v>50</v>
      </c>
      <c r="BX64" s="15">
        <v>6</v>
      </c>
    </row>
    <row r="65" spans="1:78" x14ac:dyDescent="0.2">
      <c r="A65" s="16" t="s">
        <v>15</v>
      </c>
      <c r="B65" s="17" t="s">
        <v>20</v>
      </c>
      <c r="C65" s="17" t="s">
        <v>21</v>
      </c>
      <c r="D65" s="16" t="s">
        <v>17</v>
      </c>
      <c r="E65" s="15">
        <v>62</v>
      </c>
      <c r="F65" s="15">
        <v>3</v>
      </c>
      <c r="V65" s="8" t="s">
        <v>69</v>
      </c>
      <c r="W65" s="30"/>
      <c r="AH65" s="15" t="s">
        <v>99</v>
      </c>
      <c r="AI65" s="15"/>
      <c r="AJ65" s="15"/>
      <c r="AK65" s="15"/>
      <c r="BD65" s="16" t="s">
        <v>22</v>
      </c>
      <c r="BE65" s="16">
        <v>1979</v>
      </c>
      <c r="BF65" s="16"/>
      <c r="BG65" s="16"/>
      <c r="BH65" t="s">
        <v>63</v>
      </c>
      <c r="BJ65" t="s">
        <v>74</v>
      </c>
      <c r="BK65" s="16" t="s">
        <v>33</v>
      </c>
      <c r="BP65" s="15" t="s">
        <v>73</v>
      </c>
      <c r="BR65" t="s">
        <v>25</v>
      </c>
      <c r="BS65" t="s">
        <v>29</v>
      </c>
      <c r="BT65" t="s">
        <v>27</v>
      </c>
      <c r="BV65" t="s">
        <v>50</v>
      </c>
      <c r="BX65" s="15">
        <v>6</v>
      </c>
    </row>
    <row r="66" spans="1:78" x14ac:dyDescent="0.2">
      <c r="A66" s="16" t="s">
        <v>15</v>
      </c>
      <c r="B66" s="17" t="s">
        <v>20</v>
      </c>
      <c r="C66" s="17" t="s">
        <v>21</v>
      </c>
      <c r="D66" s="16" t="s">
        <v>17</v>
      </c>
      <c r="E66" s="15">
        <v>44</v>
      </c>
      <c r="F66" s="15">
        <v>2</v>
      </c>
      <c r="V66" s="8" t="s">
        <v>69</v>
      </c>
      <c r="W66" s="30"/>
      <c r="AH66" s="15" t="s">
        <v>99</v>
      </c>
      <c r="AI66" s="15"/>
      <c r="AJ66" s="15"/>
      <c r="AK66" s="15"/>
      <c r="BD66" s="16" t="s">
        <v>22</v>
      </c>
      <c r="BE66" s="16">
        <v>1979</v>
      </c>
      <c r="BF66" s="16"/>
      <c r="BG66" s="16"/>
      <c r="BH66" s="16" t="s">
        <v>64</v>
      </c>
      <c r="BI66" s="16"/>
      <c r="BJ66" t="s">
        <v>74</v>
      </c>
      <c r="BK66" s="16" t="s">
        <v>33</v>
      </c>
      <c r="BP66" s="15" t="s">
        <v>73</v>
      </c>
      <c r="BR66" t="s">
        <v>25</v>
      </c>
      <c r="BS66" t="s">
        <v>29</v>
      </c>
      <c r="BT66" t="s">
        <v>27</v>
      </c>
      <c r="BV66" t="s">
        <v>50</v>
      </c>
      <c r="BX66" s="15">
        <v>6</v>
      </c>
    </row>
    <row r="67" spans="1:78" x14ac:dyDescent="0.2">
      <c r="A67" s="16" t="s">
        <v>15</v>
      </c>
      <c r="B67" s="17" t="s">
        <v>20</v>
      </c>
      <c r="C67" s="17" t="s">
        <v>21</v>
      </c>
      <c r="D67" s="16" t="s">
        <v>17</v>
      </c>
      <c r="E67" s="15">
        <v>45</v>
      </c>
      <c r="G67">
        <v>1</v>
      </c>
      <c r="AH67" s="15" t="s">
        <v>99</v>
      </c>
      <c r="AI67" s="15"/>
      <c r="AJ67" s="15"/>
      <c r="AK67" s="15"/>
      <c r="BD67" s="16" t="s">
        <v>22</v>
      </c>
      <c r="BE67" s="16">
        <v>1979</v>
      </c>
      <c r="BF67" s="16"/>
      <c r="BG67" s="16"/>
      <c r="BH67" s="15" t="s">
        <v>61</v>
      </c>
      <c r="BI67" s="15"/>
      <c r="BK67" s="16" t="s">
        <v>33</v>
      </c>
      <c r="BP67" s="15" t="s">
        <v>73</v>
      </c>
      <c r="BR67" t="s">
        <v>25</v>
      </c>
      <c r="BS67" t="s">
        <v>29</v>
      </c>
      <c r="BT67" t="s">
        <v>27</v>
      </c>
      <c r="BV67" t="s">
        <v>50</v>
      </c>
      <c r="BX67" s="15">
        <v>6</v>
      </c>
    </row>
    <row r="68" spans="1:78" x14ac:dyDescent="0.2">
      <c r="A68" s="16" t="s">
        <v>15</v>
      </c>
      <c r="B68" s="17" t="s">
        <v>20</v>
      </c>
      <c r="C68" s="17" t="s">
        <v>21</v>
      </c>
      <c r="D68" s="16" t="s">
        <v>17</v>
      </c>
      <c r="E68" s="15">
        <v>62</v>
      </c>
      <c r="G68">
        <v>6</v>
      </c>
      <c r="AH68" s="15" t="s">
        <v>99</v>
      </c>
      <c r="AI68" s="15"/>
      <c r="AJ68" s="15"/>
      <c r="AK68" s="15"/>
      <c r="BD68" s="16" t="s">
        <v>22</v>
      </c>
      <c r="BE68" s="16">
        <v>1979</v>
      </c>
      <c r="BF68" s="16"/>
      <c r="BG68" s="16"/>
      <c r="BH68" s="15" t="s">
        <v>63</v>
      </c>
      <c r="BI68" s="15"/>
      <c r="BJ68" t="s">
        <v>74</v>
      </c>
      <c r="BK68" s="16" t="s">
        <v>33</v>
      </c>
      <c r="BP68" s="15" t="s">
        <v>73</v>
      </c>
      <c r="BR68" t="s">
        <v>25</v>
      </c>
      <c r="BS68" t="s">
        <v>29</v>
      </c>
      <c r="BT68" t="s">
        <v>27</v>
      </c>
      <c r="BV68" t="s">
        <v>50</v>
      </c>
      <c r="BX68" s="15">
        <v>6</v>
      </c>
    </row>
    <row r="69" spans="1:78" s="11" customFormat="1" x14ac:dyDescent="0.2">
      <c r="A69" s="11" t="s">
        <v>15</v>
      </c>
      <c r="B69" s="12" t="s">
        <v>20</v>
      </c>
      <c r="C69" s="12" t="s">
        <v>21</v>
      </c>
      <c r="D69" s="11" t="s">
        <v>17</v>
      </c>
      <c r="E69" s="18">
        <v>44</v>
      </c>
      <c r="G69" s="11">
        <v>13</v>
      </c>
      <c r="AH69" s="18" t="s">
        <v>99</v>
      </c>
      <c r="AI69" s="18"/>
      <c r="AJ69" s="18"/>
      <c r="AK69" s="18"/>
      <c r="BD69" s="11" t="s">
        <v>22</v>
      </c>
      <c r="BE69" s="11">
        <v>1979</v>
      </c>
      <c r="BH69" s="18" t="s">
        <v>64</v>
      </c>
      <c r="BI69" s="18"/>
      <c r="BJ69" s="11" t="s">
        <v>74</v>
      </c>
      <c r="BK69" s="11" t="s">
        <v>33</v>
      </c>
      <c r="BP69" s="18" t="s">
        <v>73</v>
      </c>
      <c r="BR69" s="11" t="s">
        <v>25</v>
      </c>
      <c r="BS69" s="11" t="s">
        <v>29</v>
      </c>
      <c r="BT69" s="11" t="s">
        <v>27</v>
      </c>
      <c r="BV69" s="11" t="s">
        <v>50</v>
      </c>
      <c r="BX69" s="18">
        <v>6</v>
      </c>
    </row>
    <row r="70" spans="1:78" s="22" customFormat="1" ht="17" x14ac:dyDescent="0.2">
      <c r="A70" s="20" t="s">
        <v>75</v>
      </c>
      <c r="B70" s="21" t="s">
        <v>77</v>
      </c>
      <c r="C70" s="21" t="s">
        <v>78</v>
      </c>
      <c r="D70" s="20" t="s">
        <v>76</v>
      </c>
      <c r="E70" s="24">
        <v>12</v>
      </c>
      <c r="J70" s="24">
        <v>0.88</v>
      </c>
      <c r="K70" s="24">
        <v>0.14000000000000001</v>
      </c>
      <c r="L70" s="24">
        <v>0.3</v>
      </c>
      <c r="M70" s="24">
        <v>0.13</v>
      </c>
      <c r="N70" s="24">
        <f>0.95*1000</f>
        <v>950</v>
      </c>
      <c r="O70" s="24">
        <f>0.19*1000</f>
        <v>190</v>
      </c>
      <c r="P70" s="24"/>
      <c r="Q70" s="24"/>
      <c r="R70" s="24"/>
      <c r="S70" s="24"/>
      <c r="T70" s="24"/>
      <c r="U70" s="24"/>
      <c r="V70" s="24">
        <f>1.15 * 60</f>
        <v>69</v>
      </c>
      <c r="W70" s="24">
        <f>0.16*60</f>
        <v>9.6</v>
      </c>
      <c r="AF70" s="22" t="s">
        <v>39</v>
      </c>
      <c r="AG70" s="22" t="s">
        <v>88</v>
      </c>
      <c r="AH70" s="24" t="s">
        <v>98</v>
      </c>
      <c r="AI70" s="24"/>
      <c r="AJ70" s="24"/>
      <c r="AK70" s="24"/>
      <c r="BD70" s="22" t="s">
        <v>83</v>
      </c>
      <c r="BE70" s="24">
        <v>2015</v>
      </c>
      <c r="BF70" s="24"/>
      <c r="BG70" s="24"/>
      <c r="BH70" s="23" t="s">
        <v>79</v>
      </c>
      <c r="BI70" s="20" t="s">
        <v>81</v>
      </c>
      <c r="BL70" s="24" t="s">
        <v>82</v>
      </c>
      <c r="BP70" s="25" t="s">
        <v>24</v>
      </c>
      <c r="BQ70" s="22">
        <v>10</v>
      </c>
      <c r="BR70" s="22" t="s">
        <v>25</v>
      </c>
      <c r="BS70" s="22" t="s">
        <v>86</v>
      </c>
      <c r="BT70" s="22" t="s">
        <v>87</v>
      </c>
      <c r="BU70" s="22" t="s">
        <v>85</v>
      </c>
      <c r="BV70" s="26" t="s">
        <v>50</v>
      </c>
      <c r="BX70" s="24">
        <v>1</v>
      </c>
      <c r="BZ70" s="22" t="s">
        <v>94</v>
      </c>
    </row>
    <row r="71" spans="1:78" ht="17" x14ac:dyDescent="0.2">
      <c r="A71" s="20" t="s">
        <v>75</v>
      </c>
      <c r="B71" s="21" t="s">
        <v>77</v>
      </c>
      <c r="C71" s="21" t="s">
        <v>78</v>
      </c>
      <c r="D71" s="20" t="s">
        <v>76</v>
      </c>
      <c r="E71" s="24">
        <v>12</v>
      </c>
      <c r="J71" s="24">
        <v>1.26</v>
      </c>
      <c r="K71" s="24">
        <v>0.16</v>
      </c>
      <c r="L71" s="24">
        <v>0.51</v>
      </c>
      <c r="M71" s="24">
        <v>0.16</v>
      </c>
      <c r="N71" s="24">
        <f>1.44*1000</f>
        <v>1440</v>
      </c>
      <c r="O71" s="24">
        <f>0.11*1000</f>
        <v>110</v>
      </c>
      <c r="P71" s="24"/>
      <c r="Q71" s="24"/>
      <c r="R71" s="24"/>
      <c r="S71" s="24"/>
      <c r="T71" s="24"/>
      <c r="U71" s="24"/>
      <c r="V71" s="24">
        <f>0.78*60</f>
        <v>46.800000000000004</v>
      </c>
      <c r="W71" s="24">
        <f>0.17*60</f>
        <v>10.200000000000001</v>
      </c>
      <c r="AF71" s="26" t="s">
        <v>39</v>
      </c>
      <c r="AG71" s="26" t="s">
        <v>89</v>
      </c>
      <c r="AH71" s="24" t="s">
        <v>98</v>
      </c>
      <c r="AI71" s="24"/>
      <c r="AJ71" s="24"/>
      <c r="AK71" s="24"/>
      <c r="BD71" s="22" t="s">
        <v>83</v>
      </c>
      <c r="BE71" s="24">
        <v>2015</v>
      </c>
      <c r="BF71" s="24"/>
      <c r="BG71" s="24"/>
      <c r="BH71" s="23" t="s">
        <v>79</v>
      </c>
      <c r="BI71" s="20" t="s">
        <v>81</v>
      </c>
      <c r="BL71" s="24" t="s">
        <v>82</v>
      </c>
      <c r="BM71" s="22"/>
      <c r="BN71" s="22"/>
      <c r="BO71" s="22"/>
      <c r="BP71" s="25" t="s">
        <v>24</v>
      </c>
      <c r="BQ71" s="22">
        <v>10</v>
      </c>
      <c r="BR71" s="22" t="s">
        <v>25</v>
      </c>
      <c r="BS71" s="22" t="s">
        <v>86</v>
      </c>
      <c r="BT71" s="22" t="s">
        <v>87</v>
      </c>
      <c r="BU71" s="26" t="s">
        <v>85</v>
      </c>
      <c r="BV71" s="26" t="s">
        <v>50</v>
      </c>
      <c r="BX71" s="27">
        <v>1</v>
      </c>
      <c r="BZ71" s="26" t="s">
        <v>94</v>
      </c>
    </row>
    <row r="72" spans="1:78" ht="17" x14ac:dyDescent="0.2">
      <c r="A72" s="20" t="s">
        <v>75</v>
      </c>
      <c r="B72" s="21" t="s">
        <v>77</v>
      </c>
      <c r="C72" s="21" t="s">
        <v>78</v>
      </c>
      <c r="D72" s="20" t="s">
        <v>76</v>
      </c>
      <c r="E72" s="24">
        <v>12</v>
      </c>
      <c r="J72" s="24">
        <v>1.58</v>
      </c>
      <c r="K72" s="24">
        <v>0.1</v>
      </c>
      <c r="L72" s="24">
        <v>0.98</v>
      </c>
      <c r="M72" s="24">
        <v>0.18</v>
      </c>
      <c r="N72" s="24">
        <f>3.57*1000</f>
        <v>3570</v>
      </c>
      <c r="O72" s="24">
        <f>0.16*1000</f>
        <v>160</v>
      </c>
      <c r="P72" s="24"/>
      <c r="Q72" s="24"/>
      <c r="R72" s="24"/>
      <c r="S72" s="24"/>
      <c r="T72" s="24"/>
      <c r="U72" s="24"/>
      <c r="V72" s="24">
        <f>1.3*60</f>
        <v>78</v>
      </c>
      <c r="W72" s="24">
        <f>0.16*60</f>
        <v>9.6</v>
      </c>
      <c r="AF72" s="26" t="s">
        <v>39</v>
      </c>
      <c r="AG72" s="26" t="s">
        <v>90</v>
      </c>
      <c r="AH72" s="24" t="s">
        <v>98</v>
      </c>
      <c r="AI72" s="24"/>
      <c r="AJ72" s="24"/>
      <c r="AK72" s="24"/>
      <c r="BD72" s="22" t="s">
        <v>83</v>
      </c>
      <c r="BE72" s="24">
        <v>2015</v>
      </c>
      <c r="BF72" s="24"/>
      <c r="BG72" s="24"/>
      <c r="BH72" s="23" t="s">
        <v>79</v>
      </c>
      <c r="BI72" s="20" t="s">
        <v>81</v>
      </c>
      <c r="BL72" s="24" t="s">
        <v>82</v>
      </c>
      <c r="BM72" s="22"/>
      <c r="BN72" s="22"/>
      <c r="BO72" s="22"/>
      <c r="BP72" s="25" t="s">
        <v>24</v>
      </c>
      <c r="BQ72" s="22">
        <v>10</v>
      </c>
      <c r="BR72" s="22" t="s">
        <v>25</v>
      </c>
      <c r="BS72" s="22" t="s">
        <v>86</v>
      </c>
      <c r="BT72" s="22" t="s">
        <v>87</v>
      </c>
      <c r="BU72" s="26" t="s">
        <v>85</v>
      </c>
      <c r="BV72" s="26" t="s">
        <v>50</v>
      </c>
      <c r="BX72" s="27">
        <v>1</v>
      </c>
      <c r="BZ72" s="22" t="s">
        <v>94</v>
      </c>
    </row>
    <row r="73" spans="1:78" ht="17" x14ac:dyDescent="0.2">
      <c r="A73" s="20" t="s">
        <v>75</v>
      </c>
      <c r="B73" s="21" t="s">
        <v>77</v>
      </c>
      <c r="C73" s="21" t="s">
        <v>78</v>
      </c>
      <c r="D73" s="20" t="s">
        <v>76</v>
      </c>
      <c r="E73" s="24">
        <v>12</v>
      </c>
      <c r="J73" s="24">
        <v>1.08</v>
      </c>
      <c r="K73" s="24">
        <v>0.14000000000000001</v>
      </c>
      <c r="L73" s="24">
        <v>0.45</v>
      </c>
      <c r="M73" s="24">
        <v>0.19</v>
      </c>
      <c r="N73" s="24">
        <f>1.2*1000</f>
        <v>1200</v>
      </c>
      <c r="O73" s="24">
        <f>0.14*1000</f>
        <v>140</v>
      </c>
      <c r="P73" s="24"/>
      <c r="Q73" s="24"/>
      <c r="R73" s="24"/>
      <c r="S73" s="24"/>
      <c r="T73" s="24"/>
      <c r="U73" s="24"/>
      <c r="V73" s="24">
        <f>0.64*60</f>
        <v>38.4</v>
      </c>
      <c r="W73" s="24">
        <f>0.12*60</f>
        <v>7.1999999999999993</v>
      </c>
      <c r="AF73" s="26" t="s">
        <v>39</v>
      </c>
      <c r="AG73" s="26" t="s">
        <v>91</v>
      </c>
      <c r="AH73" s="24" t="s">
        <v>98</v>
      </c>
      <c r="AI73" s="24"/>
      <c r="AJ73" s="24"/>
      <c r="AK73" s="24"/>
      <c r="BD73" s="22" t="s">
        <v>83</v>
      </c>
      <c r="BE73" s="24">
        <v>2015</v>
      </c>
      <c r="BF73" s="24"/>
      <c r="BG73" s="24"/>
      <c r="BH73" s="23" t="s">
        <v>79</v>
      </c>
      <c r="BI73" s="20" t="s">
        <v>81</v>
      </c>
      <c r="BL73" s="24" t="s">
        <v>82</v>
      </c>
      <c r="BM73" s="22"/>
      <c r="BN73" s="22"/>
      <c r="BO73" s="22"/>
      <c r="BP73" s="25" t="s">
        <v>24</v>
      </c>
      <c r="BQ73" s="22">
        <v>10</v>
      </c>
      <c r="BR73" s="22" t="s">
        <v>25</v>
      </c>
      <c r="BS73" s="22" t="s">
        <v>86</v>
      </c>
      <c r="BT73" s="22" t="s">
        <v>87</v>
      </c>
      <c r="BU73" s="26" t="s">
        <v>85</v>
      </c>
      <c r="BV73" s="26" t="s">
        <v>50</v>
      </c>
      <c r="BX73" s="27">
        <v>1</v>
      </c>
      <c r="BZ73" s="22" t="s">
        <v>94</v>
      </c>
    </row>
    <row r="74" spans="1:78" s="11" customFormat="1" ht="17" x14ac:dyDescent="0.2">
      <c r="A74" s="32" t="s">
        <v>75</v>
      </c>
      <c r="B74" s="33" t="s">
        <v>77</v>
      </c>
      <c r="C74" s="33" t="s">
        <v>78</v>
      </c>
      <c r="D74" s="32" t="s">
        <v>76</v>
      </c>
      <c r="E74" s="34">
        <v>12</v>
      </c>
      <c r="J74" s="34">
        <v>0.73</v>
      </c>
      <c r="K74" s="34">
        <v>0.14000000000000001</v>
      </c>
      <c r="L74" s="34">
        <v>0.33</v>
      </c>
      <c r="M74" s="34">
        <v>0.14000000000000001</v>
      </c>
      <c r="N74" s="34">
        <f>1.12*1000</f>
        <v>1120</v>
      </c>
      <c r="O74" s="34">
        <f>0.12*1000</f>
        <v>120</v>
      </c>
      <c r="P74" s="34"/>
      <c r="Q74" s="34"/>
      <c r="R74" s="34"/>
      <c r="S74" s="34"/>
      <c r="T74" s="34"/>
      <c r="U74" s="34"/>
      <c r="V74" s="35">
        <f>0.95*60</f>
        <v>57</v>
      </c>
      <c r="W74" s="34">
        <f>0.11*60</f>
        <v>6.6</v>
      </c>
      <c r="AF74" s="35" t="s">
        <v>39</v>
      </c>
      <c r="AG74" s="35" t="s">
        <v>92</v>
      </c>
      <c r="AH74" s="34" t="s">
        <v>98</v>
      </c>
      <c r="AI74" s="34"/>
      <c r="AJ74" s="34"/>
      <c r="AK74" s="34"/>
      <c r="BD74" s="36" t="s">
        <v>83</v>
      </c>
      <c r="BE74" s="34">
        <v>2015</v>
      </c>
      <c r="BF74" s="34"/>
      <c r="BG74" s="34"/>
      <c r="BH74" s="37" t="s">
        <v>79</v>
      </c>
      <c r="BI74" s="32" t="s">
        <v>81</v>
      </c>
      <c r="BL74" s="34" t="s">
        <v>82</v>
      </c>
      <c r="BM74" s="36"/>
      <c r="BN74" s="36"/>
      <c r="BO74" s="36"/>
      <c r="BP74" s="38" t="s">
        <v>24</v>
      </c>
      <c r="BQ74" s="36">
        <v>10</v>
      </c>
      <c r="BR74" s="36" t="s">
        <v>25</v>
      </c>
      <c r="BS74" s="36" t="s">
        <v>86</v>
      </c>
      <c r="BT74" s="36" t="s">
        <v>87</v>
      </c>
      <c r="BU74" s="35" t="s">
        <v>85</v>
      </c>
      <c r="BV74" s="35" t="s">
        <v>50</v>
      </c>
      <c r="BX74" s="39">
        <v>1</v>
      </c>
      <c r="BZ74" s="36" t="s">
        <v>94</v>
      </c>
    </row>
    <row r="75" spans="1:78" s="22" customFormat="1" ht="17" x14ac:dyDescent="0.2">
      <c r="A75" s="20" t="s">
        <v>75</v>
      </c>
      <c r="B75" s="21" t="s">
        <v>77</v>
      </c>
      <c r="C75" s="21" t="s">
        <v>78</v>
      </c>
      <c r="D75" s="20" t="s">
        <v>76</v>
      </c>
      <c r="F75" s="20">
        <v>82</v>
      </c>
      <c r="G75" s="22">
        <v>212</v>
      </c>
      <c r="J75" s="22">
        <v>2.37</v>
      </c>
      <c r="K75" s="22">
        <v>0.15</v>
      </c>
      <c r="L75" s="22">
        <v>0.63</v>
      </c>
      <c r="M75" s="22">
        <v>0.03</v>
      </c>
      <c r="N75" s="22">
        <v>349.32</v>
      </c>
      <c r="O75" s="22">
        <v>18.09</v>
      </c>
      <c r="R75" s="22">
        <v>1559.58</v>
      </c>
      <c r="V75" s="22">
        <f>1125/60</f>
        <v>18.75</v>
      </c>
      <c r="W75" s="22">
        <f>70/60</f>
        <v>1.1666666666666667</v>
      </c>
      <c r="Z75" s="22">
        <v>27</v>
      </c>
      <c r="AA75" s="22">
        <v>5.34</v>
      </c>
      <c r="AB75" s="22">
        <v>0.32</v>
      </c>
      <c r="AE75" s="22" t="s">
        <v>114</v>
      </c>
      <c r="AH75" s="24" t="s">
        <v>118</v>
      </c>
      <c r="AL75" s="22" t="s">
        <v>109</v>
      </c>
      <c r="AV75" s="22">
        <v>16.2</v>
      </c>
      <c r="AW75" s="22">
        <v>0.13</v>
      </c>
      <c r="AX75" s="22">
        <v>8.59</v>
      </c>
      <c r="AY75" s="22">
        <v>0.19</v>
      </c>
      <c r="AZ75" s="22">
        <v>4.88</v>
      </c>
      <c r="BA75" s="22">
        <v>0.02</v>
      </c>
      <c r="BB75" s="22">
        <v>14.03</v>
      </c>
      <c r="BC75" s="22">
        <v>0.3</v>
      </c>
      <c r="BD75" s="20" t="s">
        <v>100</v>
      </c>
      <c r="BE75" s="20">
        <v>2020</v>
      </c>
      <c r="BF75" s="20"/>
      <c r="BG75" s="20"/>
      <c r="BH75" s="25" t="s">
        <v>103</v>
      </c>
      <c r="BI75" s="22" t="s">
        <v>110</v>
      </c>
      <c r="BJ75" s="22" t="s">
        <v>111</v>
      </c>
      <c r="BK75" s="22" t="s">
        <v>102</v>
      </c>
      <c r="BL75" s="22">
        <v>2016</v>
      </c>
      <c r="BP75" s="25" t="s">
        <v>24</v>
      </c>
      <c r="BQ75" s="22" t="s">
        <v>104</v>
      </c>
      <c r="BV75" t="s">
        <v>50</v>
      </c>
      <c r="BZ75" s="22" t="s">
        <v>94</v>
      </c>
    </row>
    <row r="76" spans="1:78" x14ac:dyDescent="0.2">
      <c r="A76" s="20" t="s">
        <v>75</v>
      </c>
      <c r="B76" s="21" t="s">
        <v>77</v>
      </c>
      <c r="C76" s="21" t="s">
        <v>78</v>
      </c>
      <c r="D76" s="20" t="s">
        <v>76</v>
      </c>
      <c r="F76">
        <v>1</v>
      </c>
      <c r="M76">
        <f>N76/(V76*60)</f>
        <v>0.43321666666666664</v>
      </c>
      <c r="N76" s="22">
        <v>1559.58</v>
      </c>
      <c r="O76" s="22"/>
      <c r="P76" s="22"/>
      <c r="Q76" s="22"/>
      <c r="V76">
        <v>60</v>
      </c>
      <c r="AE76" t="s">
        <v>114</v>
      </c>
      <c r="AF76" s="27" t="s">
        <v>40</v>
      </c>
      <c r="AG76" s="27" t="s">
        <v>89</v>
      </c>
      <c r="AH76" s="40" t="s">
        <v>118</v>
      </c>
      <c r="AI76" s="40">
        <v>28</v>
      </c>
      <c r="AJ76" s="40"/>
      <c r="AK76" s="40"/>
      <c r="AL76" t="s">
        <v>109</v>
      </c>
      <c r="BD76" s="20" t="s">
        <v>100</v>
      </c>
      <c r="BE76" s="20">
        <v>2020</v>
      </c>
      <c r="BF76" s="20"/>
      <c r="BG76" s="20"/>
      <c r="BH76" s="19"/>
      <c r="BK76" s="22" t="s">
        <v>102</v>
      </c>
      <c r="BV76" t="s">
        <v>50</v>
      </c>
      <c r="BZ76" s="22" t="s">
        <v>94</v>
      </c>
    </row>
    <row r="77" spans="1:78" x14ac:dyDescent="0.2">
      <c r="A77" s="20" t="s">
        <v>75</v>
      </c>
      <c r="B77" s="21" t="s">
        <v>77</v>
      </c>
      <c r="C77" s="21" t="s">
        <v>78</v>
      </c>
      <c r="D77" s="20" t="s">
        <v>76</v>
      </c>
      <c r="F77">
        <v>31</v>
      </c>
      <c r="N77" s="22"/>
      <c r="O77" s="22"/>
      <c r="P77" s="22"/>
      <c r="Q77" s="22"/>
      <c r="V77">
        <v>60</v>
      </c>
      <c r="AE77" t="s">
        <v>114</v>
      </c>
      <c r="AF77" s="27"/>
      <c r="AG77" s="27"/>
      <c r="AH77" s="40"/>
      <c r="AI77" s="40"/>
      <c r="AJ77" s="40"/>
      <c r="AK77" s="40"/>
      <c r="AL77" t="s">
        <v>109</v>
      </c>
      <c r="BD77" s="20" t="s">
        <v>100</v>
      </c>
      <c r="BE77" s="20">
        <v>2020</v>
      </c>
      <c r="BF77" s="20"/>
      <c r="BG77" s="20"/>
      <c r="BH77" s="19"/>
      <c r="BK77" s="22" t="s">
        <v>102</v>
      </c>
      <c r="BV77" t="s">
        <v>50</v>
      </c>
      <c r="BZ77" s="22" t="s">
        <v>94</v>
      </c>
    </row>
    <row r="78" spans="1:78" x14ac:dyDescent="0.2">
      <c r="A78" s="20" t="s">
        <v>75</v>
      </c>
      <c r="B78" s="21" t="s">
        <v>77</v>
      </c>
      <c r="C78" s="21" t="s">
        <v>78</v>
      </c>
      <c r="D78" s="20" t="s">
        <v>76</v>
      </c>
      <c r="F78">
        <v>1</v>
      </c>
      <c r="J78">
        <v>9.6199999999999992</v>
      </c>
      <c r="N78" s="22"/>
      <c r="O78" s="22"/>
      <c r="P78" s="22"/>
      <c r="Q78" s="22"/>
      <c r="AE78" t="s">
        <v>114</v>
      </c>
      <c r="AF78" s="27"/>
      <c r="AG78" s="27" t="s">
        <v>89</v>
      </c>
      <c r="AH78" s="40" t="s">
        <v>118</v>
      </c>
      <c r="AI78" s="40">
        <v>24</v>
      </c>
      <c r="AJ78" s="40"/>
      <c r="AK78" s="40"/>
      <c r="AL78" t="s">
        <v>109</v>
      </c>
      <c r="BD78" s="20" t="s">
        <v>100</v>
      </c>
      <c r="BE78" s="20">
        <v>2020</v>
      </c>
      <c r="BF78" s="20"/>
      <c r="BG78" s="20"/>
      <c r="BH78" s="19"/>
      <c r="BK78" s="22" t="s">
        <v>102</v>
      </c>
      <c r="BV78" t="s">
        <v>50</v>
      </c>
      <c r="BZ78" s="22" t="s">
        <v>94</v>
      </c>
    </row>
    <row r="79" spans="1:78" x14ac:dyDescent="0.2">
      <c r="A79" s="20" t="s">
        <v>75</v>
      </c>
      <c r="B79" s="21" t="s">
        <v>77</v>
      </c>
      <c r="C79" s="21" t="s">
        <v>78</v>
      </c>
      <c r="D79" s="20" t="s">
        <v>76</v>
      </c>
      <c r="F79" s="20" t="s">
        <v>120</v>
      </c>
      <c r="P79">
        <v>175</v>
      </c>
      <c r="AA79">
        <v>6</v>
      </c>
      <c r="AE79" t="s">
        <v>114</v>
      </c>
      <c r="AH79" s="40" t="s">
        <v>118</v>
      </c>
      <c r="AI79">
        <v>12</v>
      </c>
      <c r="AL79" t="s">
        <v>109</v>
      </c>
      <c r="BD79" s="20" t="s">
        <v>100</v>
      </c>
      <c r="BE79" s="20">
        <v>2020</v>
      </c>
      <c r="BF79" s="20"/>
      <c r="BG79" s="20"/>
      <c r="BH79" s="19"/>
      <c r="BK79" s="22" t="s">
        <v>102</v>
      </c>
      <c r="BV79" t="s">
        <v>50</v>
      </c>
      <c r="BW79">
        <v>2</v>
      </c>
      <c r="BZ79" s="22" t="s">
        <v>94</v>
      </c>
    </row>
    <row r="80" spans="1:78" x14ac:dyDescent="0.2">
      <c r="A80" s="20" t="s">
        <v>75</v>
      </c>
      <c r="B80" s="21" t="s">
        <v>77</v>
      </c>
      <c r="C80" s="21" t="s">
        <v>78</v>
      </c>
      <c r="D80" s="20" t="s">
        <v>76</v>
      </c>
      <c r="F80" s="20" t="s">
        <v>120</v>
      </c>
      <c r="P80">
        <v>310</v>
      </c>
      <c r="AA80">
        <v>6</v>
      </c>
      <c r="AE80" t="s">
        <v>114</v>
      </c>
      <c r="AH80" s="40" t="s">
        <v>118</v>
      </c>
      <c r="AI80">
        <v>16</v>
      </c>
      <c r="AL80" t="s">
        <v>109</v>
      </c>
      <c r="BD80" s="20" t="s">
        <v>100</v>
      </c>
      <c r="BE80" s="20">
        <v>2020</v>
      </c>
      <c r="BF80" s="20"/>
      <c r="BG80" s="20"/>
      <c r="BH80" s="19"/>
      <c r="BK80" s="22" t="s">
        <v>102</v>
      </c>
      <c r="BV80" t="s">
        <v>50</v>
      </c>
      <c r="BW80">
        <v>2</v>
      </c>
      <c r="BZ80" s="22" t="s">
        <v>94</v>
      </c>
    </row>
    <row r="81" spans="1:78" x14ac:dyDescent="0.2">
      <c r="A81" s="20" t="s">
        <v>75</v>
      </c>
      <c r="B81" s="21" t="s">
        <v>77</v>
      </c>
      <c r="C81" s="21" t="s">
        <v>78</v>
      </c>
      <c r="D81" s="20" t="s">
        <v>76</v>
      </c>
      <c r="F81" s="20" t="s">
        <v>120</v>
      </c>
      <c r="P81">
        <v>500</v>
      </c>
      <c r="AA81">
        <v>4</v>
      </c>
      <c r="AE81" t="s">
        <v>114</v>
      </c>
      <c r="AH81" s="40" t="s">
        <v>118</v>
      </c>
      <c r="AI81">
        <v>20</v>
      </c>
      <c r="AL81" t="s">
        <v>109</v>
      </c>
      <c r="BD81" s="20" t="s">
        <v>100</v>
      </c>
      <c r="BE81" s="20">
        <v>2020</v>
      </c>
      <c r="BF81" s="20"/>
      <c r="BG81" s="20"/>
      <c r="BH81" s="19"/>
      <c r="BK81" s="22" t="s">
        <v>102</v>
      </c>
      <c r="BV81" t="s">
        <v>50</v>
      </c>
      <c r="BW81">
        <v>2</v>
      </c>
      <c r="BZ81" s="22" t="s">
        <v>94</v>
      </c>
    </row>
    <row r="82" spans="1:78" x14ac:dyDescent="0.2">
      <c r="A82" s="20" t="s">
        <v>75</v>
      </c>
      <c r="B82" s="21" t="s">
        <v>77</v>
      </c>
      <c r="C82" s="21" t="s">
        <v>78</v>
      </c>
      <c r="D82" s="20" t="s">
        <v>76</v>
      </c>
      <c r="F82" s="20" t="s">
        <v>120</v>
      </c>
      <c r="P82">
        <v>440</v>
      </c>
      <c r="AA82">
        <v>3</v>
      </c>
      <c r="AE82" t="s">
        <v>114</v>
      </c>
      <c r="AH82" s="40" t="s">
        <v>118</v>
      </c>
      <c r="AI82">
        <v>24</v>
      </c>
      <c r="AL82" t="s">
        <v>109</v>
      </c>
      <c r="BD82" s="20" t="s">
        <v>100</v>
      </c>
      <c r="BE82" s="20">
        <v>2020</v>
      </c>
      <c r="BF82" s="20"/>
      <c r="BG82" s="20"/>
      <c r="BH82" s="19"/>
      <c r="BK82" s="22" t="s">
        <v>102</v>
      </c>
      <c r="BV82" t="s">
        <v>50</v>
      </c>
      <c r="BW82">
        <v>2</v>
      </c>
      <c r="BZ82" s="22" t="s">
        <v>94</v>
      </c>
    </row>
    <row r="83" spans="1:78" x14ac:dyDescent="0.2">
      <c r="A83" s="20" t="s">
        <v>75</v>
      </c>
      <c r="B83" s="21" t="s">
        <v>77</v>
      </c>
      <c r="C83" s="21" t="s">
        <v>78</v>
      </c>
      <c r="D83" s="20" t="s">
        <v>76</v>
      </c>
      <c r="F83" s="20" t="s">
        <v>120</v>
      </c>
      <c r="P83">
        <v>370</v>
      </c>
      <c r="AA83">
        <v>4</v>
      </c>
      <c r="AE83" t="s">
        <v>114</v>
      </c>
      <c r="AH83" s="40" t="s">
        <v>118</v>
      </c>
      <c r="AI83">
        <v>28</v>
      </c>
      <c r="AL83" t="s">
        <v>109</v>
      </c>
      <c r="BD83" s="20" t="s">
        <v>100</v>
      </c>
      <c r="BE83" s="20">
        <v>2020</v>
      </c>
      <c r="BF83" s="20"/>
      <c r="BG83" s="20"/>
      <c r="BH83" s="19"/>
      <c r="BK83" s="22" t="s">
        <v>102</v>
      </c>
      <c r="BV83" t="s">
        <v>50</v>
      </c>
      <c r="BW83">
        <v>2</v>
      </c>
      <c r="BZ83" s="22" t="s">
        <v>94</v>
      </c>
    </row>
    <row r="84" spans="1:78" x14ac:dyDescent="0.2">
      <c r="A84" s="20" t="s">
        <v>75</v>
      </c>
      <c r="B84" s="21" t="s">
        <v>77</v>
      </c>
      <c r="C84" s="21" t="s">
        <v>78</v>
      </c>
      <c r="D84" s="20" t="s">
        <v>76</v>
      </c>
      <c r="F84" s="20" t="s">
        <v>120</v>
      </c>
      <c r="P84">
        <v>400</v>
      </c>
      <c r="AA84">
        <v>6</v>
      </c>
      <c r="AE84" t="s">
        <v>114</v>
      </c>
      <c r="AH84" s="40" t="s">
        <v>118</v>
      </c>
      <c r="AI84">
        <v>32</v>
      </c>
      <c r="AL84" t="s">
        <v>109</v>
      </c>
      <c r="BD84" s="20" t="s">
        <v>100</v>
      </c>
      <c r="BE84" s="20">
        <v>2020</v>
      </c>
      <c r="BF84" s="20"/>
      <c r="BG84" s="20"/>
      <c r="BH84" s="19"/>
      <c r="BK84" s="22" t="s">
        <v>102</v>
      </c>
      <c r="BV84" t="s">
        <v>50</v>
      </c>
      <c r="BW84">
        <v>2</v>
      </c>
      <c r="BZ84" s="22" t="s">
        <v>94</v>
      </c>
    </row>
    <row r="85" spans="1:78" x14ac:dyDescent="0.2">
      <c r="A85" s="20" t="s">
        <v>75</v>
      </c>
      <c r="B85" s="21" t="s">
        <v>77</v>
      </c>
      <c r="C85" s="21" t="s">
        <v>78</v>
      </c>
      <c r="D85" s="20" t="s">
        <v>76</v>
      </c>
      <c r="F85" s="20" t="s">
        <v>120</v>
      </c>
      <c r="P85">
        <v>270</v>
      </c>
      <c r="AA85">
        <v>8</v>
      </c>
      <c r="AE85" t="s">
        <v>114</v>
      </c>
      <c r="AH85" s="40" t="s">
        <v>118</v>
      </c>
      <c r="AI85">
        <v>36</v>
      </c>
      <c r="AL85" t="s">
        <v>109</v>
      </c>
      <c r="BD85" s="20" t="s">
        <v>100</v>
      </c>
      <c r="BE85" s="20">
        <v>2020</v>
      </c>
      <c r="BF85" s="20"/>
      <c r="BG85" s="20"/>
      <c r="BH85" s="19"/>
      <c r="BK85" s="22" t="s">
        <v>102</v>
      </c>
      <c r="BV85" t="s">
        <v>50</v>
      </c>
      <c r="BW85">
        <v>2</v>
      </c>
      <c r="BZ85" s="22" t="s">
        <v>94</v>
      </c>
    </row>
    <row r="86" spans="1:78" s="41" customFormat="1" x14ac:dyDescent="0.2">
      <c r="A86" s="20" t="s">
        <v>75</v>
      </c>
      <c r="B86" s="21" t="s">
        <v>77</v>
      </c>
      <c r="C86" s="21" t="s">
        <v>78</v>
      </c>
      <c r="D86" s="20" t="s">
        <v>76</v>
      </c>
      <c r="F86" s="20" t="s">
        <v>120</v>
      </c>
      <c r="P86" s="41">
        <v>250</v>
      </c>
      <c r="AE86" t="s">
        <v>114</v>
      </c>
      <c r="AG86" s="41" t="s">
        <v>122</v>
      </c>
      <c r="AH86" s="40" t="s">
        <v>118</v>
      </c>
      <c r="AL86" s="41" t="s">
        <v>109</v>
      </c>
      <c r="BD86" s="20" t="s">
        <v>100</v>
      </c>
      <c r="BE86" s="20">
        <v>2020</v>
      </c>
      <c r="BF86" s="20"/>
      <c r="BG86" s="20"/>
      <c r="BH86" s="42"/>
      <c r="BK86" s="22" t="s">
        <v>102</v>
      </c>
      <c r="BV86" t="s">
        <v>50</v>
      </c>
      <c r="BW86" s="41">
        <v>3</v>
      </c>
      <c r="BZ86" s="22" t="s">
        <v>94</v>
      </c>
    </row>
    <row r="87" spans="1:78" x14ac:dyDescent="0.2">
      <c r="A87" s="20" t="s">
        <v>75</v>
      </c>
      <c r="B87" s="21" t="s">
        <v>77</v>
      </c>
      <c r="C87" s="21" t="s">
        <v>78</v>
      </c>
      <c r="D87" s="20" t="s">
        <v>76</v>
      </c>
      <c r="F87" s="20" t="s">
        <v>120</v>
      </c>
      <c r="P87">
        <v>400</v>
      </c>
      <c r="AE87" t="s">
        <v>114</v>
      </c>
      <c r="AG87" t="s">
        <v>89</v>
      </c>
      <c r="AH87" s="40" t="s">
        <v>118</v>
      </c>
      <c r="AL87" t="s">
        <v>109</v>
      </c>
      <c r="BD87" s="20" t="s">
        <v>100</v>
      </c>
      <c r="BE87" s="20">
        <v>2020</v>
      </c>
      <c r="BF87" s="20"/>
      <c r="BG87" s="20"/>
      <c r="BH87" s="19"/>
      <c r="BK87" s="22" t="s">
        <v>102</v>
      </c>
      <c r="BV87" t="s">
        <v>50</v>
      </c>
      <c r="BW87">
        <v>3</v>
      </c>
      <c r="BZ87" s="22" t="s">
        <v>94</v>
      </c>
    </row>
    <row r="88" spans="1:78" x14ac:dyDescent="0.2">
      <c r="A88" s="20" t="s">
        <v>75</v>
      </c>
      <c r="B88" s="21" t="s">
        <v>77</v>
      </c>
      <c r="C88" s="21" t="s">
        <v>78</v>
      </c>
      <c r="D88" s="20" t="s">
        <v>76</v>
      </c>
      <c r="F88" s="20" t="s">
        <v>120</v>
      </c>
      <c r="P88">
        <v>380</v>
      </c>
      <c r="AE88" t="s">
        <v>114</v>
      </c>
      <c r="AG88" t="s">
        <v>123</v>
      </c>
      <c r="AH88" s="40" t="s">
        <v>118</v>
      </c>
      <c r="AL88" t="s">
        <v>109</v>
      </c>
      <c r="BD88" s="20" t="s">
        <v>100</v>
      </c>
      <c r="BE88" s="20">
        <v>2020</v>
      </c>
      <c r="BF88" s="20"/>
      <c r="BG88" s="20"/>
      <c r="BH88" s="19"/>
      <c r="BK88" s="22" t="s">
        <v>102</v>
      </c>
      <c r="BV88" t="s">
        <v>50</v>
      </c>
      <c r="BW88">
        <v>3</v>
      </c>
      <c r="BZ88" s="22" t="s">
        <v>94</v>
      </c>
    </row>
    <row r="89" spans="1:78" s="41" customFormat="1" x14ac:dyDescent="0.2">
      <c r="A89" s="20" t="s">
        <v>75</v>
      </c>
      <c r="B89" s="21" t="s">
        <v>77</v>
      </c>
      <c r="C89" s="21" t="s">
        <v>78</v>
      </c>
      <c r="D89" s="20" t="s">
        <v>76</v>
      </c>
      <c r="F89" s="20" t="s">
        <v>120</v>
      </c>
      <c r="T89" s="41">
        <v>2500</v>
      </c>
      <c r="AE89" t="s">
        <v>114</v>
      </c>
      <c r="AH89" s="40" t="s">
        <v>118</v>
      </c>
      <c r="AI89" s="41">
        <v>12</v>
      </c>
      <c r="AL89" s="41" t="s">
        <v>109</v>
      </c>
      <c r="BD89" s="20" t="s">
        <v>100</v>
      </c>
      <c r="BE89" s="20">
        <v>2020</v>
      </c>
      <c r="BF89" s="20"/>
      <c r="BG89" s="20"/>
      <c r="BH89" s="42"/>
      <c r="BK89" s="22" t="s">
        <v>102</v>
      </c>
      <c r="BV89" t="s">
        <v>50</v>
      </c>
      <c r="BW89" s="41">
        <v>4</v>
      </c>
      <c r="BZ89" s="22" t="s">
        <v>94</v>
      </c>
    </row>
    <row r="90" spans="1:78" s="41" customFormat="1" x14ac:dyDescent="0.2">
      <c r="A90" s="20" t="s">
        <v>75</v>
      </c>
      <c r="B90" s="21" t="s">
        <v>77</v>
      </c>
      <c r="C90" s="21" t="s">
        <v>78</v>
      </c>
      <c r="D90" s="20" t="s">
        <v>76</v>
      </c>
      <c r="F90" s="20" t="s">
        <v>120</v>
      </c>
      <c r="T90" s="41">
        <v>3300</v>
      </c>
      <c r="AE90" t="s">
        <v>114</v>
      </c>
      <c r="AH90" s="40" t="s">
        <v>118</v>
      </c>
      <c r="AI90" s="41">
        <v>16</v>
      </c>
      <c r="AL90" s="41" t="s">
        <v>109</v>
      </c>
      <c r="BD90" s="20" t="s">
        <v>100</v>
      </c>
      <c r="BE90" s="20">
        <v>2020</v>
      </c>
      <c r="BF90" s="20"/>
      <c r="BG90" s="20"/>
      <c r="BH90" s="42"/>
      <c r="BK90" s="22" t="s">
        <v>102</v>
      </c>
      <c r="BV90" t="s">
        <v>50</v>
      </c>
      <c r="BW90" s="41">
        <v>4</v>
      </c>
      <c r="BZ90" s="22" t="s">
        <v>94</v>
      </c>
    </row>
    <row r="91" spans="1:78" s="41" customFormat="1" x14ac:dyDescent="0.2">
      <c r="A91" s="20" t="s">
        <v>75</v>
      </c>
      <c r="B91" s="21" t="s">
        <v>77</v>
      </c>
      <c r="C91" s="21" t="s">
        <v>78</v>
      </c>
      <c r="D91" s="20" t="s">
        <v>76</v>
      </c>
      <c r="F91" s="20" t="s">
        <v>120</v>
      </c>
      <c r="T91" s="41">
        <v>3300</v>
      </c>
      <c r="AE91" t="s">
        <v>114</v>
      </c>
      <c r="AH91" s="40" t="s">
        <v>118</v>
      </c>
      <c r="AI91" s="41">
        <v>20</v>
      </c>
      <c r="AL91" s="41" t="s">
        <v>109</v>
      </c>
      <c r="BD91" s="20" t="s">
        <v>100</v>
      </c>
      <c r="BE91" s="20">
        <v>2020</v>
      </c>
      <c r="BF91" s="20"/>
      <c r="BG91" s="20"/>
      <c r="BH91" s="42"/>
      <c r="BK91" s="22" t="s">
        <v>102</v>
      </c>
      <c r="BV91" t="s">
        <v>50</v>
      </c>
      <c r="BW91" s="41">
        <v>4</v>
      </c>
      <c r="BZ91" s="22" t="s">
        <v>94</v>
      </c>
    </row>
    <row r="92" spans="1:78" s="41" customFormat="1" x14ac:dyDescent="0.2">
      <c r="A92" s="20" t="s">
        <v>75</v>
      </c>
      <c r="B92" s="21" t="s">
        <v>77</v>
      </c>
      <c r="C92" s="21" t="s">
        <v>78</v>
      </c>
      <c r="D92" s="20" t="s">
        <v>76</v>
      </c>
      <c r="F92" s="20" t="s">
        <v>120</v>
      </c>
      <c r="T92" s="41">
        <v>3200</v>
      </c>
      <c r="AE92" t="s">
        <v>114</v>
      </c>
      <c r="AH92" s="40" t="s">
        <v>118</v>
      </c>
      <c r="AI92" s="41">
        <v>24</v>
      </c>
      <c r="AL92" s="41" t="s">
        <v>109</v>
      </c>
      <c r="BD92" s="20" t="s">
        <v>100</v>
      </c>
      <c r="BE92" s="20">
        <v>2020</v>
      </c>
      <c r="BF92" s="20"/>
      <c r="BG92" s="20"/>
      <c r="BH92" s="42"/>
      <c r="BK92" s="22" t="s">
        <v>102</v>
      </c>
      <c r="BV92" t="s">
        <v>50</v>
      </c>
      <c r="BW92" s="41">
        <v>4</v>
      </c>
      <c r="BZ92" s="22" t="s">
        <v>94</v>
      </c>
    </row>
    <row r="93" spans="1:78" s="41" customFormat="1" x14ac:dyDescent="0.2">
      <c r="A93" s="20" t="s">
        <v>75</v>
      </c>
      <c r="B93" s="21" t="s">
        <v>77</v>
      </c>
      <c r="C93" s="21" t="s">
        <v>78</v>
      </c>
      <c r="D93" s="20" t="s">
        <v>76</v>
      </c>
      <c r="F93" s="20" t="s">
        <v>120</v>
      </c>
      <c r="T93" s="41">
        <v>3000</v>
      </c>
      <c r="AE93" t="s">
        <v>114</v>
      </c>
      <c r="AH93" s="40" t="s">
        <v>118</v>
      </c>
      <c r="AI93" s="41">
        <v>28</v>
      </c>
      <c r="AL93" s="41" t="s">
        <v>109</v>
      </c>
      <c r="BD93" s="20" t="s">
        <v>100</v>
      </c>
      <c r="BE93" s="20">
        <v>2020</v>
      </c>
      <c r="BF93" s="20"/>
      <c r="BG93" s="20"/>
      <c r="BK93" s="22" t="s">
        <v>102</v>
      </c>
      <c r="BV93" t="s">
        <v>50</v>
      </c>
      <c r="BW93" s="41">
        <v>4</v>
      </c>
      <c r="BZ93" s="22" t="s">
        <v>94</v>
      </c>
    </row>
    <row r="94" spans="1:78" s="41" customFormat="1" x14ac:dyDescent="0.2">
      <c r="A94" s="20" t="s">
        <v>75</v>
      </c>
      <c r="B94" s="21" t="s">
        <v>77</v>
      </c>
      <c r="C94" s="21" t="s">
        <v>78</v>
      </c>
      <c r="D94" s="20" t="s">
        <v>76</v>
      </c>
      <c r="F94" s="20" t="s">
        <v>120</v>
      </c>
      <c r="T94" s="41">
        <v>3300</v>
      </c>
      <c r="AE94" t="s">
        <v>114</v>
      </c>
      <c r="AH94" s="40" t="s">
        <v>118</v>
      </c>
      <c r="AI94" s="41">
        <v>32</v>
      </c>
      <c r="AL94" s="41" t="s">
        <v>109</v>
      </c>
      <c r="BD94" s="20" t="s">
        <v>100</v>
      </c>
      <c r="BE94" s="20">
        <v>2020</v>
      </c>
      <c r="BF94" s="20"/>
      <c r="BG94" s="20"/>
      <c r="BK94" s="22" t="s">
        <v>102</v>
      </c>
      <c r="BV94" t="s">
        <v>50</v>
      </c>
      <c r="BW94" s="41">
        <v>4</v>
      </c>
      <c r="BZ94" s="22" t="s">
        <v>94</v>
      </c>
    </row>
    <row r="95" spans="1:78" s="41" customFormat="1" x14ac:dyDescent="0.2">
      <c r="A95" s="20" t="s">
        <v>75</v>
      </c>
      <c r="B95" s="21" t="s">
        <v>77</v>
      </c>
      <c r="C95" s="21" t="s">
        <v>78</v>
      </c>
      <c r="D95" s="20" t="s">
        <v>76</v>
      </c>
      <c r="F95" s="20" t="s">
        <v>120</v>
      </c>
      <c r="T95" s="41">
        <v>3300</v>
      </c>
      <c r="AE95" t="s">
        <v>114</v>
      </c>
      <c r="AH95" s="40" t="s">
        <v>118</v>
      </c>
      <c r="AI95" s="41">
        <v>36</v>
      </c>
      <c r="AL95" s="41" t="s">
        <v>109</v>
      </c>
      <c r="BD95" s="20" t="s">
        <v>100</v>
      </c>
      <c r="BE95" s="20">
        <v>2020</v>
      </c>
      <c r="BF95" s="20"/>
      <c r="BG95" s="20"/>
      <c r="BK95" s="22" t="s">
        <v>102</v>
      </c>
      <c r="BV95" t="s">
        <v>50</v>
      </c>
      <c r="BW95" s="41">
        <v>4</v>
      </c>
      <c r="BZ95" s="22" t="s">
        <v>94</v>
      </c>
    </row>
    <row r="96" spans="1:78" s="41" customFormat="1" x14ac:dyDescent="0.2">
      <c r="A96" s="20" t="s">
        <v>75</v>
      </c>
      <c r="B96" s="21" t="s">
        <v>77</v>
      </c>
      <c r="C96" s="21" t="s">
        <v>78</v>
      </c>
      <c r="D96" s="20" t="s">
        <v>76</v>
      </c>
      <c r="F96" s="20" t="s">
        <v>120</v>
      </c>
      <c r="J96" s="41">
        <v>3</v>
      </c>
      <c r="AE96" t="s">
        <v>114</v>
      </c>
      <c r="AH96" s="40" t="s">
        <v>118</v>
      </c>
      <c r="AI96" s="41">
        <v>12</v>
      </c>
      <c r="AL96" s="41" t="s">
        <v>109</v>
      </c>
      <c r="BD96" s="20" t="s">
        <v>100</v>
      </c>
      <c r="BE96" s="20">
        <v>2020</v>
      </c>
      <c r="BF96" s="20"/>
      <c r="BG96" s="20"/>
      <c r="BK96" s="22" t="s">
        <v>102</v>
      </c>
      <c r="BV96" t="s">
        <v>50</v>
      </c>
      <c r="BW96" s="41">
        <v>5</v>
      </c>
      <c r="BZ96" s="22" t="s">
        <v>94</v>
      </c>
    </row>
    <row r="97" spans="1:78" s="41" customFormat="1" x14ac:dyDescent="0.2">
      <c r="A97" s="20" t="s">
        <v>75</v>
      </c>
      <c r="B97" s="21" t="s">
        <v>77</v>
      </c>
      <c r="C97" s="21" t="s">
        <v>78</v>
      </c>
      <c r="D97" s="20" t="s">
        <v>76</v>
      </c>
      <c r="F97" s="20" t="s">
        <v>120</v>
      </c>
      <c r="J97" s="41">
        <v>3</v>
      </c>
      <c r="AE97" t="s">
        <v>114</v>
      </c>
      <c r="AH97" s="40" t="s">
        <v>118</v>
      </c>
      <c r="AI97" s="41">
        <v>16</v>
      </c>
      <c r="AL97" s="41" t="s">
        <v>109</v>
      </c>
      <c r="BD97" s="20" t="s">
        <v>100</v>
      </c>
      <c r="BE97" s="20">
        <v>2020</v>
      </c>
      <c r="BF97" s="20"/>
      <c r="BG97" s="20"/>
      <c r="BK97" s="22" t="s">
        <v>102</v>
      </c>
      <c r="BV97" t="s">
        <v>50</v>
      </c>
      <c r="BW97" s="41">
        <v>5</v>
      </c>
      <c r="BZ97" s="22" t="s">
        <v>94</v>
      </c>
    </row>
    <row r="98" spans="1:78" s="41" customFormat="1" x14ac:dyDescent="0.2">
      <c r="A98" s="20" t="s">
        <v>75</v>
      </c>
      <c r="B98" s="21" t="s">
        <v>77</v>
      </c>
      <c r="C98" s="21" t="s">
        <v>78</v>
      </c>
      <c r="D98" s="20" t="s">
        <v>76</v>
      </c>
      <c r="F98" s="20" t="s">
        <v>120</v>
      </c>
      <c r="J98" s="41">
        <v>2.2000000000000002</v>
      </c>
      <c r="AE98" t="s">
        <v>114</v>
      </c>
      <c r="AH98" s="40" t="s">
        <v>118</v>
      </c>
      <c r="AI98" s="41">
        <v>20</v>
      </c>
      <c r="AL98" s="41" t="s">
        <v>109</v>
      </c>
      <c r="BD98" s="20" t="s">
        <v>100</v>
      </c>
      <c r="BE98" s="20">
        <v>2020</v>
      </c>
      <c r="BF98" s="20"/>
      <c r="BG98" s="20"/>
      <c r="BK98" s="22" t="s">
        <v>102</v>
      </c>
      <c r="BV98" t="s">
        <v>50</v>
      </c>
      <c r="BW98" s="41">
        <v>5</v>
      </c>
      <c r="BZ98" s="22" t="s">
        <v>94</v>
      </c>
    </row>
    <row r="99" spans="1:78" s="41" customFormat="1" x14ac:dyDescent="0.2">
      <c r="A99" s="20" t="s">
        <v>75</v>
      </c>
      <c r="B99" s="21" t="s">
        <v>77</v>
      </c>
      <c r="C99" s="21" t="s">
        <v>78</v>
      </c>
      <c r="D99" s="20" t="s">
        <v>76</v>
      </c>
      <c r="F99" s="20" t="s">
        <v>120</v>
      </c>
      <c r="J99" s="41">
        <v>2</v>
      </c>
      <c r="AE99" t="s">
        <v>114</v>
      </c>
      <c r="AH99" s="40" t="s">
        <v>118</v>
      </c>
      <c r="AI99" s="41">
        <v>24</v>
      </c>
      <c r="AL99" s="41" t="s">
        <v>109</v>
      </c>
      <c r="BD99" s="20" t="s">
        <v>100</v>
      </c>
      <c r="BE99" s="20">
        <v>2020</v>
      </c>
      <c r="BF99" s="20"/>
      <c r="BG99" s="20"/>
      <c r="BK99" s="22" t="s">
        <v>102</v>
      </c>
      <c r="BV99" t="s">
        <v>50</v>
      </c>
      <c r="BW99" s="41">
        <v>5</v>
      </c>
      <c r="BZ99" s="22" t="s">
        <v>94</v>
      </c>
    </row>
    <row r="100" spans="1:78" s="41" customFormat="1" x14ac:dyDescent="0.2">
      <c r="A100" s="20" t="s">
        <v>75</v>
      </c>
      <c r="B100" s="21" t="s">
        <v>77</v>
      </c>
      <c r="C100" s="21" t="s">
        <v>78</v>
      </c>
      <c r="D100" s="20" t="s">
        <v>76</v>
      </c>
      <c r="F100" s="20" t="s">
        <v>120</v>
      </c>
      <c r="J100" s="41">
        <v>2</v>
      </c>
      <c r="AE100" t="s">
        <v>114</v>
      </c>
      <c r="AH100" s="40" t="s">
        <v>118</v>
      </c>
      <c r="AI100" s="41">
        <v>28</v>
      </c>
      <c r="AL100" s="41" t="s">
        <v>109</v>
      </c>
      <c r="BD100" s="20" t="s">
        <v>100</v>
      </c>
      <c r="BE100" s="20">
        <v>2020</v>
      </c>
      <c r="BF100" s="20"/>
      <c r="BG100" s="20"/>
      <c r="BK100" s="22" t="s">
        <v>102</v>
      </c>
      <c r="BV100" t="s">
        <v>50</v>
      </c>
      <c r="BW100" s="41">
        <v>5</v>
      </c>
      <c r="BZ100" s="22" t="s">
        <v>94</v>
      </c>
    </row>
    <row r="101" spans="1:78" s="41" customFormat="1" x14ac:dyDescent="0.2">
      <c r="A101" s="20" t="s">
        <v>75</v>
      </c>
      <c r="B101" s="21" t="s">
        <v>77</v>
      </c>
      <c r="C101" s="21" t="s">
        <v>78</v>
      </c>
      <c r="D101" s="20" t="s">
        <v>76</v>
      </c>
      <c r="F101" s="20" t="s">
        <v>120</v>
      </c>
      <c r="J101" s="41">
        <v>1.5</v>
      </c>
      <c r="AE101" t="s">
        <v>114</v>
      </c>
      <c r="AH101" s="40" t="s">
        <v>118</v>
      </c>
      <c r="AI101" s="41">
        <v>32</v>
      </c>
      <c r="AL101" s="41" t="s">
        <v>109</v>
      </c>
      <c r="BD101" s="20" t="s">
        <v>100</v>
      </c>
      <c r="BE101" s="20">
        <v>2020</v>
      </c>
      <c r="BF101" s="20"/>
      <c r="BG101" s="20"/>
      <c r="BK101" s="22" t="s">
        <v>102</v>
      </c>
      <c r="BV101" t="s">
        <v>50</v>
      </c>
      <c r="BW101" s="41">
        <v>5</v>
      </c>
      <c r="BZ101" s="22" t="s">
        <v>94</v>
      </c>
    </row>
    <row r="102" spans="1:78" s="41" customFormat="1" x14ac:dyDescent="0.2">
      <c r="A102" s="20" t="s">
        <v>75</v>
      </c>
      <c r="B102" s="21" t="s">
        <v>77</v>
      </c>
      <c r="C102" s="21" t="s">
        <v>78</v>
      </c>
      <c r="D102" s="20" t="s">
        <v>76</v>
      </c>
      <c r="F102" s="20" t="s">
        <v>120</v>
      </c>
      <c r="J102" s="41">
        <v>3</v>
      </c>
      <c r="AE102" t="s">
        <v>114</v>
      </c>
      <c r="AH102" s="40" t="s">
        <v>118</v>
      </c>
      <c r="AI102" s="41">
        <v>36</v>
      </c>
      <c r="AL102" s="41" t="s">
        <v>109</v>
      </c>
      <c r="BD102" s="20" t="s">
        <v>100</v>
      </c>
      <c r="BE102" s="20">
        <v>2020</v>
      </c>
      <c r="BF102" s="20"/>
      <c r="BG102" s="20"/>
      <c r="BK102" s="22" t="s">
        <v>102</v>
      </c>
      <c r="BV102" t="s">
        <v>50</v>
      </c>
      <c r="BW102" s="41">
        <v>5</v>
      </c>
      <c r="BZ102" s="22" t="s">
        <v>94</v>
      </c>
    </row>
    <row r="103" spans="1:78" s="41" customFormat="1" x14ac:dyDescent="0.2">
      <c r="A103" s="20" t="s">
        <v>75</v>
      </c>
      <c r="B103" s="21" t="s">
        <v>77</v>
      </c>
      <c r="C103" s="21" t="s">
        <v>78</v>
      </c>
      <c r="D103" s="20" t="s">
        <v>76</v>
      </c>
      <c r="F103" s="20" t="s">
        <v>120</v>
      </c>
      <c r="J103" s="41">
        <v>2.75</v>
      </c>
      <c r="AE103" t="s">
        <v>114</v>
      </c>
      <c r="AF103" s="41" t="s">
        <v>39</v>
      </c>
      <c r="AG103" s="41" t="s">
        <v>122</v>
      </c>
      <c r="AH103" s="40" t="s">
        <v>118</v>
      </c>
      <c r="AL103" t="s">
        <v>109</v>
      </c>
      <c r="AM103"/>
      <c r="AN103"/>
      <c r="AO103"/>
      <c r="AP103"/>
      <c r="AQ103"/>
      <c r="AR103"/>
      <c r="AS103"/>
      <c r="AT103"/>
      <c r="AU103"/>
      <c r="BD103" s="20" t="s">
        <v>100</v>
      </c>
      <c r="BE103" s="20">
        <v>2020</v>
      </c>
      <c r="BF103" s="20"/>
      <c r="BG103" s="20"/>
      <c r="BK103" s="22" t="s">
        <v>102</v>
      </c>
      <c r="BV103" t="s">
        <v>50</v>
      </c>
      <c r="BW103" s="41">
        <v>5</v>
      </c>
      <c r="BZ103" s="22" t="s">
        <v>94</v>
      </c>
    </row>
    <row r="104" spans="1:78" s="41" customFormat="1" x14ac:dyDescent="0.2">
      <c r="A104" s="20" t="s">
        <v>75</v>
      </c>
      <c r="B104" s="21" t="s">
        <v>77</v>
      </c>
      <c r="C104" s="21" t="s">
        <v>78</v>
      </c>
      <c r="D104" s="20" t="s">
        <v>76</v>
      </c>
      <c r="F104" s="20" t="s">
        <v>120</v>
      </c>
      <c r="J104" s="41">
        <v>2.5</v>
      </c>
      <c r="AE104" t="s">
        <v>114</v>
      </c>
      <c r="AF104" s="41" t="s">
        <v>40</v>
      </c>
      <c r="AG104" s="41" t="s">
        <v>122</v>
      </c>
      <c r="AH104" s="40" t="s">
        <v>118</v>
      </c>
      <c r="AL104" t="s">
        <v>109</v>
      </c>
      <c r="AM104"/>
      <c r="AN104"/>
      <c r="AO104"/>
      <c r="AP104"/>
      <c r="AQ104"/>
      <c r="AR104"/>
      <c r="AS104"/>
      <c r="AT104"/>
      <c r="AU104"/>
      <c r="BD104" s="20" t="s">
        <v>100</v>
      </c>
      <c r="BE104" s="20">
        <v>2020</v>
      </c>
      <c r="BF104" s="20"/>
      <c r="BG104" s="20"/>
      <c r="BK104" s="22" t="s">
        <v>102</v>
      </c>
      <c r="BV104" t="s">
        <v>50</v>
      </c>
      <c r="BW104" s="41">
        <v>5</v>
      </c>
      <c r="BZ104" s="22" t="s">
        <v>94</v>
      </c>
    </row>
    <row r="105" spans="1:78" s="41" customFormat="1" x14ac:dyDescent="0.2">
      <c r="A105" s="20" t="s">
        <v>75</v>
      </c>
      <c r="B105" s="21" t="s">
        <v>77</v>
      </c>
      <c r="C105" s="21" t="s">
        <v>78</v>
      </c>
      <c r="D105" s="20" t="s">
        <v>76</v>
      </c>
      <c r="F105" s="20" t="s">
        <v>120</v>
      </c>
      <c r="J105" s="41">
        <v>2</v>
      </c>
      <c r="AE105" t="s">
        <v>114</v>
      </c>
      <c r="AF105" s="41" t="s">
        <v>39</v>
      </c>
      <c r="AG105" s="41" t="s">
        <v>89</v>
      </c>
      <c r="AH105" s="40" t="s">
        <v>118</v>
      </c>
      <c r="AL105" t="s">
        <v>109</v>
      </c>
      <c r="AM105"/>
      <c r="AN105"/>
      <c r="AO105"/>
      <c r="AP105"/>
      <c r="AQ105"/>
      <c r="AR105"/>
      <c r="AS105"/>
      <c r="AT105"/>
      <c r="AU105"/>
      <c r="BD105" s="20" t="s">
        <v>100</v>
      </c>
      <c r="BE105" s="20">
        <v>2020</v>
      </c>
      <c r="BF105" s="20"/>
      <c r="BG105" s="20"/>
      <c r="BK105" s="22" t="s">
        <v>102</v>
      </c>
      <c r="BV105" t="s">
        <v>50</v>
      </c>
      <c r="BW105" s="41">
        <v>5</v>
      </c>
      <c r="BZ105" s="22" t="s">
        <v>94</v>
      </c>
    </row>
    <row r="106" spans="1:78" s="41" customFormat="1" x14ac:dyDescent="0.2">
      <c r="A106" s="20" t="s">
        <v>75</v>
      </c>
      <c r="B106" s="21" t="s">
        <v>77</v>
      </c>
      <c r="C106" s="21" t="s">
        <v>78</v>
      </c>
      <c r="D106" s="20" t="s">
        <v>76</v>
      </c>
      <c r="F106" s="20" t="s">
        <v>120</v>
      </c>
      <c r="J106" s="41">
        <v>2.5</v>
      </c>
      <c r="AE106" t="s">
        <v>114</v>
      </c>
      <c r="AF106" s="41" t="s">
        <v>40</v>
      </c>
      <c r="AG106" s="41" t="s">
        <v>89</v>
      </c>
      <c r="AH106" s="40" t="s">
        <v>118</v>
      </c>
      <c r="AL106" t="s">
        <v>109</v>
      </c>
      <c r="AM106"/>
      <c r="AN106"/>
      <c r="AO106"/>
      <c r="AP106"/>
      <c r="AQ106"/>
      <c r="AR106"/>
      <c r="AS106"/>
      <c r="AT106"/>
      <c r="AU106"/>
      <c r="BD106" s="20" t="s">
        <v>100</v>
      </c>
      <c r="BE106" s="20">
        <v>2020</v>
      </c>
      <c r="BF106" s="20"/>
      <c r="BG106" s="20"/>
      <c r="BK106" s="22" t="s">
        <v>102</v>
      </c>
      <c r="BV106" t="s">
        <v>50</v>
      </c>
      <c r="BW106" s="41">
        <v>5</v>
      </c>
      <c r="BZ106" s="22" t="s">
        <v>94</v>
      </c>
    </row>
    <row r="107" spans="1:78" s="41" customFormat="1" x14ac:dyDescent="0.2">
      <c r="A107" s="20" t="s">
        <v>75</v>
      </c>
      <c r="B107" s="21" t="s">
        <v>77</v>
      </c>
      <c r="C107" s="21" t="s">
        <v>78</v>
      </c>
      <c r="D107" s="20" t="s">
        <v>76</v>
      </c>
      <c r="F107" s="20" t="s">
        <v>120</v>
      </c>
      <c r="J107" s="41">
        <v>3</v>
      </c>
      <c r="AE107" t="s">
        <v>114</v>
      </c>
      <c r="AF107" s="41" t="s">
        <v>39</v>
      </c>
      <c r="AG107" s="41" t="s">
        <v>123</v>
      </c>
      <c r="AH107" s="40" t="s">
        <v>118</v>
      </c>
      <c r="AL107" t="s">
        <v>109</v>
      </c>
      <c r="AM107"/>
      <c r="AN107"/>
      <c r="AO107"/>
      <c r="AP107"/>
      <c r="AQ107"/>
      <c r="AR107"/>
      <c r="AS107"/>
      <c r="AT107"/>
      <c r="AU107"/>
      <c r="BD107" s="20" t="s">
        <v>100</v>
      </c>
      <c r="BE107" s="20">
        <v>2020</v>
      </c>
      <c r="BF107" s="20"/>
      <c r="BG107" s="20"/>
      <c r="BK107" s="22" t="s">
        <v>102</v>
      </c>
      <c r="BV107" t="s">
        <v>50</v>
      </c>
      <c r="BW107" s="41">
        <v>5</v>
      </c>
      <c r="BZ107" s="22" t="s">
        <v>94</v>
      </c>
    </row>
    <row r="108" spans="1:78" s="41" customFormat="1" x14ac:dyDescent="0.2">
      <c r="A108" s="20" t="s">
        <v>75</v>
      </c>
      <c r="B108" s="21" t="s">
        <v>77</v>
      </c>
      <c r="C108" s="21" t="s">
        <v>78</v>
      </c>
      <c r="D108" s="20" t="s">
        <v>76</v>
      </c>
      <c r="F108" s="20" t="s">
        <v>120</v>
      </c>
      <c r="J108" s="41">
        <v>1.6</v>
      </c>
      <c r="AE108" t="s">
        <v>114</v>
      </c>
      <c r="AF108" s="41" t="s">
        <v>40</v>
      </c>
      <c r="AG108" s="41" t="s">
        <v>123</v>
      </c>
      <c r="AH108" s="40" t="s">
        <v>118</v>
      </c>
      <c r="AL108" t="s">
        <v>109</v>
      </c>
      <c r="AM108"/>
      <c r="AN108"/>
      <c r="AO108"/>
      <c r="AP108"/>
      <c r="AQ108"/>
      <c r="AR108"/>
      <c r="AS108"/>
      <c r="AT108"/>
      <c r="AU108"/>
      <c r="BD108" s="20" t="s">
        <v>100</v>
      </c>
      <c r="BE108" s="20">
        <v>2020</v>
      </c>
      <c r="BF108" s="20"/>
      <c r="BG108" s="20"/>
      <c r="BK108" s="22" t="s">
        <v>102</v>
      </c>
      <c r="BV108" t="s">
        <v>50</v>
      </c>
      <c r="BW108" s="41">
        <v>5</v>
      </c>
      <c r="BZ108" s="22" t="s">
        <v>94</v>
      </c>
    </row>
    <row r="109" spans="1:78" s="41" customFormat="1" x14ac:dyDescent="0.2">
      <c r="A109" s="20" t="s">
        <v>75</v>
      </c>
      <c r="B109" s="21" t="s">
        <v>77</v>
      </c>
      <c r="C109" s="21" t="s">
        <v>78</v>
      </c>
      <c r="D109" s="20" t="s">
        <v>76</v>
      </c>
      <c r="F109" s="20" t="s">
        <v>120</v>
      </c>
      <c r="V109" s="43">
        <f>400/60</f>
        <v>6.666666666666667</v>
      </c>
      <c r="AE109" t="s">
        <v>114</v>
      </c>
      <c r="AG109" s="41" t="s">
        <v>122</v>
      </c>
      <c r="AH109" s="40" t="s">
        <v>118</v>
      </c>
      <c r="AI109" s="41">
        <v>12</v>
      </c>
      <c r="AL109" t="s">
        <v>109</v>
      </c>
      <c r="AM109"/>
      <c r="AN109"/>
      <c r="AO109"/>
      <c r="AP109"/>
      <c r="AQ109"/>
      <c r="AR109"/>
      <c r="AS109"/>
      <c r="AT109"/>
      <c r="AU109"/>
      <c r="BD109" s="20" t="s">
        <v>100</v>
      </c>
      <c r="BE109" s="20">
        <v>2020</v>
      </c>
      <c r="BF109" s="20"/>
      <c r="BG109" s="20"/>
      <c r="BK109" s="22" t="s">
        <v>102</v>
      </c>
      <c r="BV109" t="s">
        <v>50</v>
      </c>
      <c r="BW109" s="41">
        <v>4</v>
      </c>
      <c r="BZ109" s="22" t="s">
        <v>94</v>
      </c>
    </row>
    <row r="110" spans="1:78" s="41" customFormat="1" x14ac:dyDescent="0.2">
      <c r="A110" s="20" t="s">
        <v>75</v>
      </c>
      <c r="B110" s="21" t="s">
        <v>77</v>
      </c>
      <c r="C110" s="21" t="s">
        <v>78</v>
      </c>
      <c r="D110" s="20" t="s">
        <v>76</v>
      </c>
      <c r="F110" s="20" t="s">
        <v>120</v>
      </c>
      <c r="V110" s="43">
        <f>700/600</f>
        <v>1.1666666666666667</v>
      </c>
      <c r="AE110" t="s">
        <v>114</v>
      </c>
      <c r="AG110" s="41" t="s">
        <v>89</v>
      </c>
      <c r="AH110" s="40" t="s">
        <v>118</v>
      </c>
      <c r="AI110" s="41">
        <v>12</v>
      </c>
      <c r="AL110" t="s">
        <v>109</v>
      </c>
      <c r="AM110"/>
      <c r="AN110"/>
      <c r="AO110"/>
      <c r="AP110"/>
      <c r="AQ110"/>
      <c r="AR110"/>
      <c r="AS110"/>
      <c r="AT110"/>
      <c r="AU110"/>
      <c r="BD110" s="20" t="s">
        <v>100</v>
      </c>
      <c r="BE110" s="20">
        <v>2020</v>
      </c>
      <c r="BF110" s="20"/>
      <c r="BG110" s="20"/>
      <c r="BK110" s="22" t="s">
        <v>102</v>
      </c>
      <c r="BV110" t="s">
        <v>50</v>
      </c>
      <c r="BW110" s="41">
        <v>4</v>
      </c>
      <c r="BZ110" s="22" t="s">
        <v>94</v>
      </c>
    </row>
    <row r="111" spans="1:78" s="41" customFormat="1" x14ac:dyDescent="0.2">
      <c r="A111" s="20" t="s">
        <v>75</v>
      </c>
      <c r="B111" s="21" t="s">
        <v>77</v>
      </c>
      <c r="C111" s="21" t="s">
        <v>78</v>
      </c>
      <c r="D111" s="20" t="s">
        <v>76</v>
      </c>
      <c r="F111" s="20" t="s">
        <v>120</v>
      </c>
      <c r="V111" s="43">
        <f>400/60</f>
        <v>6.666666666666667</v>
      </c>
      <c r="AE111" s="16" t="s">
        <v>114</v>
      </c>
      <c r="AG111" s="41" t="s">
        <v>123</v>
      </c>
      <c r="AH111" s="40" t="s">
        <v>118</v>
      </c>
      <c r="AI111" s="41">
        <v>12</v>
      </c>
      <c r="AL111" t="s">
        <v>109</v>
      </c>
      <c r="AM111"/>
      <c r="AN111"/>
      <c r="AO111"/>
      <c r="AP111"/>
      <c r="AQ111"/>
      <c r="AR111"/>
      <c r="AS111"/>
      <c r="AT111"/>
      <c r="AU111"/>
      <c r="BD111" s="20" t="s">
        <v>100</v>
      </c>
      <c r="BE111" s="20">
        <v>2020</v>
      </c>
      <c r="BF111" s="20"/>
      <c r="BG111" s="20"/>
      <c r="BK111" s="22" t="s">
        <v>102</v>
      </c>
      <c r="BV111" t="s">
        <v>50</v>
      </c>
      <c r="BW111" s="41">
        <v>4</v>
      </c>
      <c r="BZ111" s="22" t="s">
        <v>94</v>
      </c>
    </row>
    <row r="112" spans="1:78" s="41" customFormat="1" x14ac:dyDescent="0.2">
      <c r="A112" s="20" t="s">
        <v>75</v>
      </c>
      <c r="B112" s="21" t="s">
        <v>77</v>
      </c>
      <c r="C112" s="21" t="s">
        <v>78</v>
      </c>
      <c r="D112" s="20" t="s">
        <v>76</v>
      </c>
      <c r="F112" s="20" t="s">
        <v>120</v>
      </c>
      <c r="V112" s="41">
        <f>600/60</f>
        <v>10</v>
      </c>
      <c r="AE112" s="16" t="s">
        <v>114</v>
      </c>
      <c r="AG112" s="41" t="s">
        <v>122</v>
      </c>
      <c r="AH112" s="40" t="s">
        <v>118</v>
      </c>
      <c r="AI112" s="41">
        <v>16</v>
      </c>
      <c r="AL112" t="s">
        <v>109</v>
      </c>
      <c r="AM112"/>
      <c r="AN112"/>
      <c r="AO112"/>
      <c r="AP112"/>
      <c r="AQ112"/>
      <c r="AR112"/>
      <c r="AS112"/>
      <c r="AT112"/>
      <c r="AU112"/>
      <c r="BD112" s="20" t="s">
        <v>100</v>
      </c>
      <c r="BE112" s="20">
        <v>2020</v>
      </c>
      <c r="BF112" s="20"/>
      <c r="BG112" s="20"/>
      <c r="BK112" s="22" t="s">
        <v>102</v>
      </c>
      <c r="BV112" t="s">
        <v>50</v>
      </c>
      <c r="BW112" s="41">
        <v>4</v>
      </c>
      <c r="BZ112" s="22" t="s">
        <v>94</v>
      </c>
    </row>
    <row r="113" spans="1:78" s="41" customFormat="1" x14ac:dyDescent="0.2">
      <c r="A113" s="20" t="s">
        <v>75</v>
      </c>
      <c r="B113" s="21" t="s">
        <v>77</v>
      </c>
      <c r="C113" s="21" t="s">
        <v>78</v>
      </c>
      <c r="D113" s="20" t="s">
        <v>76</v>
      </c>
      <c r="F113" s="20" t="s">
        <v>120</v>
      </c>
      <c r="V113" s="41">
        <f>1700/60</f>
        <v>28.333333333333332</v>
      </c>
      <c r="AE113" s="16" t="s">
        <v>114</v>
      </c>
      <c r="AG113" s="41" t="s">
        <v>89</v>
      </c>
      <c r="AH113" s="40" t="s">
        <v>118</v>
      </c>
      <c r="AI113" s="41">
        <v>16</v>
      </c>
      <c r="AL113" t="s">
        <v>109</v>
      </c>
      <c r="AM113"/>
      <c r="AN113"/>
      <c r="AO113"/>
      <c r="AP113"/>
      <c r="AQ113"/>
      <c r="AR113"/>
      <c r="AS113"/>
      <c r="AT113"/>
      <c r="AU113"/>
      <c r="BD113" s="20" t="s">
        <v>100</v>
      </c>
      <c r="BE113" s="20">
        <v>2020</v>
      </c>
      <c r="BF113" s="20"/>
      <c r="BG113" s="20"/>
      <c r="BK113" s="22" t="s">
        <v>102</v>
      </c>
      <c r="BV113" t="s">
        <v>50</v>
      </c>
      <c r="BW113" s="41">
        <v>4</v>
      </c>
      <c r="BZ113" s="22" t="s">
        <v>94</v>
      </c>
    </row>
    <row r="114" spans="1:78" s="41" customFormat="1" x14ac:dyDescent="0.2">
      <c r="A114" s="20" t="s">
        <v>75</v>
      </c>
      <c r="B114" s="21" t="s">
        <v>77</v>
      </c>
      <c r="C114" s="21" t="s">
        <v>78</v>
      </c>
      <c r="D114" s="20" t="s">
        <v>76</v>
      </c>
      <c r="F114" s="20" t="s">
        <v>120</v>
      </c>
      <c r="V114" s="41">
        <f>900/60</f>
        <v>15</v>
      </c>
      <c r="AE114" s="16" t="s">
        <v>114</v>
      </c>
      <c r="AG114" s="41" t="s">
        <v>123</v>
      </c>
      <c r="AH114" s="40" t="s">
        <v>118</v>
      </c>
      <c r="AI114" s="41">
        <v>16</v>
      </c>
      <c r="AL114" t="s">
        <v>109</v>
      </c>
      <c r="AM114"/>
      <c r="AN114"/>
      <c r="AO114"/>
      <c r="AP114"/>
      <c r="AQ114"/>
      <c r="AR114"/>
      <c r="AS114"/>
      <c r="AT114"/>
      <c r="AU114"/>
      <c r="BD114" s="20" t="s">
        <v>100</v>
      </c>
      <c r="BE114" s="20">
        <v>2020</v>
      </c>
      <c r="BF114" s="20"/>
      <c r="BG114" s="20"/>
      <c r="BK114" s="22" t="s">
        <v>102</v>
      </c>
      <c r="BV114" t="s">
        <v>50</v>
      </c>
      <c r="BW114" s="41">
        <v>4</v>
      </c>
      <c r="BZ114" s="22" t="s">
        <v>94</v>
      </c>
    </row>
    <row r="115" spans="1:78" s="41" customFormat="1" x14ac:dyDescent="0.2">
      <c r="A115" s="20" t="s">
        <v>75</v>
      </c>
      <c r="B115" s="21" t="s">
        <v>77</v>
      </c>
      <c r="C115" s="21" t="s">
        <v>78</v>
      </c>
      <c r="D115" s="20" t="s">
        <v>76</v>
      </c>
      <c r="F115" s="20" t="s">
        <v>120</v>
      </c>
      <c r="V115" s="43">
        <f>1400/60</f>
        <v>23.333333333333332</v>
      </c>
      <c r="AE115" s="16" t="s">
        <v>114</v>
      </c>
      <c r="AG115" s="41" t="s">
        <v>122</v>
      </c>
      <c r="AH115" s="40" t="s">
        <v>118</v>
      </c>
      <c r="AI115" s="41">
        <v>20</v>
      </c>
      <c r="AL115" t="s">
        <v>109</v>
      </c>
      <c r="AM115"/>
      <c r="AN115"/>
      <c r="AO115"/>
      <c r="AP115"/>
      <c r="AQ115"/>
      <c r="AR115"/>
      <c r="AS115"/>
      <c r="AT115"/>
      <c r="AU115"/>
      <c r="BD115" s="20" t="s">
        <v>100</v>
      </c>
      <c r="BE115" s="20">
        <v>2020</v>
      </c>
      <c r="BF115" s="20"/>
      <c r="BG115" s="20"/>
      <c r="BK115" s="22" t="s">
        <v>102</v>
      </c>
      <c r="BV115" t="s">
        <v>50</v>
      </c>
      <c r="BW115" s="41">
        <v>4</v>
      </c>
      <c r="BZ115" s="22" t="s">
        <v>94</v>
      </c>
    </row>
    <row r="116" spans="1:78" s="41" customFormat="1" x14ac:dyDescent="0.2">
      <c r="A116" s="20" t="s">
        <v>75</v>
      </c>
      <c r="B116" s="21" t="s">
        <v>77</v>
      </c>
      <c r="C116" s="21" t="s">
        <v>78</v>
      </c>
      <c r="D116" s="20" t="s">
        <v>76</v>
      </c>
      <c r="F116" s="20" t="s">
        <v>120</v>
      </c>
      <c r="V116" s="43">
        <f>1800/60</f>
        <v>30</v>
      </c>
      <c r="AE116" s="16" t="s">
        <v>114</v>
      </c>
      <c r="AG116" s="41" t="s">
        <v>89</v>
      </c>
      <c r="AH116" s="40" t="s">
        <v>118</v>
      </c>
      <c r="AI116" s="41">
        <v>20</v>
      </c>
      <c r="AL116" t="s">
        <v>109</v>
      </c>
      <c r="AM116"/>
      <c r="AN116"/>
      <c r="AO116"/>
      <c r="AP116"/>
      <c r="AQ116"/>
      <c r="AR116"/>
      <c r="AS116"/>
      <c r="AT116"/>
      <c r="AU116"/>
      <c r="BD116" s="20" t="s">
        <v>100</v>
      </c>
      <c r="BE116" s="20">
        <v>2020</v>
      </c>
      <c r="BF116" s="20"/>
      <c r="BG116" s="20"/>
      <c r="BK116" s="22" t="s">
        <v>102</v>
      </c>
      <c r="BV116" t="s">
        <v>50</v>
      </c>
      <c r="BW116" s="41">
        <v>4</v>
      </c>
      <c r="BZ116" s="22" t="s">
        <v>94</v>
      </c>
    </row>
    <row r="117" spans="1:78" s="41" customFormat="1" x14ac:dyDescent="0.2">
      <c r="A117" s="20" t="s">
        <v>75</v>
      </c>
      <c r="B117" s="21" t="s">
        <v>77</v>
      </c>
      <c r="C117" s="21" t="s">
        <v>78</v>
      </c>
      <c r="D117" s="20" t="s">
        <v>76</v>
      </c>
      <c r="F117" s="20" t="s">
        <v>120</v>
      </c>
      <c r="V117" s="43">
        <f>900/60</f>
        <v>15</v>
      </c>
      <c r="AE117" s="16" t="s">
        <v>114</v>
      </c>
      <c r="AG117" s="41" t="s">
        <v>123</v>
      </c>
      <c r="AH117" s="40" t="s">
        <v>118</v>
      </c>
      <c r="AI117" s="41">
        <v>20</v>
      </c>
      <c r="AL117" t="s">
        <v>109</v>
      </c>
      <c r="AM117"/>
      <c r="AN117"/>
      <c r="AO117"/>
      <c r="AP117"/>
      <c r="AQ117"/>
      <c r="AR117"/>
      <c r="AS117"/>
      <c r="AT117"/>
      <c r="AU117"/>
      <c r="BD117" s="20" t="s">
        <v>100</v>
      </c>
      <c r="BE117" s="20">
        <v>2020</v>
      </c>
      <c r="BF117" s="20"/>
      <c r="BG117" s="20"/>
      <c r="BK117" s="22" t="s">
        <v>102</v>
      </c>
      <c r="BV117" t="s">
        <v>50</v>
      </c>
      <c r="BW117" s="41">
        <v>4</v>
      </c>
      <c r="BZ117" s="22" t="s">
        <v>94</v>
      </c>
    </row>
    <row r="118" spans="1:78" s="41" customFormat="1" x14ac:dyDescent="0.2">
      <c r="A118" s="20" t="s">
        <v>75</v>
      </c>
      <c r="B118" s="21" t="s">
        <v>77</v>
      </c>
      <c r="C118" s="21" t="s">
        <v>78</v>
      </c>
      <c r="D118" s="20" t="s">
        <v>76</v>
      </c>
      <c r="F118" s="20" t="s">
        <v>120</v>
      </c>
      <c r="V118" s="41">
        <f>1500/60</f>
        <v>25</v>
      </c>
      <c r="AE118" s="16" t="s">
        <v>114</v>
      </c>
      <c r="AG118" s="41" t="s">
        <v>122</v>
      </c>
      <c r="AH118" s="40" t="s">
        <v>118</v>
      </c>
      <c r="AI118" s="41">
        <v>24</v>
      </c>
      <c r="AL118" t="s">
        <v>109</v>
      </c>
      <c r="AM118"/>
      <c r="AN118"/>
      <c r="AO118"/>
      <c r="AP118"/>
      <c r="AQ118"/>
      <c r="AR118"/>
      <c r="AS118"/>
      <c r="AT118"/>
      <c r="AU118"/>
      <c r="BD118" s="20" t="s">
        <v>100</v>
      </c>
      <c r="BE118" s="20">
        <v>2020</v>
      </c>
      <c r="BF118" s="20"/>
      <c r="BG118" s="20"/>
      <c r="BK118" s="22" t="s">
        <v>102</v>
      </c>
      <c r="BV118" t="s">
        <v>50</v>
      </c>
      <c r="BW118" s="41">
        <v>4</v>
      </c>
      <c r="BZ118" s="22" t="s">
        <v>94</v>
      </c>
    </row>
    <row r="119" spans="1:78" s="41" customFormat="1" x14ac:dyDescent="0.2">
      <c r="A119" s="20" t="s">
        <v>75</v>
      </c>
      <c r="B119" s="21" t="s">
        <v>77</v>
      </c>
      <c r="C119" s="21" t="s">
        <v>78</v>
      </c>
      <c r="D119" s="20" t="s">
        <v>76</v>
      </c>
      <c r="F119" s="20" t="s">
        <v>120</v>
      </c>
      <c r="V119" s="41">
        <f>2000/60</f>
        <v>33.333333333333336</v>
      </c>
      <c r="AE119" s="16" t="s">
        <v>114</v>
      </c>
      <c r="AG119" s="41" t="s">
        <v>89</v>
      </c>
      <c r="AH119" s="40" t="s">
        <v>118</v>
      </c>
      <c r="AI119" s="41">
        <v>24</v>
      </c>
      <c r="AL119" t="s">
        <v>109</v>
      </c>
      <c r="AM119"/>
      <c r="AN119"/>
      <c r="AO119"/>
      <c r="AP119"/>
      <c r="AQ119"/>
      <c r="AR119"/>
      <c r="AS119"/>
      <c r="AT119"/>
      <c r="AU119"/>
      <c r="BD119" s="20" t="s">
        <v>100</v>
      </c>
      <c r="BE119" s="20">
        <v>2020</v>
      </c>
      <c r="BF119" s="20"/>
      <c r="BG119" s="20"/>
      <c r="BK119" s="22" t="s">
        <v>102</v>
      </c>
      <c r="BV119" t="s">
        <v>50</v>
      </c>
      <c r="BW119" s="41">
        <v>4</v>
      </c>
      <c r="BZ119" s="22" t="s">
        <v>94</v>
      </c>
    </row>
    <row r="120" spans="1:78" s="41" customFormat="1" x14ac:dyDescent="0.2">
      <c r="A120" s="20" t="s">
        <v>75</v>
      </c>
      <c r="B120" s="21" t="s">
        <v>77</v>
      </c>
      <c r="C120" s="21" t="s">
        <v>78</v>
      </c>
      <c r="D120" s="20" t="s">
        <v>76</v>
      </c>
      <c r="F120" s="20" t="s">
        <v>120</v>
      </c>
      <c r="V120" s="41">
        <f>2800/60</f>
        <v>46.666666666666664</v>
      </c>
      <c r="AE120" s="16" t="s">
        <v>114</v>
      </c>
      <c r="AG120" s="41" t="s">
        <v>123</v>
      </c>
      <c r="AH120" s="40" t="s">
        <v>118</v>
      </c>
      <c r="AI120" s="41">
        <v>24</v>
      </c>
      <c r="AL120" t="s">
        <v>109</v>
      </c>
      <c r="AM120"/>
      <c r="AN120"/>
      <c r="AO120"/>
      <c r="AP120"/>
      <c r="AQ120"/>
      <c r="AR120"/>
      <c r="AS120"/>
      <c r="AT120"/>
      <c r="AU120"/>
      <c r="BD120" s="20" t="s">
        <v>100</v>
      </c>
      <c r="BE120" s="20">
        <v>2020</v>
      </c>
      <c r="BF120" s="20"/>
      <c r="BG120" s="20"/>
      <c r="BK120" s="22" t="s">
        <v>102</v>
      </c>
      <c r="BV120" t="s">
        <v>50</v>
      </c>
      <c r="BW120" s="41">
        <v>4</v>
      </c>
      <c r="BZ120" s="22" t="s">
        <v>94</v>
      </c>
    </row>
    <row r="121" spans="1:78" s="41" customFormat="1" x14ac:dyDescent="0.2">
      <c r="A121" s="20" t="s">
        <v>75</v>
      </c>
      <c r="B121" s="21" t="s">
        <v>77</v>
      </c>
      <c r="C121" s="21" t="s">
        <v>78</v>
      </c>
      <c r="D121" s="20" t="s">
        <v>76</v>
      </c>
      <c r="F121" s="20" t="s">
        <v>120</v>
      </c>
      <c r="V121" s="43">
        <f>900/60</f>
        <v>15</v>
      </c>
      <c r="AE121" s="16" t="s">
        <v>114</v>
      </c>
      <c r="AG121" s="41" t="s">
        <v>122</v>
      </c>
      <c r="AH121" s="40" t="s">
        <v>118</v>
      </c>
      <c r="AI121" s="41">
        <v>28</v>
      </c>
      <c r="AL121" t="s">
        <v>109</v>
      </c>
      <c r="AM121"/>
      <c r="AN121"/>
      <c r="AO121"/>
      <c r="AP121"/>
      <c r="AQ121"/>
      <c r="AR121"/>
      <c r="AS121"/>
      <c r="AT121"/>
      <c r="AU121"/>
      <c r="BD121" s="20" t="s">
        <v>100</v>
      </c>
      <c r="BE121" s="20">
        <v>2020</v>
      </c>
      <c r="BF121" s="20"/>
      <c r="BG121" s="20"/>
      <c r="BK121" s="22" t="s">
        <v>102</v>
      </c>
      <c r="BV121" t="s">
        <v>50</v>
      </c>
      <c r="BW121" s="41">
        <v>4</v>
      </c>
      <c r="BZ121" s="22" t="s">
        <v>94</v>
      </c>
    </row>
    <row r="122" spans="1:78" s="41" customFormat="1" x14ac:dyDescent="0.2">
      <c r="A122" s="20" t="s">
        <v>75</v>
      </c>
      <c r="B122" s="21" t="s">
        <v>77</v>
      </c>
      <c r="C122" s="21" t="s">
        <v>78</v>
      </c>
      <c r="D122" s="20" t="s">
        <v>76</v>
      </c>
      <c r="F122" s="20" t="s">
        <v>120</v>
      </c>
      <c r="V122" s="43">
        <f>1700/60</f>
        <v>28.333333333333332</v>
      </c>
      <c r="AE122" s="16" t="s">
        <v>114</v>
      </c>
      <c r="AG122" s="41" t="s">
        <v>89</v>
      </c>
      <c r="AH122" s="40" t="s">
        <v>118</v>
      </c>
      <c r="AI122" s="41">
        <v>28</v>
      </c>
      <c r="AL122" t="s">
        <v>109</v>
      </c>
      <c r="AM122"/>
      <c r="AN122"/>
      <c r="AO122"/>
      <c r="AP122"/>
      <c r="AQ122"/>
      <c r="AR122"/>
      <c r="AS122"/>
      <c r="AT122"/>
      <c r="AU122"/>
      <c r="BD122" s="20" t="s">
        <v>100</v>
      </c>
      <c r="BE122" s="20">
        <v>2020</v>
      </c>
      <c r="BF122" s="20"/>
      <c r="BG122" s="20"/>
      <c r="BK122" s="22" t="s">
        <v>102</v>
      </c>
      <c r="BV122" t="s">
        <v>50</v>
      </c>
      <c r="BW122" s="41">
        <v>4</v>
      </c>
      <c r="BZ122" s="22" t="s">
        <v>94</v>
      </c>
    </row>
    <row r="123" spans="1:78" s="41" customFormat="1" x14ac:dyDescent="0.2">
      <c r="A123" s="20" t="s">
        <v>75</v>
      </c>
      <c r="B123" s="21" t="s">
        <v>77</v>
      </c>
      <c r="C123" s="21" t="s">
        <v>78</v>
      </c>
      <c r="D123" s="20" t="s">
        <v>76</v>
      </c>
      <c r="F123" s="20" t="s">
        <v>120</v>
      </c>
      <c r="V123" s="43">
        <f>2100/60</f>
        <v>35</v>
      </c>
      <c r="AE123" s="16" t="s">
        <v>114</v>
      </c>
      <c r="AG123" s="41" t="s">
        <v>123</v>
      </c>
      <c r="AH123" s="40" t="s">
        <v>118</v>
      </c>
      <c r="AI123" s="41">
        <v>28</v>
      </c>
      <c r="AL123" t="s">
        <v>109</v>
      </c>
      <c r="AM123"/>
      <c r="AN123"/>
      <c r="AO123"/>
      <c r="AP123"/>
      <c r="AQ123"/>
      <c r="AR123"/>
      <c r="AS123"/>
      <c r="AT123"/>
      <c r="AU123"/>
      <c r="BD123" s="20" t="s">
        <v>100</v>
      </c>
      <c r="BE123" s="20">
        <v>2020</v>
      </c>
      <c r="BF123" s="20"/>
      <c r="BG123" s="20"/>
      <c r="BK123" s="22" t="s">
        <v>102</v>
      </c>
      <c r="BV123" t="s">
        <v>50</v>
      </c>
      <c r="BW123" s="41">
        <v>4</v>
      </c>
      <c r="BZ123" s="22" t="s">
        <v>94</v>
      </c>
    </row>
    <row r="124" spans="1:78" s="41" customFormat="1" x14ac:dyDescent="0.2">
      <c r="A124" s="20" t="s">
        <v>75</v>
      </c>
      <c r="B124" s="21" t="s">
        <v>77</v>
      </c>
      <c r="C124" s="21" t="s">
        <v>78</v>
      </c>
      <c r="D124" s="20" t="s">
        <v>76</v>
      </c>
      <c r="F124" s="20" t="s">
        <v>120</v>
      </c>
      <c r="V124" s="41">
        <f>1200/60</f>
        <v>20</v>
      </c>
      <c r="AE124" s="16" t="s">
        <v>114</v>
      </c>
      <c r="AG124" s="41" t="s">
        <v>122</v>
      </c>
      <c r="AH124" s="40" t="s">
        <v>118</v>
      </c>
      <c r="AI124" s="41">
        <v>32</v>
      </c>
      <c r="AL124" t="s">
        <v>109</v>
      </c>
      <c r="AM124"/>
      <c r="AN124"/>
      <c r="AO124"/>
      <c r="AP124"/>
      <c r="AQ124"/>
      <c r="AR124"/>
      <c r="AS124"/>
      <c r="AT124"/>
      <c r="AU124"/>
      <c r="BD124" s="20" t="s">
        <v>100</v>
      </c>
      <c r="BE124" s="20">
        <v>2020</v>
      </c>
      <c r="BF124" s="20"/>
      <c r="BG124" s="20"/>
      <c r="BK124" s="22" t="s">
        <v>102</v>
      </c>
      <c r="BV124" t="s">
        <v>50</v>
      </c>
      <c r="BW124" s="41">
        <v>4</v>
      </c>
      <c r="BZ124" s="22" t="s">
        <v>94</v>
      </c>
    </row>
    <row r="125" spans="1:78" s="41" customFormat="1" x14ac:dyDescent="0.2">
      <c r="A125" s="20" t="s">
        <v>75</v>
      </c>
      <c r="B125" s="21" t="s">
        <v>77</v>
      </c>
      <c r="C125" s="21" t="s">
        <v>78</v>
      </c>
      <c r="D125" s="20" t="s">
        <v>76</v>
      </c>
      <c r="F125" s="20" t="s">
        <v>120</v>
      </c>
      <c r="V125" s="41">
        <f>1000/60</f>
        <v>16.666666666666668</v>
      </c>
      <c r="AE125" s="16" t="s">
        <v>114</v>
      </c>
      <c r="AG125" s="41" t="s">
        <v>89</v>
      </c>
      <c r="AH125" s="40" t="s">
        <v>118</v>
      </c>
      <c r="AI125" s="41">
        <v>32</v>
      </c>
      <c r="AL125" t="s">
        <v>109</v>
      </c>
      <c r="AM125"/>
      <c r="AN125"/>
      <c r="AO125"/>
      <c r="AP125"/>
      <c r="AQ125"/>
      <c r="AR125"/>
      <c r="AS125"/>
      <c r="AT125"/>
      <c r="AU125"/>
      <c r="BD125" s="20" t="s">
        <v>100</v>
      </c>
      <c r="BE125" s="20">
        <v>2020</v>
      </c>
      <c r="BF125" s="20"/>
      <c r="BG125" s="20"/>
      <c r="BK125" s="22" t="s">
        <v>102</v>
      </c>
      <c r="BV125" t="s">
        <v>50</v>
      </c>
      <c r="BW125" s="41">
        <v>4</v>
      </c>
      <c r="BZ125" s="22" t="s">
        <v>94</v>
      </c>
    </row>
    <row r="126" spans="1:78" s="41" customFormat="1" x14ac:dyDescent="0.2">
      <c r="A126" s="20" t="s">
        <v>75</v>
      </c>
      <c r="B126" s="21" t="s">
        <v>77</v>
      </c>
      <c r="C126" s="21" t="s">
        <v>78</v>
      </c>
      <c r="D126" s="20" t="s">
        <v>76</v>
      </c>
      <c r="F126" s="20" t="s">
        <v>120</v>
      </c>
      <c r="V126" s="41">
        <f>1200/60</f>
        <v>20</v>
      </c>
      <c r="AE126" s="16" t="s">
        <v>114</v>
      </c>
      <c r="AG126" s="41" t="s">
        <v>123</v>
      </c>
      <c r="AH126" s="40" t="s">
        <v>118</v>
      </c>
      <c r="AI126" s="41">
        <v>32</v>
      </c>
      <c r="AL126" t="s">
        <v>109</v>
      </c>
      <c r="AM126"/>
      <c r="AN126"/>
      <c r="AO126"/>
      <c r="AP126"/>
      <c r="AQ126"/>
      <c r="AR126"/>
      <c r="AS126"/>
      <c r="AT126"/>
      <c r="AU126"/>
      <c r="BD126" s="20" t="s">
        <v>100</v>
      </c>
      <c r="BE126" s="20">
        <v>2020</v>
      </c>
      <c r="BF126" s="20"/>
      <c r="BG126" s="20"/>
      <c r="BK126" s="22" t="s">
        <v>102</v>
      </c>
      <c r="BV126" t="s">
        <v>50</v>
      </c>
      <c r="BW126" s="41">
        <v>4</v>
      </c>
      <c r="BZ126" s="22" t="s">
        <v>94</v>
      </c>
    </row>
    <row r="127" spans="1:78" s="41" customFormat="1" x14ac:dyDescent="0.2">
      <c r="A127" s="20" t="s">
        <v>75</v>
      </c>
      <c r="B127" s="21" t="s">
        <v>77</v>
      </c>
      <c r="C127" s="21" t="s">
        <v>78</v>
      </c>
      <c r="D127" s="20" t="s">
        <v>76</v>
      </c>
      <c r="F127" s="20" t="s">
        <v>120</v>
      </c>
      <c r="V127" s="41">
        <f>200/6</f>
        <v>33.333333333333336</v>
      </c>
      <c r="AE127" s="16" t="s">
        <v>114</v>
      </c>
      <c r="AG127" s="41" t="s">
        <v>122</v>
      </c>
      <c r="AH127" s="40" t="s">
        <v>118</v>
      </c>
      <c r="AI127" s="41">
        <v>36</v>
      </c>
      <c r="AL127" t="s">
        <v>109</v>
      </c>
      <c r="AM127"/>
      <c r="AN127"/>
      <c r="AO127"/>
      <c r="AP127"/>
      <c r="AQ127"/>
      <c r="AR127"/>
      <c r="AS127"/>
      <c r="AT127"/>
      <c r="AU127"/>
      <c r="BD127" s="20" t="s">
        <v>100</v>
      </c>
      <c r="BE127" s="20">
        <v>2020</v>
      </c>
      <c r="BF127" s="20"/>
      <c r="BG127" s="20"/>
      <c r="BK127" s="22" t="s">
        <v>102</v>
      </c>
      <c r="BV127" t="s">
        <v>50</v>
      </c>
      <c r="BW127" s="41">
        <v>4</v>
      </c>
      <c r="BZ127" s="22" t="s">
        <v>94</v>
      </c>
    </row>
    <row r="128" spans="1:78" s="41" customFormat="1" x14ac:dyDescent="0.2">
      <c r="A128" s="20" t="s">
        <v>75</v>
      </c>
      <c r="B128" s="21" t="s">
        <v>77</v>
      </c>
      <c r="C128" s="21" t="s">
        <v>78</v>
      </c>
      <c r="D128" s="20" t="s">
        <v>76</v>
      </c>
      <c r="F128" s="20" t="s">
        <v>120</v>
      </c>
      <c r="V128" s="41">
        <f>500/6</f>
        <v>83.333333333333329</v>
      </c>
      <c r="AE128" s="16" t="s">
        <v>114</v>
      </c>
      <c r="AG128" s="41" t="s">
        <v>89</v>
      </c>
      <c r="AH128" s="40" t="s">
        <v>118</v>
      </c>
      <c r="AI128" s="41">
        <v>36</v>
      </c>
      <c r="AL128" t="s">
        <v>109</v>
      </c>
      <c r="AM128"/>
      <c r="AN128"/>
      <c r="AO128"/>
      <c r="AP128"/>
      <c r="AQ128"/>
      <c r="AR128"/>
      <c r="AS128"/>
      <c r="AT128"/>
      <c r="AU128"/>
      <c r="BD128" s="20" t="s">
        <v>100</v>
      </c>
      <c r="BE128" s="20">
        <v>2020</v>
      </c>
      <c r="BF128" s="20"/>
      <c r="BG128" s="20"/>
      <c r="BK128" s="22" t="s">
        <v>102</v>
      </c>
      <c r="BV128" t="s">
        <v>50</v>
      </c>
      <c r="BW128" s="41">
        <v>4</v>
      </c>
      <c r="BZ128" s="22" t="s">
        <v>94</v>
      </c>
    </row>
    <row r="129" spans="1:78" s="46" customFormat="1" x14ac:dyDescent="0.2">
      <c r="A129" s="44" t="s">
        <v>75</v>
      </c>
      <c r="B129" s="45" t="s">
        <v>77</v>
      </c>
      <c r="C129" s="45" t="s">
        <v>78</v>
      </c>
      <c r="D129" s="44" t="s">
        <v>76</v>
      </c>
      <c r="F129" s="44" t="s">
        <v>120</v>
      </c>
      <c r="V129" s="46">
        <f>400/6</f>
        <v>66.666666666666671</v>
      </c>
      <c r="AE129" s="48" t="s">
        <v>114</v>
      </c>
      <c r="AG129" s="46" t="s">
        <v>123</v>
      </c>
      <c r="AH129" s="49" t="s">
        <v>118</v>
      </c>
      <c r="AI129" s="46">
        <v>36</v>
      </c>
      <c r="AL129" s="48" t="s">
        <v>109</v>
      </c>
      <c r="AM129" s="48"/>
      <c r="AN129" s="48"/>
      <c r="AO129" s="48"/>
      <c r="AP129" s="48"/>
      <c r="AQ129" s="48"/>
      <c r="AR129" s="48"/>
      <c r="AS129" s="48"/>
      <c r="AT129" s="48"/>
      <c r="AU129" s="48"/>
      <c r="BD129" s="44" t="s">
        <v>100</v>
      </c>
      <c r="BE129" s="44">
        <v>2020</v>
      </c>
      <c r="BF129" s="44"/>
      <c r="BG129" s="44"/>
      <c r="BK129" s="47" t="s">
        <v>102</v>
      </c>
      <c r="BV129" s="48" t="s">
        <v>50</v>
      </c>
      <c r="BW129" s="46">
        <v>4</v>
      </c>
      <c r="BZ129" s="47" t="s">
        <v>94</v>
      </c>
    </row>
    <row r="130" spans="1:78" s="41" customFormat="1" x14ac:dyDescent="0.2">
      <c r="A130" s="20" t="s">
        <v>191</v>
      </c>
      <c r="B130" s="21" t="s">
        <v>192</v>
      </c>
      <c r="C130" s="21" t="s">
        <v>126</v>
      </c>
      <c r="D130" s="20" t="s">
        <v>125</v>
      </c>
      <c r="F130" s="41" t="s">
        <v>127</v>
      </c>
      <c r="J130" s="41">
        <v>0.74</v>
      </c>
      <c r="K130" s="41">
        <v>0.42</v>
      </c>
      <c r="L130" s="41">
        <v>0.34</v>
      </c>
      <c r="M130" s="41">
        <v>0.22</v>
      </c>
      <c r="P130" s="41">
        <v>208</v>
      </c>
      <c r="Q130" s="41">
        <v>134</v>
      </c>
      <c r="V130" s="41">
        <v>9</v>
      </c>
      <c r="W130" s="41">
        <v>2</v>
      </c>
      <c r="AE130" s="16" t="s">
        <v>114</v>
      </c>
      <c r="AG130" s="15" t="s">
        <v>129</v>
      </c>
      <c r="AH130" s="40" t="s">
        <v>128</v>
      </c>
      <c r="AL130" t="s">
        <v>109</v>
      </c>
      <c r="AM130"/>
      <c r="AN130"/>
      <c r="AO130"/>
      <c r="AP130"/>
      <c r="AQ130"/>
      <c r="AR130"/>
      <c r="AS130"/>
      <c r="AT130"/>
      <c r="AU130"/>
      <c r="BD130" s="20" t="s">
        <v>133</v>
      </c>
      <c r="BE130" s="20">
        <v>2020</v>
      </c>
      <c r="BF130" s="20"/>
      <c r="BG130" s="20"/>
      <c r="BH130" s="41" t="s">
        <v>131</v>
      </c>
      <c r="BP130" s="41" t="s">
        <v>24</v>
      </c>
      <c r="BU130" s="41" t="s">
        <v>132</v>
      </c>
      <c r="BV130" s="15" t="s">
        <v>50</v>
      </c>
      <c r="BX130" s="41">
        <v>3</v>
      </c>
      <c r="BY130" s="41">
        <v>7</v>
      </c>
      <c r="BZ130" s="20" t="s">
        <v>130</v>
      </c>
    </row>
    <row r="131" spans="1:78" x14ac:dyDescent="0.2">
      <c r="A131" s="20" t="s">
        <v>191</v>
      </c>
      <c r="B131" s="21" t="s">
        <v>192</v>
      </c>
      <c r="C131" s="21" t="s">
        <v>126</v>
      </c>
      <c r="D131" s="20" t="s">
        <v>125</v>
      </c>
      <c r="F131" s="41" t="s">
        <v>127</v>
      </c>
      <c r="J131">
        <v>0.7</v>
      </c>
      <c r="K131">
        <v>0.28000000000000003</v>
      </c>
      <c r="L131">
        <v>0.35</v>
      </c>
      <c r="M131">
        <v>0.19</v>
      </c>
      <c r="P131">
        <v>211</v>
      </c>
      <c r="Q131">
        <v>117</v>
      </c>
      <c r="V131">
        <v>9</v>
      </c>
      <c r="W131">
        <v>3</v>
      </c>
      <c r="AE131" s="16" t="s">
        <v>114</v>
      </c>
      <c r="AG131" s="15" t="s">
        <v>129</v>
      </c>
      <c r="AH131" s="40" t="s">
        <v>128</v>
      </c>
      <c r="AL131" t="s">
        <v>109</v>
      </c>
      <c r="BD131" s="20" t="s">
        <v>133</v>
      </c>
      <c r="BE131" s="20">
        <v>2020</v>
      </c>
      <c r="BF131" s="20"/>
      <c r="BG131" s="20"/>
      <c r="BH131" s="41" t="s">
        <v>131</v>
      </c>
      <c r="BP131" s="41" t="s">
        <v>24</v>
      </c>
      <c r="BU131" s="41" t="s">
        <v>132</v>
      </c>
      <c r="BV131" s="15" t="s">
        <v>50</v>
      </c>
      <c r="BX131">
        <v>3</v>
      </c>
      <c r="BY131">
        <v>7</v>
      </c>
      <c r="BZ131" s="50" t="s">
        <v>130</v>
      </c>
    </row>
    <row r="132" spans="1:78" x14ac:dyDescent="0.2">
      <c r="A132" s="20" t="s">
        <v>191</v>
      </c>
      <c r="B132" s="21" t="s">
        <v>192</v>
      </c>
      <c r="C132" s="21" t="s">
        <v>126</v>
      </c>
      <c r="D132" s="20" t="s">
        <v>125</v>
      </c>
      <c r="F132" s="41" t="s">
        <v>127</v>
      </c>
      <c r="J132">
        <v>0.52</v>
      </c>
      <c r="K132">
        <v>0.19</v>
      </c>
      <c r="L132">
        <v>0.34</v>
      </c>
      <c r="M132">
        <v>0.16</v>
      </c>
      <c r="P132">
        <v>206</v>
      </c>
      <c r="Q132">
        <v>97</v>
      </c>
      <c r="V132">
        <v>10</v>
      </c>
      <c r="W132">
        <v>0</v>
      </c>
      <c r="AE132" s="16" t="s">
        <v>114</v>
      </c>
      <c r="AG132" s="15" t="s">
        <v>129</v>
      </c>
      <c r="AH132" s="40" t="s">
        <v>128</v>
      </c>
      <c r="AL132" t="s">
        <v>109</v>
      </c>
      <c r="BD132" s="20" t="s">
        <v>133</v>
      </c>
      <c r="BE132" s="20">
        <v>2020</v>
      </c>
      <c r="BF132" s="20"/>
      <c r="BG132" s="20"/>
      <c r="BH132" s="41" t="s">
        <v>131</v>
      </c>
      <c r="BP132" s="41" t="s">
        <v>24</v>
      </c>
      <c r="BU132" s="41" t="s">
        <v>132</v>
      </c>
      <c r="BV132" s="15" t="s">
        <v>50</v>
      </c>
      <c r="BX132">
        <v>3</v>
      </c>
      <c r="BY132">
        <v>7</v>
      </c>
      <c r="BZ132" s="50" t="s">
        <v>130</v>
      </c>
    </row>
    <row r="133" spans="1:78" x14ac:dyDescent="0.2">
      <c r="A133" s="20" t="s">
        <v>191</v>
      </c>
      <c r="B133" s="21" t="s">
        <v>192</v>
      </c>
      <c r="C133" s="21" t="s">
        <v>126</v>
      </c>
      <c r="D133" s="20" t="s">
        <v>125</v>
      </c>
      <c r="F133">
        <v>1</v>
      </c>
      <c r="J133">
        <v>0.28000000000000003</v>
      </c>
      <c r="AE133" s="16" t="s">
        <v>114</v>
      </c>
      <c r="AG133" s="15" t="s">
        <v>129</v>
      </c>
      <c r="AH133" s="40" t="s">
        <v>128</v>
      </c>
      <c r="AL133" t="s">
        <v>109</v>
      </c>
      <c r="BD133" s="20" t="s">
        <v>133</v>
      </c>
      <c r="BE133" s="20">
        <v>2020</v>
      </c>
      <c r="BF133" s="20"/>
      <c r="BG133" s="20"/>
      <c r="BH133" s="41" t="s">
        <v>131</v>
      </c>
      <c r="BP133" s="41" t="s">
        <v>24</v>
      </c>
      <c r="BU133" s="41" t="s">
        <v>132</v>
      </c>
      <c r="BV133" s="15" t="s">
        <v>50</v>
      </c>
      <c r="BX133">
        <v>3</v>
      </c>
      <c r="BY133">
        <v>7</v>
      </c>
      <c r="BZ133" s="50" t="s">
        <v>130</v>
      </c>
    </row>
    <row r="134" spans="1:78" x14ac:dyDescent="0.2">
      <c r="A134" s="20" t="s">
        <v>191</v>
      </c>
      <c r="B134" s="21" t="s">
        <v>192</v>
      </c>
      <c r="C134" s="21" t="s">
        <v>126</v>
      </c>
      <c r="D134" s="20" t="s">
        <v>125</v>
      </c>
      <c r="F134">
        <v>1</v>
      </c>
      <c r="J134">
        <v>1.2</v>
      </c>
      <c r="AE134" s="16" t="s">
        <v>114</v>
      </c>
      <c r="AG134" s="15" t="s">
        <v>129</v>
      </c>
      <c r="AH134" s="40" t="s">
        <v>128</v>
      </c>
      <c r="AL134" t="s">
        <v>109</v>
      </c>
      <c r="BD134" s="20" t="s">
        <v>133</v>
      </c>
      <c r="BE134" s="20">
        <v>2020</v>
      </c>
      <c r="BF134" s="20"/>
      <c r="BG134" s="20"/>
      <c r="BH134" s="41" t="s">
        <v>131</v>
      </c>
      <c r="BP134" s="41" t="s">
        <v>24</v>
      </c>
      <c r="BU134" s="41" t="s">
        <v>132</v>
      </c>
      <c r="BV134" s="15" t="s">
        <v>50</v>
      </c>
      <c r="BX134">
        <v>3</v>
      </c>
      <c r="BY134">
        <v>7</v>
      </c>
      <c r="BZ134" s="50" t="s">
        <v>130</v>
      </c>
    </row>
    <row r="135" spans="1:78" x14ac:dyDescent="0.2">
      <c r="A135" s="20" t="s">
        <v>191</v>
      </c>
      <c r="B135" s="21" t="s">
        <v>192</v>
      </c>
      <c r="C135" s="21" t="s">
        <v>126</v>
      </c>
      <c r="D135" s="20" t="s">
        <v>125</v>
      </c>
      <c r="F135">
        <v>1</v>
      </c>
      <c r="J135">
        <v>0.06</v>
      </c>
      <c r="AE135" s="16" t="s">
        <v>114</v>
      </c>
      <c r="AG135" s="15" t="s">
        <v>129</v>
      </c>
      <c r="AH135" s="40" t="s">
        <v>128</v>
      </c>
      <c r="AL135" t="s">
        <v>109</v>
      </c>
      <c r="BD135" s="20" t="s">
        <v>133</v>
      </c>
      <c r="BE135" s="20">
        <v>2020</v>
      </c>
      <c r="BF135" s="20"/>
      <c r="BG135" s="20"/>
      <c r="BH135" s="41" t="s">
        <v>131</v>
      </c>
      <c r="BP135" s="41" t="s">
        <v>24</v>
      </c>
      <c r="BU135" s="41" t="s">
        <v>132</v>
      </c>
      <c r="BV135" s="15" t="s">
        <v>50</v>
      </c>
      <c r="BX135">
        <v>3</v>
      </c>
      <c r="BY135">
        <v>7</v>
      </c>
      <c r="BZ135" s="50" t="s">
        <v>130</v>
      </c>
    </row>
    <row r="136" spans="1:78" x14ac:dyDescent="0.2">
      <c r="A136" s="20" t="s">
        <v>191</v>
      </c>
      <c r="B136" s="21" t="s">
        <v>192</v>
      </c>
      <c r="C136" s="21" t="s">
        <v>126</v>
      </c>
      <c r="D136" s="20" t="s">
        <v>125</v>
      </c>
      <c r="F136">
        <v>1</v>
      </c>
      <c r="J136">
        <v>1.7</v>
      </c>
      <c r="AE136" s="16" t="s">
        <v>114</v>
      </c>
      <c r="AG136" s="15" t="s">
        <v>129</v>
      </c>
      <c r="AH136" s="40" t="s">
        <v>128</v>
      </c>
      <c r="AL136" t="s">
        <v>109</v>
      </c>
      <c r="BD136" s="20" t="s">
        <v>133</v>
      </c>
      <c r="BE136" s="20">
        <v>2020</v>
      </c>
      <c r="BF136" s="20"/>
      <c r="BG136" s="20"/>
      <c r="BH136" s="41" t="s">
        <v>131</v>
      </c>
      <c r="BP136" s="41" t="s">
        <v>24</v>
      </c>
      <c r="BU136" s="41" t="s">
        <v>132</v>
      </c>
      <c r="BV136" s="15" t="s">
        <v>50</v>
      </c>
      <c r="BX136">
        <v>3</v>
      </c>
      <c r="BY136">
        <v>7</v>
      </c>
      <c r="BZ136" s="50" t="s">
        <v>130</v>
      </c>
    </row>
    <row r="137" spans="1:78" x14ac:dyDescent="0.2">
      <c r="A137" s="20" t="s">
        <v>191</v>
      </c>
      <c r="B137" s="21" t="s">
        <v>192</v>
      </c>
      <c r="C137" s="21" t="s">
        <v>126</v>
      </c>
      <c r="D137" s="20" t="s">
        <v>125</v>
      </c>
      <c r="F137">
        <v>1</v>
      </c>
      <c r="J137">
        <v>0.18</v>
      </c>
      <c r="AE137" s="16" t="s">
        <v>114</v>
      </c>
      <c r="AG137" s="15" t="s">
        <v>129</v>
      </c>
      <c r="AH137" s="40" t="s">
        <v>128</v>
      </c>
      <c r="AL137" t="s">
        <v>109</v>
      </c>
      <c r="BD137" s="20" t="s">
        <v>133</v>
      </c>
      <c r="BE137" s="20">
        <v>2020</v>
      </c>
      <c r="BF137" s="20"/>
      <c r="BG137" s="20"/>
      <c r="BH137" s="41" t="s">
        <v>131</v>
      </c>
      <c r="BP137" s="41" t="s">
        <v>24</v>
      </c>
      <c r="BU137" s="41" t="s">
        <v>132</v>
      </c>
      <c r="BV137" s="15" t="s">
        <v>50</v>
      </c>
      <c r="BX137">
        <v>3</v>
      </c>
      <c r="BY137">
        <v>7</v>
      </c>
      <c r="BZ137" s="50" t="s">
        <v>130</v>
      </c>
    </row>
    <row r="138" spans="1:78" x14ac:dyDescent="0.2">
      <c r="A138" s="20" t="s">
        <v>191</v>
      </c>
      <c r="B138" s="21" t="s">
        <v>192</v>
      </c>
      <c r="C138" s="21" t="s">
        <v>126</v>
      </c>
      <c r="D138" s="20" t="s">
        <v>125</v>
      </c>
      <c r="F138">
        <v>1</v>
      </c>
      <c r="J138">
        <v>0.88</v>
      </c>
      <c r="AE138" s="16" t="s">
        <v>114</v>
      </c>
      <c r="AG138" s="15" t="s">
        <v>129</v>
      </c>
      <c r="AH138" s="40" t="s">
        <v>128</v>
      </c>
      <c r="AL138" t="s">
        <v>109</v>
      </c>
      <c r="BD138" s="20" t="s">
        <v>133</v>
      </c>
      <c r="BE138" s="20">
        <v>2020</v>
      </c>
      <c r="BF138" s="20"/>
      <c r="BG138" s="20"/>
      <c r="BH138" s="41" t="s">
        <v>131</v>
      </c>
      <c r="BP138" s="41" t="s">
        <v>24</v>
      </c>
      <c r="BU138" s="41" t="s">
        <v>132</v>
      </c>
      <c r="BV138" s="15" t="s">
        <v>50</v>
      </c>
      <c r="BX138">
        <v>3</v>
      </c>
      <c r="BY138">
        <v>7</v>
      </c>
      <c r="BZ138" s="50" t="s">
        <v>130</v>
      </c>
    </row>
    <row r="139" spans="1:78" x14ac:dyDescent="0.2">
      <c r="A139" s="20" t="s">
        <v>191</v>
      </c>
      <c r="B139" s="21" t="s">
        <v>192</v>
      </c>
      <c r="C139" s="21" t="s">
        <v>126</v>
      </c>
      <c r="D139" s="20" t="s">
        <v>125</v>
      </c>
      <c r="F139">
        <v>1</v>
      </c>
      <c r="L139">
        <v>0.06</v>
      </c>
      <c r="AE139" s="16" t="s">
        <v>114</v>
      </c>
      <c r="AG139" s="15" t="s">
        <v>129</v>
      </c>
      <c r="AH139" s="40" t="s">
        <v>128</v>
      </c>
      <c r="AL139" t="s">
        <v>109</v>
      </c>
      <c r="BD139" s="20" t="s">
        <v>133</v>
      </c>
      <c r="BE139" s="20">
        <v>2020</v>
      </c>
      <c r="BF139" s="20"/>
      <c r="BG139" s="20"/>
      <c r="BH139" s="41" t="s">
        <v>131</v>
      </c>
      <c r="BP139" s="41" t="s">
        <v>24</v>
      </c>
      <c r="BU139" s="41" t="s">
        <v>132</v>
      </c>
      <c r="BV139" s="15" t="s">
        <v>50</v>
      </c>
      <c r="BX139">
        <v>3</v>
      </c>
      <c r="BY139">
        <v>7</v>
      </c>
      <c r="BZ139" s="50" t="s">
        <v>130</v>
      </c>
    </row>
    <row r="140" spans="1:78" x14ac:dyDescent="0.2">
      <c r="A140" s="20" t="s">
        <v>191</v>
      </c>
      <c r="B140" s="21" t="s">
        <v>192</v>
      </c>
      <c r="C140" s="21" t="s">
        <v>126</v>
      </c>
      <c r="D140" s="20" t="s">
        <v>125</v>
      </c>
      <c r="F140">
        <v>1</v>
      </c>
      <c r="L140">
        <v>0.73</v>
      </c>
      <c r="AE140" s="16" t="s">
        <v>114</v>
      </c>
      <c r="AG140" s="15" t="s">
        <v>129</v>
      </c>
      <c r="AH140" s="40" t="s">
        <v>128</v>
      </c>
      <c r="AL140" t="s">
        <v>109</v>
      </c>
      <c r="BD140" s="20" t="s">
        <v>133</v>
      </c>
      <c r="BE140" s="20">
        <v>2020</v>
      </c>
      <c r="BF140" s="20"/>
      <c r="BG140" s="20"/>
      <c r="BH140" s="41" t="s">
        <v>131</v>
      </c>
      <c r="BP140" s="41" t="s">
        <v>24</v>
      </c>
      <c r="BU140" s="41" t="s">
        <v>132</v>
      </c>
      <c r="BV140" s="15" t="s">
        <v>50</v>
      </c>
      <c r="BX140">
        <v>3</v>
      </c>
      <c r="BY140">
        <v>7</v>
      </c>
      <c r="BZ140" s="50" t="s">
        <v>130</v>
      </c>
    </row>
    <row r="141" spans="1:78" x14ac:dyDescent="0.2">
      <c r="A141" s="20" t="s">
        <v>191</v>
      </c>
      <c r="B141" s="21" t="s">
        <v>192</v>
      </c>
      <c r="C141" s="21" t="s">
        <v>126</v>
      </c>
      <c r="D141" s="20" t="s">
        <v>125</v>
      </c>
      <c r="F141">
        <v>1</v>
      </c>
      <c r="L141">
        <v>0.01</v>
      </c>
      <c r="AE141" s="16" t="s">
        <v>114</v>
      </c>
      <c r="AG141" s="15" t="s">
        <v>129</v>
      </c>
      <c r="AH141" s="40" t="s">
        <v>128</v>
      </c>
      <c r="AL141" t="s">
        <v>109</v>
      </c>
      <c r="BD141" s="20" t="s">
        <v>133</v>
      </c>
      <c r="BE141" s="20">
        <v>2020</v>
      </c>
      <c r="BF141" s="20"/>
      <c r="BG141" s="20"/>
      <c r="BH141" s="41" t="s">
        <v>131</v>
      </c>
      <c r="BP141" s="41" t="s">
        <v>24</v>
      </c>
      <c r="BU141" s="41" t="s">
        <v>132</v>
      </c>
      <c r="BV141" s="15" t="s">
        <v>50</v>
      </c>
      <c r="BX141">
        <v>3</v>
      </c>
      <c r="BY141">
        <v>7</v>
      </c>
      <c r="BZ141" s="50" t="s">
        <v>130</v>
      </c>
    </row>
    <row r="142" spans="1:78" x14ac:dyDescent="0.2">
      <c r="A142" s="20" t="s">
        <v>191</v>
      </c>
      <c r="B142" s="21" t="s">
        <v>192</v>
      </c>
      <c r="C142" s="21" t="s">
        <v>126</v>
      </c>
      <c r="D142" s="20" t="s">
        <v>125</v>
      </c>
      <c r="F142">
        <v>1</v>
      </c>
      <c r="L142">
        <v>0.68</v>
      </c>
      <c r="AE142" s="16" t="s">
        <v>114</v>
      </c>
      <c r="AG142" s="15" t="s">
        <v>129</v>
      </c>
      <c r="AH142" s="40" t="s">
        <v>128</v>
      </c>
      <c r="AL142" t="s">
        <v>109</v>
      </c>
      <c r="BD142" s="20" t="s">
        <v>133</v>
      </c>
      <c r="BE142" s="20">
        <v>2020</v>
      </c>
      <c r="BF142" s="20"/>
      <c r="BG142" s="20"/>
      <c r="BH142" s="41" t="s">
        <v>131</v>
      </c>
      <c r="BP142" s="41" t="s">
        <v>24</v>
      </c>
      <c r="BU142" s="41" t="s">
        <v>132</v>
      </c>
      <c r="BV142" s="15" t="s">
        <v>50</v>
      </c>
      <c r="BX142">
        <v>3</v>
      </c>
      <c r="BY142">
        <v>7</v>
      </c>
      <c r="BZ142" s="50" t="s">
        <v>130</v>
      </c>
    </row>
    <row r="143" spans="1:78" x14ac:dyDescent="0.2">
      <c r="A143" s="20" t="s">
        <v>191</v>
      </c>
      <c r="B143" s="21" t="s">
        <v>192</v>
      </c>
      <c r="C143" s="21" t="s">
        <v>126</v>
      </c>
      <c r="D143" s="20" t="s">
        <v>125</v>
      </c>
      <c r="F143">
        <v>1</v>
      </c>
      <c r="L143">
        <v>0.12</v>
      </c>
      <c r="AE143" s="16" t="s">
        <v>114</v>
      </c>
      <c r="AG143" s="15" t="s">
        <v>129</v>
      </c>
      <c r="AH143" s="40" t="s">
        <v>128</v>
      </c>
      <c r="AL143" t="s">
        <v>109</v>
      </c>
      <c r="BD143" s="20" t="s">
        <v>133</v>
      </c>
      <c r="BE143" s="20">
        <v>2020</v>
      </c>
      <c r="BF143" s="20"/>
      <c r="BG143" s="20"/>
      <c r="BH143" s="41" t="s">
        <v>131</v>
      </c>
      <c r="BP143" s="41" t="s">
        <v>24</v>
      </c>
      <c r="BU143" s="41" t="s">
        <v>132</v>
      </c>
      <c r="BV143" s="15" t="s">
        <v>50</v>
      </c>
      <c r="BX143">
        <v>3</v>
      </c>
      <c r="BY143">
        <v>7</v>
      </c>
      <c r="BZ143" s="50" t="s">
        <v>130</v>
      </c>
    </row>
    <row r="144" spans="1:78" x14ac:dyDescent="0.2">
      <c r="A144" s="20" t="s">
        <v>191</v>
      </c>
      <c r="B144" s="21" t="s">
        <v>192</v>
      </c>
      <c r="C144" s="21" t="s">
        <v>126</v>
      </c>
      <c r="D144" s="20" t="s">
        <v>125</v>
      </c>
      <c r="F144">
        <v>1</v>
      </c>
      <c r="L144">
        <v>0.66</v>
      </c>
      <c r="AE144" s="16" t="s">
        <v>114</v>
      </c>
      <c r="AG144" s="15" t="s">
        <v>129</v>
      </c>
      <c r="AH144" s="40" t="s">
        <v>128</v>
      </c>
      <c r="AL144" t="s">
        <v>109</v>
      </c>
      <c r="BD144" s="20" t="s">
        <v>133</v>
      </c>
      <c r="BE144" s="20">
        <v>2020</v>
      </c>
      <c r="BF144" s="20"/>
      <c r="BG144" s="20"/>
      <c r="BH144" s="41" t="s">
        <v>131</v>
      </c>
      <c r="BP144" s="41" t="s">
        <v>24</v>
      </c>
      <c r="BU144" s="41" t="s">
        <v>132</v>
      </c>
      <c r="BV144" s="15" t="s">
        <v>50</v>
      </c>
      <c r="BX144">
        <v>3</v>
      </c>
      <c r="BY144">
        <v>7</v>
      </c>
      <c r="BZ144" s="50" t="s">
        <v>130</v>
      </c>
    </row>
    <row r="145" spans="1:78" x14ac:dyDescent="0.2">
      <c r="A145" s="20" t="s">
        <v>191</v>
      </c>
      <c r="B145" s="21" t="s">
        <v>192</v>
      </c>
      <c r="C145" s="21" t="s">
        <v>126</v>
      </c>
      <c r="D145" s="20" t="s">
        <v>125</v>
      </c>
      <c r="F145" s="2">
        <v>1</v>
      </c>
      <c r="N145">
        <v>35</v>
      </c>
      <c r="AE145" s="16" t="s">
        <v>114</v>
      </c>
      <c r="AG145" s="15" t="s">
        <v>129</v>
      </c>
      <c r="AH145" s="40" t="s">
        <v>128</v>
      </c>
      <c r="AL145" t="s">
        <v>109</v>
      </c>
      <c r="BD145" s="20" t="s">
        <v>133</v>
      </c>
      <c r="BE145" s="20">
        <v>2020</v>
      </c>
      <c r="BF145" s="20"/>
      <c r="BG145" s="20"/>
      <c r="BH145" s="41" t="s">
        <v>131</v>
      </c>
      <c r="BP145" s="41" t="s">
        <v>24</v>
      </c>
      <c r="BU145" s="41" t="s">
        <v>132</v>
      </c>
      <c r="BV145" s="15" t="s">
        <v>50</v>
      </c>
      <c r="BX145">
        <v>3</v>
      </c>
      <c r="BY145">
        <v>7</v>
      </c>
      <c r="BZ145" s="50" t="s">
        <v>130</v>
      </c>
    </row>
    <row r="146" spans="1:78" x14ac:dyDescent="0.2">
      <c r="A146" s="20" t="s">
        <v>191</v>
      </c>
      <c r="B146" s="21" t="s">
        <v>192</v>
      </c>
      <c r="C146" s="21" t="s">
        <v>126</v>
      </c>
      <c r="D146" s="20" t="s">
        <v>125</v>
      </c>
      <c r="F146" s="2">
        <v>1</v>
      </c>
      <c r="N146">
        <v>445</v>
      </c>
      <c r="AE146" s="16" t="s">
        <v>114</v>
      </c>
      <c r="AG146" s="15" t="s">
        <v>129</v>
      </c>
      <c r="AH146" s="40" t="s">
        <v>128</v>
      </c>
      <c r="AL146" t="s">
        <v>109</v>
      </c>
      <c r="BD146" s="20" t="s">
        <v>133</v>
      </c>
      <c r="BE146" s="20">
        <v>2020</v>
      </c>
      <c r="BF146" s="20"/>
      <c r="BG146" s="20"/>
      <c r="BH146" s="41" t="s">
        <v>131</v>
      </c>
      <c r="BP146" s="41" t="s">
        <v>24</v>
      </c>
      <c r="BU146" s="41" t="s">
        <v>132</v>
      </c>
      <c r="BV146" s="15" t="s">
        <v>50</v>
      </c>
      <c r="BX146">
        <v>3</v>
      </c>
      <c r="BY146">
        <v>7</v>
      </c>
      <c r="BZ146" s="50" t="s">
        <v>130</v>
      </c>
    </row>
    <row r="147" spans="1:78" x14ac:dyDescent="0.2">
      <c r="A147" s="20" t="s">
        <v>191</v>
      </c>
      <c r="B147" s="21" t="s">
        <v>192</v>
      </c>
      <c r="C147" s="21" t="s">
        <v>126</v>
      </c>
      <c r="D147" s="20" t="s">
        <v>125</v>
      </c>
      <c r="F147" s="2">
        <v>1</v>
      </c>
      <c r="N147">
        <v>4</v>
      </c>
      <c r="AE147" s="16" t="s">
        <v>114</v>
      </c>
      <c r="AG147" s="15" t="s">
        <v>129</v>
      </c>
      <c r="AH147" s="40" t="s">
        <v>128</v>
      </c>
      <c r="AL147" t="s">
        <v>109</v>
      </c>
      <c r="BD147" s="20" t="s">
        <v>133</v>
      </c>
      <c r="BE147" s="20">
        <v>2020</v>
      </c>
      <c r="BF147" s="20"/>
      <c r="BG147" s="20"/>
      <c r="BH147" s="41" t="s">
        <v>131</v>
      </c>
      <c r="BP147" s="41" t="s">
        <v>24</v>
      </c>
      <c r="BU147" s="41" t="s">
        <v>132</v>
      </c>
      <c r="BV147" s="15" t="s">
        <v>50</v>
      </c>
      <c r="BX147">
        <v>3</v>
      </c>
      <c r="BY147">
        <v>7</v>
      </c>
      <c r="BZ147" s="50" t="s">
        <v>130</v>
      </c>
    </row>
    <row r="148" spans="1:78" x14ac:dyDescent="0.2">
      <c r="A148" s="20" t="s">
        <v>191</v>
      </c>
      <c r="B148" s="21" t="s">
        <v>192</v>
      </c>
      <c r="C148" s="21" t="s">
        <v>126</v>
      </c>
      <c r="D148" s="20" t="s">
        <v>125</v>
      </c>
      <c r="F148" s="2">
        <v>1</v>
      </c>
      <c r="N148">
        <v>407</v>
      </c>
      <c r="AE148" s="16" t="s">
        <v>114</v>
      </c>
      <c r="AG148" s="15" t="s">
        <v>129</v>
      </c>
      <c r="AH148" s="40" t="s">
        <v>128</v>
      </c>
      <c r="AL148" t="s">
        <v>109</v>
      </c>
      <c r="BD148" s="20" t="s">
        <v>133</v>
      </c>
      <c r="BE148" s="20">
        <v>2020</v>
      </c>
      <c r="BF148" s="20"/>
      <c r="BG148" s="20"/>
      <c r="BH148" s="41" t="s">
        <v>131</v>
      </c>
      <c r="BP148" s="41" t="s">
        <v>24</v>
      </c>
      <c r="BU148" s="41" t="s">
        <v>132</v>
      </c>
      <c r="BV148" s="15" t="s">
        <v>50</v>
      </c>
      <c r="BX148">
        <v>3</v>
      </c>
      <c r="BY148">
        <v>7</v>
      </c>
      <c r="BZ148" s="50" t="s">
        <v>130</v>
      </c>
    </row>
    <row r="149" spans="1:78" x14ac:dyDescent="0.2">
      <c r="A149" s="20" t="s">
        <v>191</v>
      </c>
      <c r="B149" s="21" t="s">
        <v>192</v>
      </c>
      <c r="C149" s="21" t="s">
        <v>126</v>
      </c>
      <c r="D149" s="20" t="s">
        <v>125</v>
      </c>
      <c r="F149" s="2">
        <v>1</v>
      </c>
      <c r="N149">
        <v>66</v>
      </c>
      <c r="AE149" s="16" t="s">
        <v>114</v>
      </c>
      <c r="AG149" s="15" t="s">
        <v>129</v>
      </c>
      <c r="AH149" s="40" t="s">
        <v>128</v>
      </c>
      <c r="AL149" t="s">
        <v>109</v>
      </c>
      <c r="BD149" s="20" t="s">
        <v>133</v>
      </c>
      <c r="BE149" s="20">
        <v>2020</v>
      </c>
      <c r="BF149" s="20"/>
      <c r="BG149" s="20"/>
      <c r="BH149" s="41" t="s">
        <v>131</v>
      </c>
      <c r="BP149" s="41" t="s">
        <v>24</v>
      </c>
      <c r="BU149" s="41" t="s">
        <v>132</v>
      </c>
      <c r="BV149" s="15" t="s">
        <v>50</v>
      </c>
      <c r="BX149">
        <v>3</v>
      </c>
      <c r="BY149">
        <v>7</v>
      </c>
      <c r="BZ149" s="50" t="s">
        <v>130</v>
      </c>
    </row>
    <row r="150" spans="1:78" x14ac:dyDescent="0.2">
      <c r="A150" s="20" t="s">
        <v>191</v>
      </c>
      <c r="B150" s="21" t="s">
        <v>192</v>
      </c>
      <c r="C150" s="21" t="s">
        <v>126</v>
      </c>
      <c r="D150" s="20" t="s">
        <v>125</v>
      </c>
      <c r="F150" s="2">
        <v>1</v>
      </c>
      <c r="N150">
        <v>401</v>
      </c>
      <c r="AE150" s="16" t="s">
        <v>114</v>
      </c>
      <c r="AG150" s="15" t="s">
        <v>129</v>
      </c>
      <c r="AH150" s="40" t="s">
        <v>128</v>
      </c>
      <c r="AL150" t="s">
        <v>109</v>
      </c>
      <c r="BD150" s="20" t="s">
        <v>133</v>
      </c>
      <c r="BE150" s="20">
        <v>2020</v>
      </c>
      <c r="BF150" s="20"/>
      <c r="BG150" s="20"/>
      <c r="BH150" s="41" t="s">
        <v>131</v>
      </c>
      <c r="BP150" s="41" t="s">
        <v>24</v>
      </c>
      <c r="BU150" s="41" t="s">
        <v>132</v>
      </c>
      <c r="BV150" s="15" t="s">
        <v>50</v>
      </c>
      <c r="BX150">
        <v>3</v>
      </c>
      <c r="BY150">
        <v>7</v>
      </c>
      <c r="BZ150" s="50" t="s">
        <v>130</v>
      </c>
    </row>
    <row r="151" spans="1:78" x14ac:dyDescent="0.2">
      <c r="A151" s="20" t="s">
        <v>191</v>
      </c>
      <c r="B151" s="21" t="s">
        <v>192</v>
      </c>
      <c r="C151" s="21" t="s">
        <v>126</v>
      </c>
      <c r="D151" s="20" t="s">
        <v>125</v>
      </c>
      <c r="F151" s="2">
        <v>1</v>
      </c>
      <c r="V151">
        <v>4</v>
      </c>
      <c r="AE151" s="16" t="s">
        <v>114</v>
      </c>
      <c r="AG151" s="15" t="s">
        <v>129</v>
      </c>
      <c r="AH151" s="40" t="s">
        <v>128</v>
      </c>
      <c r="AL151" t="s">
        <v>109</v>
      </c>
      <c r="BD151" s="20" t="s">
        <v>133</v>
      </c>
      <c r="BE151" s="20">
        <v>2020</v>
      </c>
      <c r="BF151" s="20"/>
      <c r="BG151" s="20"/>
      <c r="BH151" s="41" t="s">
        <v>131</v>
      </c>
      <c r="BP151" s="41" t="s">
        <v>24</v>
      </c>
      <c r="BU151" s="41" t="s">
        <v>132</v>
      </c>
      <c r="BV151" s="15" t="s">
        <v>50</v>
      </c>
      <c r="BX151">
        <v>3</v>
      </c>
      <c r="BY151">
        <v>7</v>
      </c>
      <c r="BZ151" s="50" t="s">
        <v>130</v>
      </c>
    </row>
    <row r="152" spans="1:78" x14ac:dyDescent="0.2">
      <c r="A152" s="20" t="s">
        <v>191</v>
      </c>
      <c r="B152" s="21" t="s">
        <v>192</v>
      </c>
      <c r="C152" s="21" t="s">
        <v>126</v>
      </c>
      <c r="D152" s="20" t="s">
        <v>125</v>
      </c>
      <c r="F152" s="2">
        <v>1</v>
      </c>
      <c r="V152">
        <v>10</v>
      </c>
      <c r="AE152" s="16" t="s">
        <v>114</v>
      </c>
      <c r="AG152" s="15" t="s">
        <v>129</v>
      </c>
      <c r="AH152" s="40" t="s">
        <v>128</v>
      </c>
      <c r="AL152" t="s">
        <v>109</v>
      </c>
      <c r="BD152" s="20" t="s">
        <v>133</v>
      </c>
      <c r="BE152" s="20">
        <v>2020</v>
      </c>
      <c r="BF152" s="20"/>
      <c r="BG152" s="20"/>
      <c r="BH152" s="41" t="s">
        <v>131</v>
      </c>
      <c r="BP152" s="41" t="s">
        <v>24</v>
      </c>
      <c r="BU152" s="41" t="s">
        <v>132</v>
      </c>
      <c r="BV152" s="15" t="s">
        <v>50</v>
      </c>
      <c r="BX152">
        <v>3</v>
      </c>
      <c r="BY152">
        <v>7</v>
      </c>
      <c r="BZ152" s="50" t="s">
        <v>130</v>
      </c>
    </row>
    <row r="153" spans="1:78" x14ac:dyDescent="0.2">
      <c r="A153" s="20" t="s">
        <v>191</v>
      </c>
      <c r="B153" s="21" t="s">
        <v>192</v>
      </c>
      <c r="C153" s="21" t="s">
        <v>126</v>
      </c>
      <c r="D153" s="20" t="s">
        <v>125</v>
      </c>
      <c r="F153" s="2">
        <v>1</v>
      </c>
      <c r="V153">
        <v>1</v>
      </c>
      <c r="AE153" s="16" t="s">
        <v>114</v>
      </c>
      <c r="AG153" s="15" t="s">
        <v>129</v>
      </c>
      <c r="AH153" s="40" t="s">
        <v>128</v>
      </c>
      <c r="AL153" t="s">
        <v>109</v>
      </c>
      <c r="BD153" s="20" t="s">
        <v>133</v>
      </c>
      <c r="BE153" s="20">
        <v>2020</v>
      </c>
      <c r="BF153" s="20"/>
      <c r="BG153" s="20"/>
      <c r="BH153" s="41" t="s">
        <v>131</v>
      </c>
      <c r="BP153" s="41" t="s">
        <v>24</v>
      </c>
      <c r="BU153" s="41" t="s">
        <v>132</v>
      </c>
      <c r="BV153" s="15" t="s">
        <v>50</v>
      </c>
      <c r="BX153">
        <v>3</v>
      </c>
      <c r="BY153">
        <v>7</v>
      </c>
      <c r="BZ153" s="50" t="s">
        <v>130</v>
      </c>
    </row>
    <row r="154" spans="1:78" x14ac:dyDescent="0.2">
      <c r="A154" s="20" t="s">
        <v>191</v>
      </c>
      <c r="B154" s="21" t="s">
        <v>192</v>
      </c>
      <c r="C154" s="21" t="s">
        <v>126</v>
      </c>
      <c r="D154" s="20" t="s">
        <v>125</v>
      </c>
      <c r="F154" s="2">
        <v>1</v>
      </c>
      <c r="V154">
        <v>10</v>
      </c>
      <c r="AE154" s="16" t="s">
        <v>114</v>
      </c>
      <c r="AG154" s="15" t="s">
        <v>129</v>
      </c>
      <c r="AH154" s="40" t="s">
        <v>128</v>
      </c>
      <c r="AL154" t="s">
        <v>109</v>
      </c>
      <c r="BD154" s="20" t="s">
        <v>133</v>
      </c>
      <c r="BE154" s="20">
        <v>2020</v>
      </c>
      <c r="BF154" s="20"/>
      <c r="BG154" s="20"/>
      <c r="BH154" s="41" t="s">
        <v>131</v>
      </c>
      <c r="BP154" s="41" t="s">
        <v>24</v>
      </c>
      <c r="BU154" s="41" t="s">
        <v>132</v>
      </c>
      <c r="BV154" s="15" t="s">
        <v>50</v>
      </c>
      <c r="BX154">
        <v>3</v>
      </c>
      <c r="BY154">
        <v>7</v>
      </c>
      <c r="BZ154" s="50" t="s">
        <v>130</v>
      </c>
    </row>
    <row r="155" spans="1:78" x14ac:dyDescent="0.2">
      <c r="A155" s="20" t="s">
        <v>191</v>
      </c>
      <c r="B155" s="21" t="s">
        <v>192</v>
      </c>
      <c r="C155" s="21" t="s">
        <v>126</v>
      </c>
      <c r="D155" s="20" t="s">
        <v>125</v>
      </c>
      <c r="F155" s="2">
        <v>1</v>
      </c>
      <c r="V155">
        <v>9</v>
      </c>
      <c r="AE155" s="16" t="s">
        <v>114</v>
      </c>
      <c r="AG155" s="15" t="s">
        <v>129</v>
      </c>
      <c r="AH155" s="40" t="s">
        <v>128</v>
      </c>
      <c r="AL155" t="s">
        <v>109</v>
      </c>
      <c r="BD155" s="20" t="s">
        <v>133</v>
      </c>
      <c r="BE155" s="20">
        <v>2020</v>
      </c>
      <c r="BF155" s="20"/>
      <c r="BG155" s="20"/>
      <c r="BH155" s="41" t="s">
        <v>131</v>
      </c>
      <c r="BP155" s="41" t="s">
        <v>24</v>
      </c>
      <c r="BU155" s="41" t="s">
        <v>132</v>
      </c>
      <c r="BV155" s="15" t="s">
        <v>50</v>
      </c>
      <c r="BX155">
        <v>3</v>
      </c>
      <c r="BY155">
        <v>7</v>
      </c>
      <c r="BZ155" s="50" t="s">
        <v>130</v>
      </c>
    </row>
    <row r="156" spans="1:78" s="48" customFormat="1" x14ac:dyDescent="0.2">
      <c r="A156" s="20" t="s">
        <v>191</v>
      </c>
      <c r="B156" s="45" t="s">
        <v>192</v>
      </c>
      <c r="C156" s="45" t="s">
        <v>126</v>
      </c>
      <c r="D156" s="44" t="s">
        <v>125</v>
      </c>
      <c r="F156" s="51">
        <v>1</v>
      </c>
      <c r="V156" s="48">
        <v>10</v>
      </c>
      <c r="AE156" s="48" t="s">
        <v>114</v>
      </c>
      <c r="AG156" s="46" t="s">
        <v>129</v>
      </c>
      <c r="AH156" s="49" t="s">
        <v>128</v>
      </c>
      <c r="AL156" s="48" t="s">
        <v>109</v>
      </c>
      <c r="BD156" s="44" t="s">
        <v>133</v>
      </c>
      <c r="BE156" s="44">
        <v>2020</v>
      </c>
      <c r="BF156" s="44"/>
      <c r="BG156" s="44"/>
      <c r="BH156" s="46" t="s">
        <v>131</v>
      </c>
      <c r="BP156" s="46" t="s">
        <v>24</v>
      </c>
      <c r="BU156" s="46" t="s">
        <v>132</v>
      </c>
      <c r="BV156" s="46" t="s">
        <v>50</v>
      </c>
      <c r="BX156" s="48">
        <v>3</v>
      </c>
      <c r="BY156" s="48">
        <v>7</v>
      </c>
      <c r="BZ156" s="52" t="s">
        <v>130</v>
      </c>
    </row>
    <row r="157" spans="1:78" s="56" customFormat="1" x14ac:dyDescent="0.2">
      <c r="A157" s="53" t="s">
        <v>189</v>
      </c>
      <c r="B157" s="54" t="s">
        <v>190</v>
      </c>
      <c r="C157" s="54" t="s">
        <v>78</v>
      </c>
      <c r="D157" s="53" t="s">
        <v>134</v>
      </c>
      <c r="E157" s="53"/>
      <c r="F157" s="55">
        <v>120</v>
      </c>
      <c r="L157" s="56">
        <v>0.27</v>
      </c>
      <c r="AE157" s="57" t="s">
        <v>114</v>
      </c>
      <c r="AH157" s="58" t="s">
        <v>99</v>
      </c>
      <c r="AL157" s="57" t="s">
        <v>109</v>
      </c>
      <c r="AM157" s="57"/>
      <c r="AN157" s="57"/>
      <c r="AO157" s="57"/>
      <c r="AP157" s="57"/>
      <c r="AQ157" s="57"/>
      <c r="AR157" s="57"/>
      <c r="AS157" s="57"/>
      <c r="AT157" s="57"/>
      <c r="AU157" s="57"/>
      <c r="BB157" s="56">
        <v>1.67</v>
      </c>
      <c r="BC157" s="56">
        <v>0.51</v>
      </c>
      <c r="BD157" s="53" t="s">
        <v>135</v>
      </c>
      <c r="BE157" s="53">
        <v>2020</v>
      </c>
      <c r="BF157" s="53"/>
      <c r="BG157" s="53"/>
      <c r="BP157" s="56" t="s">
        <v>24</v>
      </c>
      <c r="BU157" s="57"/>
      <c r="BV157" s="56" t="s">
        <v>50</v>
      </c>
      <c r="BY157" s="56">
        <v>5</v>
      </c>
    </row>
    <row r="158" spans="1:78" x14ac:dyDescent="0.2">
      <c r="A158" s="20" t="s">
        <v>185</v>
      </c>
      <c r="B158" s="21" t="s">
        <v>186</v>
      </c>
      <c r="C158" s="21" t="s">
        <v>126</v>
      </c>
      <c r="D158" s="20" t="s">
        <v>138</v>
      </c>
      <c r="E158" s="66">
        <v>34</v>
      </c>
      <c r="F158" s="63" t="s">
        <v>164</v>
      </c>
      <c r="G158" s="64" t="s">
        <v>168</v>
      </c>
      <c r="H158" s="20">
        <v>39</v>
      </c>
      <c r="I158" s="20" t="s">
        <v>151</v>
      </c>
      <c r="L158" s="66">
        <v>0.75</v>
      </c>
      <c r="N158">
        <v>8151</v>
      </c>
      <c r="P158" s="66">
        <v>10500</v>
      </c>
      <c r="V158" s="66">
        <v>184</v>
      </c>
      <c r="X158" s="66">
        <v>12500</v>
      </c>
      <c r="Y158" s="15"/>
      <c r="AA158" s="68">
        <v>1.3</v>
      </c>
      <c r="AC158" s="66">
        <v>1900</v>
      </c>
      <c r="AD158" s="66">
        <v>3000</v>
      </c>
      <c r="AE158" s="15" t="s">
        <v>114</v>
      </c>
      <c r="AF158" t="s">
        <v>39</v>
      </c>
      <c r="AH158" t="s">
        <v>142</v>
      </c>
      <c r="AI158">
        <v>25</v>
      </c>
      <c r="AJ158" s="60">
        <v>0.6</v>
      </c>
      <c r="AK158" s="59">
        <v>0.59027777777777779</v>
      </c>
      <c r="AL158" s="15" t="s">
        <v>109</v>
      </c>
      <c r="AM158" s="15"/>
      <c r="AN158" s="15"/>
      <c r="AO158" s="15"/>
      <c r="AP158" s="15"/>
      <c r="AQ158" s="15"/>
      <c r="AR158" s="15"/>
      <c r="AS158" s="15"/>
      <c r="AT158" s="15"/>
      <c r="AU158" s="15"/>
      <c r="BB158">
        <v>152</v>
      </c>
      <c r="BC158">
        <v>10</v>
      </c>
      <c r="BD158" s="20" t="s">
        <v>143</v>
      </c>
      <c r="BE158" s="20">
        <v>2020</v>
      </c>
      <c r="BF158" s="20"/>
      <c r="BG158" s="20"/>
      <c r="BH158" s="15" t="s">
        <v>139</v>
      </c>
      <c r="BP158" s="15" t="s">
        <v>24</v>
      </c>
      <c r="BT158" t="s">
        <v>193</v>
      </c>
      <c r="BU158" s="15" t="s">
        <v>155</v>
      </c>
      <c r="BV158" s="15" t="s">
        <v>50</v>
      </c>
      <c r="BW158" t="s">
        <v>157</v>
      </c>
      <c r="BX158" s="15">
        <v>4</v>
      </c>
      <c r="BY158" s="15" t="s">
        <v>160</v>
      </c>
      <c r="BZ158" s="61" t="s">
        <v>94</v>
      </c>
    </row>
    <row r="159" spans="1:78" x14ac:dyDescent="0.2">
      <c r="A159" s="20" t="s">
        <v>185</v>
      </c>
      <c r="B159" s="21" t="s">
        <v>186</v>
      </c>
      <c r="C159" s="21" t="s">
        <v>126</v>
      </c>
      <c r="D159" s="20" t="s">
        <v>138</v>
      </c>
      <c r="E159" s="66">
        <v>33</v>
      </c>
      <c r="F159" s="63" t="s">
        <v>165</v>
      </c>
      <c r="G159" s="64" t="s">
        <v>169</v>
      </c>
      <c r="H159" s="20">
        <v>45</v>
      </c>
      <c r="I159" s="20" t="s">
        <v>151</v>
      </c>
      <c r="L159" s="66">
        <v>0.75</v>
      </c>
      <c r="N159">
        <v>9311</v>
      </c>
      <c r="P159" s="66">
        <v>10500</v>
      </c>
      <c r="V159" s="66">
        <v>184</v>
      </c>
      <c r="X159" s="66">
        <v>15000</v>
      </c>
      <c r="Y159" s="15"/>
      <c r="AA159" s="68">
        <v>1.3</v>
      </c>
      <c r="AC159" s="66">
        <v>3000</v>
      </c>
      <c r="AD159" s="66">
        <v>3250</v>
      </c>
      <c r="AE159" s="15" t="s">
        <v>114</v>
      </c>
      <c r="AF159" t="s">
        <v>40</v>
      </c>
      <c r="AH159" t="s">
        <v>142</v>
      </c>
      <c r="AI159">
        <v>25</v>
      </c>
      <c r="AJ159" s="60">
        <v>0.6</v>
      </c>
      <c r="AK159" s="59">
        <v>0.59027777777777779</v>
      </c>
      <c r="AL159" s="15" t="s">
        <v>109</v>
      </c>
      <c r="AM159" s="15"/>
      <c r="AN159" s="15"/>
      <c r="AO159" s="15"/>
      <c r="AP159" s="15"/>
      <c r="AQ159" s="15"/>
      <c r="AR159" s="15"/>
      <c r="AS159" s="15"/>
      <c r="AT159" s="15"/>
      <c r="AU159" s="15"/>
      <c r="BB159">
        <v>142</v>
      </c>
      <c r="BC159">
        <v>10</v>
      </c>
      <c r="BD159" s="20" t="s">
        <v>143</v>
      </c>
      <c r="BE159" s="20">
        <v>2020</v>
      </c>
      <c r="BF159" s="20"/>
      <c r="BG159" s="20"/>
      <c r="BH159" s="15" t="s">
        <v>139</v>
      </c>
      <c r="BP159" s="15" t="s">
        <v>24</v>
      </c>
      <c r="BT159" t="s">
        <v>193</v>
      </c>
      <c r="BU159" s="15" t="s">
        <v>155</v>
      </c>
      <c r="BV159" s="15" t="s">
        <v>50</v>
      </c>
      <c r="BW159" t="s">
        <v>158</v>
      </c>
      <c r="BX159" s="15">
        <v>4</v>
      </c>
      <c r="BY159" t="s">
        <v>160</v>
      </c>
      <c r="BZ159" s="61" t="s">
        <v>94</v>
      </c>
    </row>
    <row r="160" spans="1:78" x14ac:dyDescent="0.2">
      <c r="A160" s="20" t="s">
        <v>185</v>
      </c>
      <c r="B160" s="21" t="s">
        <v>186</v>
      </c>
      <c r="C160" s="21" t="s">
        <v>126</v>
      </c>
      <c r="D160" s="20" t="s">
        <v>138</v>
      </c>
      <c r="E160" s="67" t="s">
        <v>154</v>
      </c>
      <c r="F160" s="63" t="s">
        <v>166</v>
      </c>
      <c r="G160" s="64" t="s">
        <v>170</v>
      </c>
      <c r="H160" s="20">
        <v>79</v>
      </c>
      <c r="I160" t="s">
        <v>152</v>
      </c>
      <c r="L160" s="66">
        <v>0.5</v>
      </c>
      <c r="N160" s="66">
        <v>80</v>
      </c>
      <c r="P160" s="66">
        <v>1600</v>
      </c>
      <c r="V160" s="66">
        <f>125/60</f>
        <v>2.0833333333333335</v>
      </c>
      <c r="X160" s="66">
        <v>2800</v>
      </c>
      <c r="Y160" s="15"/>
      <c r="AA160" s="68">
        <v>30</v>
      </c>
      <c r="AC160" s="66">
        <v>600</v>
      </c>
      <c r="AD160" s="66">
        <v>10000</v>
      </c>
      <c r="AE160" s="15" t="s">
        <v>114</v>
      </c>
      <c r="AF160" t="s">
        <v>39</v>
      </c>
      <c r="AH160" t="s">
        <v>142</v>
      </c>
      <c r="AI160">
        <v>25</v>
      </c>
      <c r="AJ160" s="60">
        <v>0.6</v>
      </c>
      <c r="AK160" s="59">
        <v>0.59027777777777779</v>
      </c>
      <c r="AL160" s="15" t="s">
        <v>109</v>
      </c>
      <c r="BB160">
        <v>152</v>
      </c>
      <c r="BC160">
        <v>10</v>
      </c>
      <c r="BD160" s="20" t="s">
        <v>143</v>
      </c>
      <c r="BE160" s="20">
        <v>2020</v>
      </c>
      <c r="BF160" s="20"/>
      <c r="BG160" s="20"/>
      <c r="BH160" s="15" t="s">
        <v>139</v>
      </c>
      <c r="BP160" s="15" t="s">
        <v>24</v>
      </c>
      <c r="BT160" t="s">
        <v>193</v>
      </c>
      <c r="BU160" s="15" t="s">
        <v>155</v>
      </c>
      <c r="BV160" s="15" t="s">
        <v>50</v>
      </c>
      <c r="BW160" t="s">
        <v>159</v>
      </c>
      <c r="BX160" s="15">
        <v>4</v>
      </c>
      <c r="BY160" s="15" t="s">
        <v>161</v>
      </c>
      <c r="BZ160" s="61" t="s">
        <v>94</v>
      </c>
    </row>
    <row r="161" spans="1:78" x14ac:dyDescent="0.2">
      <c r="A161" s="20" t="s">
        <v>185</v>
      </c>
      <c r="B161" s="21" t="s">
        <v>186</v>
      </c>
      <c r="C161" s="21" t="s">
        <v>126</v>
      </c>
      <c r="D161" s="20" t="s">
        <v>138</v>
      </c>
      <c r="E161" s="67" t="s">
        <v>154</v>
      </c>
      <c r="F161" s="63" t="s">
        <v>167</v>
      </c>
      <c r="G161" s="64" t="s">
        <v>171</v>
      </c>
      <c r="H161" s="20">
        <v>90</v>
      </c>
      <c r="I161" t="s">
        <v>152</v>
      </c>
      <c r="L161" s="66">
        <v>0.55000000000000004</v>
      </c>
      <c r="N161" s="66">
        <v>150</v>
      </c>
      <c r="P161" s="66">
        <v>2000</v>
      </c>
      <c r="V161" s="66">
        <f>200/60</f>
        <v>3.3333333333333335</v>
      </c>
      <c r="X161" s="66">
        <v>3500</v>
      </c>
      <c r="Y161" s="15"/>
      <c r="AA161" s="68">
        <v>31</v>
      </c>
      <c r="AC161" s="66">
        <v>900</v>
      </c>
      <c r="AD161" s="66">
        <v>12000</v>
      </c>
      <c r="AE161" s="15" t="s">
        <v>114</v>
      </c>
      <c r="AF161" t="s">
        <v>40</v>
      </c>
      <c r="AH161" t="s">
        <v>142</v>
      </c>
      <c r="AI161">
        <v>25</v>
      </c>
      <c r="AJ161" s="60">
        <v>0.6</v>
      </c>
      <c r="AK161" s="59">
        <v>0.59027777777777779</v>
      </c>
      <c r="AL161" s="15" t="s">
        <v>109</v>
      </c>
      <c r="BB161">
        <v>142</v>
      </c>
      <c r="BC161">
        <v>10</v>
      </c>
      <c r="BD161" s="20" t="s">
        <v>143</v>
      </c>
      <c r="BE161" s="20">
        <v>2020</v>
      </c>
      <c r="BF161" s="20"/>
      <c r="BG161" s="20"/>
      <c r="BH161" s="15" t="s">
        <v>139</v>
      </c>
      <c r="BP161" s="15" t="s">
        <v>24</v>
      </c>
      <c r="BT161" t="s">
        <v>193</v>
      </c>
      <c r="BU161" s="15" t="s">
        <v>155</v>
      </c>
      <c r="BV161" s="15" t="s">
        <v>50</v>
      </c>
      <c r="BW161" t="s">
        <v>159</v>
      </c>
      <c r="BX161" s="15">
        <v>4</v>
      </c>
      <c r="BY161" s="15" t="s">
        <v>161</v>
      </c>
      <c r="BZ161" s="61" t="s">
        <v>94</v>
      </c>
    </row>
    <row r="162" spans="1:78" x14ac:dyDescent="0.2">
      <c r="A162" s="20" t="s">
        <v>185</v>
      </c>
      <c r="B162" s="21" t="s">
        <v>186</v>
      </c>
      <c r="C162" s="21" t="s">
        <v>126</v>
      </c>
      <c r="D162" s="20" t="s">
        <v>138</v>
      </c>
      <c r="E162" s="66">
        <v>34</v>
      </c>
      <c r="F162" s="65" t="s">
        <v>172</v>
      </c>
      <c r="G162" s="64" t="s">
        <v>173</v>
      </c>
      <c r="H162" s="20">
        <v>30</v>
      </c>
      <c r="I162" s="20" t="s">
        <v>151</v>
      </c>
      <c r="L162" s="66">
        <v>0.6</v>
      </c>
      <c r="N162" s="66">
        <v>7500</v>
      </c>
      <c r="P162" s="66">
        <v>9000</v>
      </c>
      <c r="V162" s="66">
        <f>14000/60</f>
        <v>233.33333333333334</v>
      </c>
      <c r="X162" s="66">
        <v>16000</v>
      </c>
      <c r="Y162" s="15"/>
      <c r="AA162" s="68">
        <v>1.2</v>
      </c>
      <c r="AC162" s="66">
        <v>2500</v>
      </c>
      <c r="AD162" s="66">
        <v>2700</v>
      </c>
      <c r="AE162" s="15" t="s">
        <v>114</v>
      </c>
      <c r="AF162" t="s">
        <v>39</v>
      </c>
      <c r="AH162" t="s">
        <v>142</v>
      </c>
      <c r="AI162">
        <v>25</v>
      </c>
      <c r="AJ162" s="60">
        <v>0.6</v>
      </c>
      <c r="AK162" s="59">
        <v>0.59027777777777779</v>
      </c>
      <c r="AL162" s="15" t="s">
        <v>109</v>
      </c>
      <c r="AM162" t="s">
        <v>177</v>
      </c>
      <c r="BB162">
        <v>141</v>
      </c>
      <c r="BC162">
        <v>30</v>
      </c>
      <c r="BD162" s="20" t="s">
        <v>143</v>
      </c>
      <c r="BE162" s="20">
        <v>2020</v>
      </c>
      <c r="BF162" s="20"/>
      <c r="BG162" s="20"/>
      <c r="BH162" s="15" t="s">
        <v>139</v>
      </c>
      <c r="BP162" s="15" t="s">
        <v>24</v>
      </c>
      <c r="BT162" t="s">
        <v>193</v>
      </c>
      <c r="BU162" s="15" t="s">
        <v>155</v>
      </c>
      <c r="BV162" s="15" t="s">
        <v>50</v>
      </c>
      <c r="BW162" t="s">
        <v>157</v>
      </c>
      <c r="BX162" s="15">
        <v>4</v>
      </c>
      <c r="BY162" s="15" t="s">
        <v>160</v>
      </c>
      <c r="BZ162" s="61" t="s">
        <v>94</v>
      </c>
    </row>
    <row r="163" spans="1:78" x14ac:dyDescent="0.2">
      <c r="A163" s="20" t="s">
        <v>185</v>
      </c>
      <c r="B163" s="21" t="s">
        <v>186</v>
      </c>
      <c r="C163" s="21" t="s">
        <v>126</v>
      </c>
      <c r="D163" s="20" t="s">
        <v>138</v>
      </c>
      <c r="E163" s="66">
        <v>33</v>
      </c>
      <c r="F163" s="65" t="s">
        <v>172</v>
      </c>
      <c r="G163" s="63" t="s">
        <v>174</v>
      </c>
      <c r="H163" s="20">
        <v>31</v>
      </c>
      <c r="I163" s="20" t="s">
        <v>151</v>
      </c>
      <c r="L163" s="66">
        <v>0.6</v>
      </c>
      <c r="N163" s="66">
        <v>8000</v>
      </c>
      <c r="P163" s="66">
        <v>11500</v>
      </c>
      <c r="V163" s="66">
        <f>14000/60</f>
        <v>233.33333333333334</v>
      </c>
      <c r="X163" s="66">
        <v>18000</v>
      </c>
      <c r="Y163" s="15"/>
      <c r="AA163" s="68">
        <v>1.5</v>
      </c>
      <c r="AC163" s="66">
        <v>1800</v>
      </c>
      <c r="AD163" s="66">
        <v>2000</v>
      </c>
      <c r="AE163" s="15" t="s">
        <v>114</v>
      </c>
      <c r="AF163" t="s">
        <v>40</v>
      </c>
      <c r="AH163" t="s">
        <v>142</v>
      </c>
      <c r="AI163">
        <v>25</v>
      </c>
      <c r="AJ163" s="60">
        <v>0.6</v>
      </c>
      <c r="AK163" s="59">
        <v>0.59027777777777779</v>
      </c>
      <c r="AL163" s="15" t="s">
        <v>109</v>
      </c>
      <c r="AM163" t="s">
        <v>177</v>
      </c>
      <c r="BB163">
        <v>124</v>
      </c>
      <c r="BC163">
        <v>10</v>
      </c>
      <c r="BD163" s="20" t="s">
        <v>143</v>
      </c>
      <c r="BE163" s="20">
        <v>2020</v>
      </c>
      <c r="BF163" s="20"/>
      <c r="BG163" s="20"/>
      <c r="BH163" s="15" t="s">
        <v>139</v>
      </c>
      <c r="BP163" s="15" t="s">
        <v>24</v>
      </c>
      <c r="BT163" t="s">
        <v>193</v>
      </c>
      <c r="BU163" s="15" t="s">
        <v>155</v>
      </c>
      <c r="BV163" s="15" t="s">
        <v>50</v>
      </c>
      <c r="BW163" t="s">
        <v>158</v>
      </c>
      <c r="BX163" s="15">
        <v>4</v>
      </c>
      <c r="BY163" t="s">
        <v>160</v>
      </c>
      <c r="BZ163" s="61" t="s">
        <v>94</v>
      </c>
    </row>
    <row r="164" spans="1:78" x14ac:dyDescent="0.2">
      <c r="A164" s="20" t="s">
        <v>185</v>
      </c>
      <c r="B164" s="21" t="s">
        <v>186</v>
      </c>
      <c r="C164" s="21" t="s">
        <v>126</v>
      </c>
      <c r="D164" s="20" t="s">
        <v>138</v>
      </c>
      <c r="E164" s="67" t="s">
        <v>154</v>
      </c>
      <c r="F164" s="63" t="s">
        <v>175</v>
      </c>
      <c r="G164" s="63" t="s">
        <v>176</v>
      </c>
      <c r="H164" s="20">
        <v>65</v>
      </c>
      <c r="I164" t="s">
        <v>152</v>
      </c>
      <c r="L164" s="66">
        <v>0.5</v>
      </c>
      <c r="N164" s="66">
        <v>75</v>
      </c>
      <c r="P164" s="66">
        <v>1250</v>
      </c>
      <c r="V164" s="66">
        <f>145/60</f>
        <v>2.4166666666666665</v>
      </c>
      <c r="X164" s="66">
        <v>2000</v>
      </c>
      <c r="Y164" s="15"/>
      <c r="AA164" s="68">
        <v>25</v>
      </c>
      <c r="AC164" s="66">
        <v>600</v>
      </c>
      <c r="AD164" s="66">
        <v>8000</v>
      </c>
      <c r="AE164" s="15" t="s">
        <v>114</v>
      </c>
      <c r="AF164" t="s">
        <v>39</v>
      </c>
      <c r="AH164" t="s">
        <v>142</v>
      </c>
      <c r="AI164">
        <v>25</v>
      </c>
      <c r="AJ164" s="60">
        <v>0.6</v>
      </c>
      <c r="AK164" s="59">
        <v>0.59027777777777779</v>
      </c>
      <c r="AL164" s="15" t="s">
        <v>109</v>
      </c>
      <c r="AM164" t="s">
        <v>177</v>
      </c>
      <c r="BB164">
        <v>141</v>
      </c>
      <c r="BC164">
        <v>30</v>
      </c>
      <c r="BD164" s="20" t="s">
        <v>143</v>
      </c>
      <c r="BE164" s="20">
        <v>2020</v>
      </c>
      <c r="BF164" s="20"/>
      <c r="BG164" s="20"/>
      <c r="BH164" s="15" t="s">
        <v>139</v>
      </c>
      <c r="BP164" s="15" t="s">
        <v>24</v>
      </c>
      <c r="BT164" t="s">
        <v>193</v>
      </c>
      <c r="BU164" s="15" t="s">
        <v>155</v>
      </c>
      <c r="BV164" s="15" t="s">
        <v>50</v>
      </c>
      <c r="BW164" t="s">
        <v>159</v>
      </c>
      <c r="BX164" s="15">
        <v>4</v>
      </c>
      <c r="BY164" s="15" t="s">
        <v>161</v>
      </c>
      <c r="BZ164" s="61" t="s">
        <v>94</v>
      </c>
    </row>
    <row r="165" spans="1:78" x14ac:dyDescent="0.2">
      <c r="A165" s="20" t="s">
        <v>185</v>
      </c>
      <c r="B165" s="21" t="s">
        <v>186</v>
      </c>
      <c r="C165" s="21" t="s">
        <v>126</v>
      </c>
      <c r="D165" s="20" t="s">
        <v>138</v>
      </c>
      <c r="E165" s="67" t="s">
        <v>154</v>
      </c>
      <c r="F165" s="63" t="s">
        <v>175</v>
      </c>
      <c r="G165" s="63" t="s">
        <v>176</v>
      </c>
      <c r="H165" s="20">
        <v>65</v>
      </c>
      <c r="I165" t="s">
        <v>152</v>
      </c>
      <c r="L165" s="66">
        <v>0.45</v>
      </c>
      <c r="N165" s="66">
        <v>75</v>
      </c>
      <c r="P165" s="66">
        <v>1250</v>
      </c>
      <c r="V165" s="66">
        <f>140/60</f>
        <v>2.3333333333333335</v>
      </c>
      <c r="X165" s="66">
        <v>2500</v>
      </c>
      <c r="Y165" s="15"/>
      <c r="AA165" s="68">
        <v>29</v>
      </c>
      <c r="AC165" s="66">
        <v>650</v>
      </c>
      <c r="AD165" s="66">
        <v>10000</v>
      </c>
      <c r="AE165" s="15" t="s">
        <v>114</v>
      </c>
      <c r="AF165" t="s">
        <v>40</v>
      </c>
      <c r="AH165" t="s">
        <v>142</v>
      </c>
      <c r="AI165">
        <v>25</v>
      </c>
      <c r="AJ165" s="60">
        <v>0.6</v>
      </c>
      <c r="AK165" s="59">
        <v>0.59027777777777779</v>
      </c>
      <c r="AL165" s="15" t="s">
        <v>109</v>
      </c>
      <c r="AM165" t="s">
        <v>177</v>
      </c>
      <c r="BB165">
        <v>124</v>
      </c>
      <c r="BC165">
        <v>10</v>
      </c>
      <c r="BD165" s="20" t="s">
        <v>143</v>
      </c>
      <c r="BE165" s="20">
        <v>2020</v>
      </c>
      <c r="BF165" s="20"/>
      <c r="BG165" s="20"/>
      <c r="BH165" s="15" t="s">
        <v>139</v>
      </c>
      <c r="BP165" s="15" t="s">
        <v>24</v>
      </c>
      <c r="BT165" t="s">
        <v>193</v>
      </c>
      <c r="BU165" s="15" t="s">
        <v>155</v>
      </c>
      <c r="BV165" s="15" t="s">
        <v>50</v>
      </c>
      <c r="BW165" t="s">
        <v>159</v>
      </c>
      <c r="BX165" s="15">
        <v>4</v>
      </c>
      <c r="BY165" s="15" t="s">
        <v>161</v>
      </c>
      <c r="BZ165" s="61" t="s">
        <v>94</v>
      </c>
    </row>
    <row r="166" spans="1:78" x14ac:dyDescent="0.2">
      <c r="A166" s="20" t="s">
        <v>185</v>
      </c>
      <c r="B166" s="21" t="s">
        <v>186</v>
      </c>
      <c r="C166" s="21" t="s">
        <v>126</v>
      </c>
      <c r="D166" s="20" t="s">
        <v>138</v>
      </c>
      <c r="E166" s="66">
        <v>34</v>
      </c>
      <c r="F166" s="65" t="s">
        <v>172</v>
      </c>
      <c r="G166" s="64" t="s">
        <v>173</v>
      </c>
      <c r="H166" s="20">
        <v>31</v>
      </c>
      <c r="I166" s="20" t="s">
        <v>151</v>
      </c>
      <c r="L166" s="66">
        <v>0.8</v>
      </c>
      <c r="N166" s="66">
        <v>6000</v>
      </c>
      <c r="P166" s="66">
        <v>8000</v>
      </c>
      <c r="V166" s="66">
        <f>10000/60</f>
        <v>166.66666666666666</v>
      </c>
      <c r="X166" s="66">
        <v>12500</v>
      </c>
      <c r="Y166" s="15"/>
      <c r="AA166" s="68">
        <v>1.3</v>
      </c>
      <c r="AC166" s="66">
        <v>2100</v>
      </c>
      <c r="AD166" s="66">
        <v>3100</v>
      </c>
      <c r="AE166" s="15" t="s">
        <v>114</v>
      </c>
      <c r="AF166" t="s">
        <v>39</v>
      </c>
      <c r="AH166" t="s">
        <v>142</v>
      </c>
      <c r="AI166">
        <v>25</v>
      </c>
      <c r="AJ166" s="60">
        <v>0.6</v>
      </c>
      <c r="AK166" s="59">
        <v>0.59027777777777779</v>
      </c>
      <c r="AL166" s="15" t="s">
        <v>109</v>
      </c>
      <c r="AM166" t="s">
        <v>183</v>
      </c>
      <c r="BB166">
        <v>156</v>
      </c>
      <c r="BC166">
        <v>10</v>
      </c>
      <c r="BD166" s="20" t="s">
        <v>143</v>
      </c>
      <c r="BE166" s="20">
        <v>2020</v>
      </c>
      <c r="BF166" s="20"/>
      <c r="BG166" s="20"/>
      <c r="BH166" s="15" t="s">
        <v>139</v>
      </c>
      <c r="BP166" s="15" t="s">
        <v>24</v>
      </c>
      <c r="BT166" t="s">
        <v>193</v>
      </c>
      <c r="BU166" s="15" t="s">
        <v>155</v>
      </c>
      <c r="BV166" s="15" t="s">
        <v>50</v>
      </c>
      <c r="BW166" t="s">
        <v>157</v>
      </c>
      <c r="BX166" s="15">
        <v>4</v>
      </c>
      <c r="BY166" s="15" t="s">
        <v>160</v>
      </c>
      <c r="BZ166" s="61" t="s">
        <v>94</v>
      </c>
    </row>
    <row r="167" spans="1:78" x14ac:dyDescent="0.2">
      <c r="A167" s="20" t="s">
        <v>185</v>
      </c>
      <c r="B167" s="21" t="s">
        <v>186</v>
      </c>
      <c r="C167" s="21" t="s">
        <v>126</v>
      </c>
      <c r="D167" s="20" t="s">
        <v>138</v>
      </c>
      <c r="E167" s="66">
        <v>33</v>
      </c>
      <c r="F167" s="65" t="s">
        <v>172</v>
      </c>
      <c r="G167" s="63" t="s">
        <v>174</v>
      </c>
      <c r="H167" s="20">
        <v>32</v>
      </c>
      <c r="I167" s="20" t="s">
        <v>151</v>
      </c>
      <c r="L167" s="66">
        <v>0.76</v>
      </c>
      <c r="N167" s="66">
        <v>6000</v>
      </c>
      <c r="P167" s="66">
        <v>7900</v>
      </c>
      <c r="V167" s="66">
        <f>10000/60</f>
        <v>166.66666666666666</v>
      </c>
      <c r="X167" s="66">
        <v>12200</v>
      </c>
      <c r="Y167" s="15"/>
      <c r="AA167" s="68">
        <v>1.4</v>
      </c>
      <c r="AC167" s="66">
        <v>1000</v>
      </c>
      <c r="AD167" s="66">
        <v>1100</v>
      </c>
      <c r="AE167" s="15" t="s">
        <v>114</v>
      </c>
      <c r="AF167" t="s">
        <v>40</v>
      </c>
      <c r="AH167" t="s">
        <v>142</v>
      </c>
      <c r="AI167">
        <v>25</v>
      </c>
      <c r="AJ167" s="60">
        <v>0.6</v>
      </c>
      <c r="AK167" s="59">
        <v>0.59027777777777779</v>
      </c>
      <c r="AL167" s="15" t="s">
        <v>109</v>
      </c>
      <c r="AM167" t="s">
        <v>183</v>
      </c>
      <c r="BB167">
        <v>145</v>
      </c>
      <c r="BC167">
        <v>10</v>
      </c>
      <c r="BD167" s="20" t="s">
        <v>143</v>
      </c>
      <c r="BE167" s="20">
        <v>2020</v>
      </c>
      <c r="BF167" s="20"/>
      <c r="BG167" s="20"/>
      <c r="BH167" s="15" t="s">
        <v>139</v>
      </c>
      <c r="BP167" s="15" t="s">
        <v>24</v>
      </c>
      <c r="BT167" t="s">
        <v>193</v>
      </c>
      <c r="BU167" s="15" t="s">
        <v>155</v>
      </c>
      <c r="BV167" s="15" t="s">
        <v>50</v>
      </c>
      <c r="BW167" t="s">
        <v>158</v>
      </c>
      <c r="BX167" s="15">
        <v>4</v>
      </c>
      <c r="BY167" t="s">
        <v>160</v>
      </c>
      <c r="BZ167" s="61" t="s">
        <v>94</v>
      </c>
    </row>
    <row r="168" spans="1:78" x14ac:dyDescent="0.2">
      <c r="A168" s="20" t="s">
        <v>185</v>
      </c>
      <c r="B168" s="21" t="s">
        <v>186</v>
      </c>
      <c r="C168" s="21" t="s">
        <v>126</v>
      </c>
      <c r="D168" s="20" t="s">
        <v>138</v>
      </c>
      <c r="E168" s="67" t="s">
        <v>154</v>
      </c>
      <c r="F168" s="65" t="s">
        <v>179</v>
      </c>
      <c r="G168" s="63" t="s">
        <v>180</v>
      </c>
      <c r="H168" s="20">
        <v>89</v>
      </c>
      <c r="I168" t="s">
        <v>152</v>
      </c>
      <c r="L168" s="66">
        <v>0.55000000000000004</v>
      </c>
      <c r="N168" s="66">
        <v>110</v>
      </c>
      <c r="P168" s="66">
        <v>1600</v>
      </c>
      <c r="V168" s="66">
        <f>125/60</f>
        <v>2.0833333333333335</v>
      </c>
      <c r="X168" s="66">
        <v>2400</v>
      </c>
      <c r="Y168" s="15"/>
      <c r="AA168" s="68">
        <v>24</v>
      </c>
      <c r="AC168" s="66">
        <v>500</v>
      </c>
      <c r="AD168" s="66">
        <v>10000</v>
      </c>
      <c r="AE168" s="15" t="s">
        <v>114</v>
      </c>
      <c r="AF168" t="s">
        <v>39</v>
      </c>
      <c r="AH168" t="s">
        <v>142</v>
      </c>
      <c r="AI168">
        <v>25</v>
      </c>
      <c r="AJ168" s="60">
        <v>0.6</v>
      </c>
      <c r="AK168" s="59">
        <v>0.59027777777777779</v>
      </c>
      <c r="AL168" s="15" t="s">
        <v>109</v>
      </c>
      <c r="AM168" t="s">
        <v>183</v>
      </c>
      <c r="BB168">
        <v>156</v>
      </c>
      <c r="BC168">
        <v>10</v>
      </c>
      <c r="BD168" s="20" t="s">
        <v>143</v>
      </c>
      <c r="BE168" s="20">
        <v>2020</v>
      </c>
      <c r="BF168" s="20"/>
      <c r="BG168" s="20"/>
      <c r="BH168" s="15" t="s">
        <v>139</v>
      </c>
      <c r="BP168" s="15" t="s">
        <v>24</v>
      </c>
      <c r="BT168" t="s">
        <v>193</v>
      </c>
      <c r="BU168" s="15" t="s">
        <v>155</v>
      </c>
      <c r="BV168" s="15" t="s">
        <v>50</v>
      </c>
      <c r="BW168" t="s">
        <v>159</v>
      </c>
      <c r="BX168" s="15">
        <v>4</v>
      </c>
      <c r="BY168" s="15" t="s">
        <v>161</v>
      </c>
      <c r="BZ168" s="61" t="s">
        <v>94</v>
      </c>
    </row>
    <row r="169" spans="1:78" s="48" customFormat="1" x14ac:dyDescent="0.2">
      <c r="A169" s="44" t="s">
        <v>185</v>
      </c>
      <c r="B169" s="45" t="s">
        <v>186</v>
      </c>
      <c r="C169" s="45" t="s">
        <v>126</v>
      </c>
      <c r="D169" s="44" t="s">
        <v>138</v>
      </c>
      <c r="E169" s="67" t="s">
        <v>154</v>
      </c>
      <c r="F169" s="63" t="s">
        <v>181</v>
      </c>
      <c r="G169" s="65" t="s">
        <v>182</v>
      </c>
      <c r="H169" s="44">
        <v>93</v>
      </c>
      <c r="I169" s="48" t="s">
        <v>152</v>
      </c>
      <c r="L169" s="66">
        <v>0.5</v>
      </c>
      <c r="N169" s="66">
        <v>60</v>
      </c>
      <c r="P169" s="66">
        <v>1750</v>
      </c>
      <c r="V169" s="66">
        <f>110/6</f>
        <v>18.333333333333332</v>
      </c>
      <c r="X169" s="66">
        <v>3000</v>
      </c>
      <c r="Y169" s="46"/>
      <c r="AA169" s="68">
        <v>32</v>
      </c>
      <c r="AC169" s="66">
        <v>600</v>
      </c>
      <c r="AD169" s="66">
        <v>12000</v>
      </c>
      <c r="AE169" s="46" t="s">
        <v>114</v>
      </c>
      <c r="AF169" s="48" t="s">
        <v>40</v>
      </c>
      <c r="AH169" s="48" t="s">
        <v>142</v>
      </c>
      <c r="AI169" s="48">
        <v>25</v>
      </c>
      <c r="AJ169" s="69">
        <v>0.6</v>
      </c>
      <c r="AK169" s="70">
        <v>0.59027777777777779</v>
      </c>
      <c r="AL169" s="46" t="s">
        <v>109</v>
      </c>
      <c r="AM169" s="48" t="s">
        <v>183</v>
      </c>
      <c r="BB169" s="48">
        <v>145</v>
      </c>
      <c r="BC169" s="48">
        <v>10</v>
      </c>
      <c r="BD169" s="44" t="s">
        <v>143</v>
      </c>
      <c r="BE169" s="44">
        <v>2020</v>
      </c>
      <c r="BF169" s="44"/>
      <c r="BG169" s="44"/>
      <c r="BH169" s="46" t="s">
        <v>139</v>
      </c>
      <c r="BP169" s="46" t="s">
        <v>24</v>
      </c>
      <c r="BT169" s="48" t="s">
        <v>193</v>
      </c>
      <c r="BU169" s="46" t="s">
        <v>155</v>
      </c>
      <c r="BV169" s="46" t="s">
        <v>50</v>
      </c>
      <c r="BW169" s="48" t="s">
        <v>159</v>
      </c>
      <c r="BX169" s="46">
        <v>4</v>
      </c>
      <c r="BY169" s="46" t="s">
        <v>161</v>
      </c>
      <c r="BZ169" s="71" t="s">
        <v>94</v>
      </c>
    </row>
    <row r="170" spans="1:78" x14ac:dyDescent="0.2">
      <c r="A170" s="20" t="s">
        <v>187</v>
      </c>
      <c r="B170" s="21" t="s">
        <v>188</v>
      </c>
      <c r="C170" s="20" t="s">
        <v>126</v>
      </c>
      <c r="D170" s="20" t="s">
        <v>184</v>
      </c>
      <c r="E170">
        <v>572</v>
      </c>
      <c r="F170">
        <v>533</v>
      </c>
      <c r="G170">
        <v>93</v>
      </c>
      <c r="K170" s="41"/>
      <c r="L170" s="41"/>
      <c r="M170" s="41"/>
      <c r="N170" s="41"/>
      <c r="O170" s="41"/>
      <c r="P170" s="41"/>
      <c r="Q170" s="41"/>
      <c r="V170" t="s">
        <v>200</v>
      </c>
      <c r="Y170" s="41"/>
      <c r="AE170" s="15" t="s">
        <v>114</v>
      </c>
      <c r="AH170" t="s">
        <v>201</v>
      </c>
      <c r="AI170" s="15">
        <v>26</v>
      </c>
      <c r="AK170" s="59">
        <v>0.59027777777777779</v>
      </c>
      <c r="AL170" s="15" t="s">
        <v>109</v>
      </c>
      <c r="BD170" s="20" t="s">
        <v>195</v>
      </c>
      <c r="BE170" s="20">
        <v>2014</v>
      </c>
      <c r="BH170" s="15" t="s">
        <v>197</v>
      </c>
      <c r="BK170" t="s">
        <v>199</v>
      </c>
      <c r="BL170">
        <v>2012</v>
      </c>
      <c r="BP170" s="15" t="s">
        <v>24</v>
      </c>
      <c r="BQ170" t="s">
        <v>198</v>
      </c>
      <c r="BT170" s="15" t="s">
        <v>194</v>
      </c>
      <c r="BU170" s="15" t="s">
        <v>196</v>
      </c>
      <c r="BV170" s="15" t="s">
        <v>50</v>
      </c>
      <c r="BY170">
        <v>699</v>
      </c>
      <c r="BZ170" s="61" t="s">
        <v>94</v>
      </c>
    </row>
    <row r="171" spans="1:78" x14ac:dyDescent="0.2">
      <c r="A171" s="20" t="s">
        <v>187</v>
      </c>
      <c r="B171" s="21" t="s">
        <v>188</v>
      </c>
      <c r="C171" s="20" t="s">
        <v>126</v>
      </c>
      <c r="D171" s="20" t="s">
        <v>184</v>
      </c>
      <c r="E171">
        <v>103</v>
      </c>
      <c r="F171">
        <v>103</v>
      </c>
      <c r="K171" s="41"/>
      <c r="L171" s="15">
        <v>0.72</v>
      </c>
      <c r="M171" s="41">
        <v>0.03</v>
      </c>
      <c r="P171" s="15">
        <f>12.2*1000</f>
        <v>12200</v>
      </c>
      <c r="Q171" s="41">
        <f>0.92*1000</f>
        <v>920</v>
      </c>
      <c r="R171" s="41">
        <f>9.7*1000</f>
        <v>9700</v>
      </c>
      <c r="S171" s="41">
        <f>0.95*1000</f>
        <v>950</v>
      </c>
      <c r="T171">
        <f>220*60</f>
        <v>13200</v>
      </c>
      <c r="U171">
        <f>19*60</f>
        <v>1140</v>
      </c>
      <c r="X171">
        <f>298*60</f>
        <v>17880</v>
      </c>
      <c r="Y171" s="41">
        <f>17*60</f>
        <v>1020</v>
      </c>
      <c r="AE171" s="15" t="s">
        <v>114</v>
      </c>
      <c r="AG171">
        <v>1</v>
      </c>
      <c r="AH171" t="s">
        <v>201</v>
      </c>
      <c r="AI171" s="15">
        <v>26</v>
      </c>
      <c r="AK171" s="59">
        <v>0.59027777777777779</v>
      </c>
      <c r="AL171" s="15" t="s">
        <v>109</v>
      </c>
      <c r="BD171" s="20" t="s">
        <v>195</v>
      </c>
      <c r="BE171" s="20">
        <v>2014</v>
      </c>
      <c r="BF171" s="20"/>
      <c r="BG171" s="20"/>
      <c r="BH171" s="15" t="s">
        <v>197</v>
      </c>
      <c r="BK171" t="s">
        <v>199</v>
      </c>
      <c r="BL171">
        <v>2012</v>
      </c>
      <c r="BP171" s="15" t="s">
        <v>24</v>
      </c>
      <c r="BQ171" t="s">
        <v>198</v>
      </c>
      <c r="BT171" s="15" t="s">
        <v>194</v>
      </c>
      <c r="BV171" t="s">
        <v>50</v>
      </c>
      <c r="BX171">
        <v>1</v>
      </c>
      <c r="BZ171" s="61" t="s">
        <v>94</v>
      </c>
    </row>
    <row r="172" spans="1:78" x14ac:dyDescent="0.2">
      <c r="A172" s="20" t="s">
        <v>187</v>
      </c>
      <c r="B172" s="21" t="s">
        <v>188</v>
      </c>
      <c r="C172" s="20" t="s">
        <v>126</v>
      </c>
      <c r="D172" s="20" t="s">
        <v>184</v>
      </c>
      <c r="E172">
        <v>103</v>
      </c>
      <c r="F172">
        <v>103</v>
      </c>
      <c r="K172" s="41"/>
      <c r="L172" s="15">
        <v>0.66</v>
      </c>
      <c r="M172" s="41">
        <v>0.04</v>
      </c>
      <c r="P172" s="15">
        <f>13.5*1000</f>
        <v>13500</v>
      </c>
      <c r="Q172" s="41">
        <f>1.11*1000</f>
        <v>1110</v>
      </c>
      <c r="R172" s="41">
        <f>11.2*1000</f>
        <v>11200</v>
      </c>
      <c r="S172" s="41">
        <f>1.14*1000</f>
        <v>1140</v>
      </c>
      <c r="T172">
        <f>263*60</f>
        <v>15780</v>
      </c>
      <c r="U172">
        <f>20*60</f>
        <v>1200</v>
      </c>
      <c r="X172">
        <f>357*60</f>
        <v>21420</v>
      </c>
      <c r="Y172" s="41">
        <f>19*60</f>
        <v>1140</v>
      </c>
      <c r="AE172" s="15" t="s">
        <v>114</v>
      </c>
      <c r="AG172">
        <v>2</v>
      </c>
      <c r="AH172" t="s">
        <v>201</v>
      </c>
      <c r="AI172" s="15">
        <v>26</v>
      </c>
      <c r="AK172" s="59">
        <v>0.59027777777777779</v>
      </c>
      <c r="AL172" s="15" t="s">
        <v>109</v>
      </c>
      <c r="BD172" s="20" t="s">
        <v>195</v>
      </c>
      <c r="BE172" s="20">
        <v>2014</v>
      </c>
      <c r="BF172" s="20"/>
      <c r="BG172" s="20"/>
      <c r="BH172" s="15" t="s">
        <v>197</v>
      </c>
      <c r="BK172" t="s">
        <v>199</v>
      </c>
      <c r="BL172">
        <v>2012</v>
      </c>
      <c r="BP172" s="15" t="s">
        <v>24</v>
      </c>
      <c r="BQ172" t="s">
        <v>198</v>
      </c>
      <c r="BT172" s="15" t="s">
        <v>194</v>
      </c>
      <c r="BV172" t="s">
        <v>50</v>
      </c>
      <c r="BX172">
        <v>1</v>
      </c>
      <c r="BZ172" s="61" t="s">
        <v>94</v>
      </c>
    </row>
    <row r="173" spans="1:78" x14ac:dyDescent="0.2">
      <c r="A173" s="20" t="s">
        <v>187</v>
      </c>
      <c r="B173" s="21" t="s">
        <v>188</v>
      </c>
      <c r="C173" s="20" t="s">
        <v>126</v>
      </c>
      <c r="D173" s="20" t="s">
        <v>184</v>
      </c>
      <c r="E173">
        <v>112</v>
      </c>
      <c r="F173">
        <v>112</v>
      </c>
      <c r="K173" s="41"/>
      <c r="L173" s="15">
        <v>0.56000000000000005</v>
      </c>
      <c r="M173" s="41">
        <v>0.03</v>
      </c>
      <c r="P173" s="15">
        <f>10.2*1000</f>
        <v>10200</v>
      </c>
      <c r="Q173" s="41">
        <f>0.93*1000</f>
        <v>930</v>
      </c>
      <c r="R173" s="41">
        <f>8*1000</f>
        <v>8000</v>
      </c>
      <c r="S173" s="41">
        <f>0.93*1000</f>
        <v>930</v>
      </c>
      <c r="T173">
        <f>206*60</f>
        <v>12360</v>
      </c>
      <c r="U173">
        <f>19*60</f>
        <v>1140</v>
      </c>
      <c r="X173">
        <f>314*60</f>
        <v>18840</v>
      </c>
      <c r="Y173">
        <f>18*60</f>
        <v>1080</v>
      </c>
      <c r="AE173" s="15" t="s">
        <v>114</v>
      </c>
      <c r="AG173">
        <v>3</v>
      </c>
      <c r="AH173" t="s">
        <v>201</v>
      </c>
      <c r="AI173" s="15">
        <v>26</v>
      </c>
      <c r="AK173" s="59">
        <v>0.59027777777777779</v>
      </c>
      <c r="AL173" s="15" t="s">
        <v>109</v>
      </c>
      <c r="BD173" s="20" t="s">
        <v>195</v>
      </c>
      <c r="BE173" s="20">
        <v>2014</v>
      </c>
      <c r="BF173" s="20"/>
      <c r="BG173" s="20"/>
      <c r="BH173" s="15" t="s">
        <v>197</v>
      </c>
      <c r="BK173" t="s">
        <v>199</v>
      </c>
      <c r="BL173">
        <v>2012</v>
      </c>
      <c r="BP173" s="15" t="s">
        <v>24</v>
      </c>
      <c r="BQ173" t="s">
        <v>198</v>
      </c>
      <c r="BT173" s="15" t="s">
        <v>194</v>
      </c>
      <c r="BV173" t="s">
        <v>50</v>
      </c>
      <c r="BX173">
        <v>1</v>
      </c>
      <c r="BZ173" s="61" t="s">
        <v>94</v>
      </c>
    </row>
    <row r="174" spans="1:78" x14ac:dyDescent="0.2">
      <c r="A174" s="20" t="s">
        <v>187</v>
      </c>
      <c r="B174" s="21" t="s">
        <v>188</v>
      </c>
      <c r="C174" s="20" t="s">
        <v>126</v>
      </c>
      <c r="D174" s="20" t="s">
        <v>184</v>
      </c>
      <c r="E174">
        <v>105</v>
      </c>
      <c r="F174">
        <v>105</v>
      </c>
      <c r="K174" s="41"/>
      <c r="L174" s="15">
        <v>0.61</v>
      </c>
      <c r="M174" s="15">
        <v>0.04</v>
      </c>
      <c r="P174" s="15">
        <f>11.4*1000</f>
        <v>11400</v>
      </c>
      <c r="Q174" s="15">
        <f>1.05*1000</f>
        <v>1050</v>
      </c>
      <c r="R174" s="15">
        <f>9.2*1000</f>
        <v>9200</v>
      </c>
      <c r="S174" s="15">
        <f>1.05*1000</f>
        <v>1050</v>
      </c>
      <c r="T174">
        <f>229*60</f>
        <v>13740</v>
      </c>
      <c r="U174">
        <f>20*60</f>
        <v>1200</v>
      </c>
      <c r="X174">
        <f>330*60</f>
        <v>19800</v>
      </c>
      <c r="Y174">
        <f>19*60</f>
        <v>1140</v>
      </c>
      <c r="AE174" s="15" t="s">
        <v>114</v>
      </c>
      <c r="AG174">
        <v>5</v>
      </c>
      <c r="AH174" t="s">
        <v>201</v>
      </c>
      <c r="AI174" s="15">
        <v>26</v>
      </c>
      <c r="AK174" s="59">
        <v>0.59027777777777779</v>
      </c>
      <c r="AL174" s="15" t="s">
        <v>109</v>
      </c>
      <c r="BD174" s="20" t="s">
        <v>195</v>
      </c>
      <c r="BE174" s="20">
        <v>2014</v>
      </c>
      <c r="BF174" s="20"/>
      <c r="BG174" s="20"/>
      <c r="BH174" s="15" t="s">
        <v>197</v>
      </c>
      <c r="BK174" t="s">
        <v>199</v>
      </c>
      <c r="BL174">
        <v>2012</v>
      </c>
      <c r="BP174" s="15" t="s">
        <v>24</v>
      </c>
      <c r="BQ174" t="s">
        <v>198</v>
      </c>
      <c r="BT174" s="15" t="s">
        <v>194</v>
      </c>
      <c r="BV174" t="s">
        <v>50</v>
      </c>
      <c r="BX174">
        <v>1</v>
      </c>
      <c r="BZ174" s="61" t="s">
        <v>94</v>
      </c>
    </row>
    <row r="175" spans="1:78" x14ac:dyDescent="0.2">
      <c r="A175" s="20" t="s">
        <v>187</v>
      </c>
      <c r="B175" s="21" t="s">
        <v>188</v>
      </c>
      <c r="C175" s="20" t="s">
        <v>126</v>
      </c>
      <c r="D175" s="20" t="s">
        <v>184</v>
      </c>
      <c r="E175">
        <v>110</v>
      </c>
      <c r="F175">
        <v>110</v>
      </c>
      <c r="K175" s="41"/>
      <c r="L175" s="15">
        <v>0.56999999999999995</v>
      </c>
      <c r="M175" s="15">
        <v>0.04</v>
      </c>
      <c r="P175" s="15">
        <f>8.3*1000</f>
        <v>8300</v>
      </c>
      <c r="Q175" s="15">
        <f>0.93*1000</f>
        <v>930</v>
      </c>
      <c r="R175" s="15">
        <f>6.1*1000</f>
        <v>6100</v>
      </c>
      <c r="S175" s="15">
        <f>0.93*1000</f>
        <v>930</v>
      </c>
      <c r="T175">
        <f>147*60</f>
        <v>8820</v>
      </c>
      <c r="U175">
        <f>16*60</f>
        <v>960</v>
      </c>
      <c r="X175">
        <f>250*60</f>
        <v>15000</v>
      </c>
      <c r="Y175">
        <f>17*60</f>
        <v>1020</v>
      </c>
      <c r="AE175" s="15" t="s">
        <v>114</v>
      </c>
      <c r="AG175">
        <v>7</v>
      </c>
      <c r="AH175" t="s">
        <v>201</v>
      </c>
      <c r="AI175" s="15">
        <v>26</v>
      </c>
      <c r="AK175" s="59">
        <v>0.59027777777777779</v>
      </c>
      <c r="AL175" s="15" t="s">
        <v>109</v>
      </c>
      <c r="BD175" s="20" t="s">
        <v>195</v>
      </c>
      <c r="BE175" s="20">
        <v>2014</v>
      </c>
      <c r="BF175" s="20"/>
      <c r="BG175" s="20"/>
      <c r="BH175" s="15" t="s">
        <v>197</v>
      </c>
      <c r="BK175" t="s">
        <v>199</v>
      </c>
      <c r="BL175">
        <v>2012</v>
      </c>
      <c r="BP175" s="15" t="s">
        <v>24</v>
      </c>
      <c r="BQ175" t="s">
        <v>198</v>
      </c>
      <c r="BT175" s="15" t="s">
        <v>194</v>
      </c>
      <c r="BV175" t="s">
        <v>50</v>
      </c>
      <c r="BX175">
        <v>1</v>
      </c>
      <c r="BZ175" s="61" t="s">
        <v>94</v>
      </c>
    </row>
    <row r="176" spans="1:78" x14ac:dyDescent="0.2">
      <c r="A176" s="20" t="s">
        <v>187</v>
      </c>
      <c r="B176" s="21" t="s">
        <v>188</v>
      </c>
      <c r="C176" s="20" t="s">
        <v>126</v>
      </c>
      <c r="D176" s="20" t="s">
        <v>184</v>
      </c>
      <c r="E176" s="20" t="s">
        <v>120</v>
      </c>
      <c r="F176" s="20">
        <v>270</v>
      </c>
      <c r="K176" s="41"/>
      <c r="L176" s="41"/>
      <c r="M176" s="41"/>
      <c r="N176" s="41"/>
      <c r="O176" s="41"/>
      <c r="P176" s="41">
        <f>12.3*1000</f>
        <v>12300</v>
      </c>
      <c r="Q176" s="41">
        <f>0.71*1000</f>
        <v>710</v>
      </c>
      <c r="X176">
        <f>328.8*60</f>
        <v>19728</v>
      </c>
      <c r="Y176">
        <f>11.54*60</f>
        <v>692.4</v>
      </c>
      <c r="AE176" s="15" t="s">
        <v>114</v>
      </c>
      <c r="AF176" t="s">
        <v>39</v>
      </c>
      <c r="AH176" t="s">
        <v>201</v>
      </c>
      <c r="AI176" s="15">
        <v>26</v>
      </c>
      <c r="AK176" s="59">
        <v>0.59027777777777779</v>
      </c>
      <c r="AL176" s="15" t="s">
        <v>109</v>
      </c>
      <c r="AN176">
        <v>27.5</v>
      </c>
      <c r="AO176">
        <v>0.28999999999999998</v>
      </c>
      <c r="AP176">
        <v>8.4</v>
      </c>
      <c r="AQ176">
        <v>0.04</v>
      </c>
      <c r="AR176">
        <v>29.7</v>
      </c>
      <c r="AS176">
        <v>0.26</v>
      </c>
      <c r="AT176">
        <v>10.1</v>
      </c>
      <c r="AU176">
        <v>0.05</v>
      </c>
      <c r="BD176" s="20" t="s">
        <v>195</v>
      </c>
      <c r="BE176" s="20">
        <v>2014</v>
      </c>
      <c r="BF176" s="20"/>
      <c r="BG176" s="20"/>
      <c r="BH176" s="15" t="s">
        <v>197</v>
      </c>
      <c r="BK176" t="s">
        <v>199</v>
      </c>
      <c r="BL176">
        <v>2012</v>
      </c>
      <c r="BP176" s="15" t="s">
        <v>24</v>
      </c>
      <c r="BQ176" t="s">
        <v>198</v>
      </c>
      <c r="BT176" s="15" t="s">
        <v>194</v>
      </c>
      <c r="BV176" t="s">
        <v>50</v>
      </c>
      <c r="BX176">
        <v>3</v>
      </c>
      <c r="BY176">
        <v>700</v>
      </c>
      <c r="BZ176" s="61" t="s">
        <v>94</v>
      </c>
    </row>
    <row r="177" spans="1:78" x14ac:dyDescent="0.2">
      <c r="A177" s="20" t="s">
        <v>187</v>
      </c>
      <c r="B177" s="21" t="s">
        <v>188</v>
      </c>
      <c r="C177" s="20" t="s">
        <v>126</v>
      </c>
      <c r="D177" s="20" t="s">
        <v>184</v>
      </c>
      <c r="E177" s="20" t="s">
        <v>120</v>
      </c>
      <c r="F177" s="20">
        <v>261</v>
      </c>
      <c r="K177" s="41"/>
      <c r="L177" s="41"/>
      <c r="M177" s="41"/>
      <c r="N177" s="41"/>
      <c r="O177" s="41"/>
      <c r="P177" s="41">
        <f>9.8*1000</f>
        <v>9800</v>
      </c>
      <c r="Q177" s="41">
        <f>0.52*1000</f>
        <v>520</v>
      </c>
      <c r="X177">
        <f>288.5*60</f>
        <v>17310</v>
      </c>
      <c r="Y177">
        <f>11.5*60</f>
        <v>690</v>
      </c>
      <c r="AE177" s="15" t="s">
        <v>114</v>
      </c>
      <c r="AF177" t="s">
        <v>40</v>
      </c>
      <c r="AH177" t="s">
        <v>201</v>
      </c>
      <c r="AI177" s="15">
        <v>26</v>
      </c>
      <c r="AK177" s="59">
        <v>0.59027777777777779</v>
      </c>
      <c r="AL177" s="15" t="s">
        <v>109</v>
      </c>
      <c r="AN177">
        <v>20</v>
      </c>
      <c r="AO177">
        <v>0.3</v>
      </c>
      <c r="AP177">
        <v>7.5</v>
      </c>
      <c r="AQ177">
        <v>0.04</v>
      </c>
      <c r="AR177">
        <v>25.5</v>
      </c>
      <c r="AS177">
        <v>0.28999999999999998</v>
      </c>
      <c r="AT177">
        <v>9.4</v>
      </c>
      <c r="AU177">
        <v>0.05</v>
      </c>
      <c r="BD177" s="20" t="s">
        <v>195</v>
      </c>
      <c r="BE177" s="20">
        <v>2014</v>
      </c>
      <c r="BF177" s="20"/>
      <c r="BG177" s="20"/>
      <c r="BH177" s="15" t="s">
        <v>197</v>
      </c>
      <c r="BK177" t="s">
        <v>199</v>
      </c>
      <c r="BL177">
        <v>2012</v>
      </c>
      <c r="BP177" s="15" t="s">
        <v>24</v>
      </c>
      <c r="BQ177" t="s">
        <v>198</v>
      </c>
      <c r="BT177" s="15" t="s">
        <v>194</v>
      </c>
      <c r="BV177" t="s">
        <v>50</v>
      </c>
      <c r="BX177">
        <v>3</v>
      </c>
      <c r="BY177">
        <v>700</v>
      </c>
      <c r="BZ177" s="61" t="s">
        <v>94</v>
      </c>
    </row>
    <row r="178" spans="1:78" x14ac:dyDescent="0.2">
      <c r="A178" s="20" t="s">
        <v>187</v>
      </c>
      <c r="B178" s="21" t="s">
        <v>188</v>
      </c>
      <c r="C178" s="20" t="s">
        <v>126</v>
      </c>
      <c r="D178" s="20" t="s">
        <v>184</v>
      </c>
      <c r="E178">
        <v>1</v>
      </c>
      <c r="F178">
        <v>1</v>
      </c>
      <c r="I178" s="20" t="s">
        <v>151</v>
      </c>
      <c r="K178" s="41"/>
      <c r="L178" s="41">
        <f>N178/(V178*60)</f>
        <v>1.8994252873563218</v>
      </c>
      <c r="M178" s="41"/>
      <c r="N178" s="41">
        <f>66.1*1000</f>
        <v>66100</v>
      </c>
      <c r="O178" s="41"/>
      <c r="P178" s="41"/>
      <c r="Q178" s="41"/>
      <c r="V178">
        <v>580</v>
      </c>
      <c r="AE178" s="15" t="s">
        <v>114</v>
      </c>
      <c r="AF178" t="s">
        <v>39</v>
      </c>
      <c r="AG178">
        <v>5</v>
      </c>
      <c r="AH178" t="s">
        <v>201</v>
      </c>
      <c r="AI178" s="15">
        <v>26</v>
      </c>
      <c r="AK178" s="59">
        <v>0.59027777777777779</v>
      </c>
      <c r="AL178" s="15" t="s">
        <v>109</v>
      </c>
      <c r="BD178" s="20" t="s">
        <v>195</v>
      </c>
      <c r="BE178" s="20">
        <v>2014</v>
      </c>
      <c r="BF178" s="20"/>
      <c r="BG178" s="20"/>
      <c r="BH178" s="15" t="s">
        <v>197</v>
      </c>
      <c r="BK178" t="s">
        <v>199</v>
      </c>
      <c r="BL178">
        <v>2012</v>
      </c>
      <c r="BP178" s="15" t="s">
        <v>24</v>
      </c>
      <c r="BQ178" t="s">
        <v>198</v>
      </c>
      <c r="BT178" s="15" t="s">
        <v>194</v>
      </c>
      <c r="BV178" t="s">
        <v>50</v>
      </c>
      <c r="BY178">
        <v>700</v>
      </c>
      <c r="BZ178" s="61" t="s">
        <v>94</v>
      </c>
    </row>
    <row r="179" spans="1:78" s="48" customFormat="1" x14ac:dyDescent="0.2">
      <c r="A179" s="44" t="s">
        <v>187</v>
      </c>
      <c r="B179" s="45" t="s">
        <v>188</v>
      </c>
      <c r="C179" s="44" t="s">
        <v>126</v>
      </c>
      <c r="D179" s="44" t="s">
        <v>184</v>
      </c>
      <c r="E179" s="48">
        <v>1</v>
      </c>
      <c r="F179" s="48">
        <v>1</v>
      </c>
      <c r="I179" s="44" t="s">
        <v>151</v>
      </c>
      <c r="L179" s="48">
        <f>N179/(V179*60)</f>
        <v>1.1489237929028504</v>
      </c>
      <c r="N179" s="48">
        <f>39.5*1000</f>
        <v>39500</v>
      </c>
      <c r="V179" s="48">
        <v>573</v>
      </c>
      <c r="AE179" s="15" t="s">
        <v>114</v>
      </c>
      <c r="AF179" s="48" t="s">
        <v>40</v>
      </c>
      <c r="AG179" s="48">
        <v>2</v>
      </c>
      <c r="AH179" s="48" t="s">
        <v>201</v>
      </c>
      <c r="AI179" s="46">
        <v>26</v>
      </c>
      <c r="AK179" s="70">
        <v>0.59027777777777779</v>
      </c>
      <c r="AL179" s="46" t="s">
        <v>109</v>
      </c>
      <c r="BD179" s="44" t="s">
        <v>195</v>
      </c>
      <c r="BE179" s="44">
        <v>2014</v>
      </c>
      <c r="BF179" s="44"/>
      <c r="BG179" s="44"/>
      <c r="BH179" s="46" t="s">
        <v>197</v>
      </c>
      <c r="BK179" s="48" t="s">
        <v>199</v>
      </c>
      <c r="BL179" s="48">
        <v>2012</v>
      </c>
      <c r="BP179" s="46" t="s">
        <v>24</v>
      </c>
      <c r="BQ179" s="48" t="s">
        <v>198</v>
      </c>
      <c r="BT179" s="46" t="s">
        <v>194</v>
      </c>
      <c r="BV179" s="48" t="s">
        <v>50</v>
      </c>
      <c r="BY179" s="48">
        <v>700</v>
      </c>
      <c r="BZ179" s="48" t="s">
        <v>94</v>
      </c>
    </row>
    <row r="180" spans="1:78" x14ac:dyDescent="0.2">
      <c r="A180" s="20" t="s">
        <v>222</v>
      </c>
      <c r="B180" s="21" t="s">
        <v>230</v>
      </c>
      <c r="C180" s="20" t="s">
        <v>126</v>
      </c>
      <c r="D180" s="20" t="s">
        <v>223</v>
      </c>
      <c r="E180" s="20"/>
      <c r="F180" s="20"/>
      <c r="P180" t="s">
        <v>224</v>
      </c>
      <c r="R180" t="s">
        <v>242</v>
      </c>
      <c r="BD180" s="20" t="s">
        <v>195</v>
      </c>
      <c r="BE180" s="20">
        <v>2014</v>
      </c>
      <c r="BF180" s="20" t="s">
        <v>216</v>
      </c>
      <c r="BG180" s="20">
        <v>1997</v>
      </c>
      <c r="BV180" s="78" t="s">
        <v>50</v>
      </c>
      <c r="BY180" t="s">
        <v>250</v>
      </c>
    </row>
    <row r="181" spans="1:78" x14ac:dyDescent="0.2">
      <c r="A181" s="20" t="s">
        <v>229</v>
      </c>
      <c r="B181" s="21" t="s">
        <v>231</v>
      </c>
      <c r="C181" s="20" t="s">
        <v>126</v>
      </c>
      <c r="D181" s="20" t="s">
        <v>228</v>
      </c>
      <c r="L181" t="s">
        <v>227</v>
      </c>
      <c r="P181" t="s">
        <v>225</v>
      </c>
      <c r="R181" t="s">
        <v>243</v>
      </c>
      <c r="X181" t="s">
        <v>226</v>
      </c>
      <c r="BD181" s="20" t="s">
        <v>195</v>
      </c>
      <c r="BE181" s="20">
        <v>2014</v>
      </c>
      <c r="BF181" t="s">
        <v>217</v>
      </c>
      <c r="BG181" t="s">
        <v>218</v>
      </c>
      <c r="BV181" s="16" t="s">
        <v>50</v>
      </c>
      <c r="BY181" t="s">
        <v>250</v>
      </c>
    </row>
    <row r="182" spans="1:78" x14ac:dyDescent="0.2">
      <c r="A182" s="20" t="s">
        <v>232</v>
      </c>
      <c r="B182" s="21" t="s">
        <v>230</v>
      </c>
      <c r="C182" s="20" t="s">
        <v>126</v>
      </c>
      <c r="D182" s="20" t="s">
        <v>233</v>
      </c>
      <c r="P182" t="s">
        <v>237</v>
      </c>
      <c r="R182" t="s">
        <v>244</v>
      </c>
      <c r="BD182" s="20" t="s">
        <v>195</v>
      </c>
      <c r="BE182" s="20">
        <v>2014</v>
      </c>
      <c r="BF182" t="s">
        <v>219</v>
      </c>
      <c r="BG182" t="s">
        <v>220</v>
      </c>
      <c r="BV182" s="16" t="s">
        <v>50</v>
      </c>
      <c r="BY182" t="s">
        <v>250</v>
      </c>
    </row>
    <row r="183" spans="1:78" x14ac:dyDescent="0.2">
      <c r="A183" s="20" t="s">
        <v>235</v>
      </c>
      <c r="B183" s="21" t="s">
        <v>188</v>
      </c>
      <c r="C183" s="20" t="s">
        <v>126</v>
      </c>
      <c r="D183" s="20" t="s">
        <v>234</v>
      </c>
      <c r="P183" t="s">
        <v>238</v>
      </c>
      <c r="R183" t="s">
        <v>245</v>
      </c>
      <c r="BD183" s="20" t="s">
        <v>195</v>
      </c>
      <c r="BE183" s="20">
        <v>2014</v>
      </c>
      <c r="BF183" t="s">
        <v>236</v>
      </c>
      <c r="BG183">
        <v>2008</v>
      </c>
      <c r="BV183" s="16" t="s">
        <v>50</v>
      </c>
      <c r="BY183" t="s">
        <v>250</v>
      </c>
    </row>
    <row r="184" spans="1:78" s="48" customFormat="1" x14ac:dyDescent="0.2">
      <c r="A184" s="44" t="s">
        <v>241</v>
      </c>
      <c r="B184" s="45" t="s">
        <v>230</v>
      </c>
      <c r="C184" s="44" t="s">
        <v>126</v>
      </c>
      <c r="D184" s="44" t="s">
        <v>239</v>
      </c>
      <c r="P184" s="48" t="s">
        <v>240</v>
      </c>
      <c r="BD184" s="44" t="s">
        <v>195</v>
      </c>
      <c r="BE184" s="44">
        <v>2014</v>
      </c>
      <c r="BF184" s="44" t="s">
        <v>221</v>
      </c>
      <c r="BG184" s="48">
        <v>2009</v>
      </c>
      <c r="BV184" s="48" t="s">
        <v>50</v>
      </c>
      <c r="BY184" s="48" t="s">
        <v>250</v>
      </c>
    </row>
  </sheetData>
  <pageMargins left="0.7" right="0.7" top="0.75" bottom="0.75" header="0.3" footer="0.3"/>
  <ignoredErrors>
    <ignoredError sqref="U172:U173 Y173 Q174 R173 R175 S174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50E8-A82A-9046-8F71-59514E76F247}">
  <dimension ref="A1:K6"/>
  <sheetViews>
    <sheetView workbookViewId="0">
      <selection activeCell="I5" sqref="I5"/>
    </sheetView>
  </sheetViews>
  <sheetFormatPr baseColWidth="10" defaultRowHeight="16" x14ac:dyDescent="0.2"/>
  <cols>
    <col min="1" max="1" width="19" bestFit="1" customWidth="1"/>
    <col min="3" max="3" width="17.6640625" bestFit="1" customWidth="1"/>
    <col min="6" max="6" width="16.6640625" bestFit="1" customWidth="1"/>
  </cols>
  <sheetData>
    <row r="1" spans="1:11" x14ac:dyDescent="0.2">
      <c r="A1" s="74" t="s">
        <v>246</v>
      </c>
      <c r="B1" s="74" t="s">
        <v>2</v>
      </c>
      <c r="C1" s="74" t="s">
        <v>19</v>
      </c>
      <c r="D1" s="74" t="s">
        <v>0</v>
      </c>
      <c r="E1" s="74" t="s">
        <v>1</v>
      </c>
      <c r="F1" s="74" t="s">
        <v>16</v>
      </c>
      <c r="G1" s="74" t="s">
        <v>39</v>
      </c>
      <c r="H1" s="74" t="s">
        <v>40</v>
      </c>
    </row>
    <row r="2" spans="1:11" x14ac:dyDescent="0.2">
      <c r="A2" s="20" t="s">
        <v>195</v>
      </c>
      <c r="B2" s="20">
        <v>2014</v>
      </c>
      <c r="C2" s="20" t="s">
        <v>187</v>
      </c>
      <c r="D2" s="21" t="s">
        <v>188</v>
      </c>
      <c r="E2" s="20" t="s">
        <v>126</v>
      </c>
      <c r="F2" s="20" t="s">
        <v>184</v>
      </c>
      <c r="G2" s="73">
        <v>1</v>
      </c>
      <c r="H2">
        <v>0</v>
      </c>
      <c r="J2" t="s">
        <v>247</v>
      </c>
    </row>
    <row r="3" spans="1:11" x14ac:dyDescent="0.2">
      <c r="J3" s="73"/>
      <c r="K3" t="s">
        <v>248</v>
      </c>
    </row>
    <row r="4" spans="1:11" x14ac:dyDescent="0.2">
      <c r="J4" s="75"/>
      <c r="K4" t="s">
        <v>249</v>
      </c>
    </row>
    <row r="5" spans="1:11" x14ac:dyDescent="0.2">
      <c r="J5" s="76"/>
      <c r="K5" t="s">
        <v>248</v>
      </c>
    </row>
    <row r="6" spans="1:11" x14ac:dyDescent="0.2">
      <c r="J6" s="77"/>
      <c r="K6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FFCA-AA3F-0E48-9FEA-58FF558DCA0C}">
  <dimension ref="B3:C5"/>
  <sheetViews>
    <sheetView workbookViewId="0">
      <selection activeCell="D9" sqref="D9"/>
    </sheetView>
  </sheetViews>
  <sheetFormatPr baseColWidth="10" defaultRowHeight="16" x14ac:dyDescent="0.2"/>
  <sheetData>
    <row r="3" spans="2:3" x14ac:dyDescent="0.2">
      <c r="B3" s="62"/>
      <c r="C3" t="s">
        <v>50</v>
      </c>
    </row>
    <row r="4" spans="2:3" x14ac:dyDescent="0.2">
      <c r="B4" s="63"/>
      <c r="C4" t="s">
        <v>162</v>
      </c>
    </row>
    <row r="5" spans="2:3" x14ac:dyDescent="0.2">
      <c r="B5" s="66"/>
      <c r="C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data</vt:lpstr>
      <vt:lpstr>sex data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2020-09-22T19:16:42Z</dcterms:created>
  <dcterms:modified xsi:type="dcterms:W3CDTF">2020-12-03T16:40:10Z</dcterms:modified>
</cp:coreProperties>
</file>