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meta-flight-dispersal/"/>
    </mc:Choice>
  </mc:AlternateContent>
  <xr:revisionPtr revIDLastSave="0" documentId="13_ncr:1_{9968BC1E-4A7B-864A-B0F2-1A984F89CDDE}" xr6:coauthVersionLast="36" xr6:coauthVersionMax="36" xr10:uidLastSave="{00000000-0000-0000-0000-000000000000}"/>
  <bookViews>
    <workbookView xWindow="-20" yWindow="500" windowWidth="28820" windowHeight="16600" xr2:uid="{994D8FBF-FEAD-7D4B-9471-CDAD1F11A720}"/>
  </bookViews>
  <sheets>
    <sheet name="general data" sheetId="1" r:id="rId1"/>
    <sheet name="sex data" sheetId="3" r:id="rId2"/>
    <sheet name="correlations" sheetId="4" r:id="rId3"/>
    <sheet name="legend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6" i="1" l="1"/>
  <c r="T295" i="1"/>
  <c r="T294" i="1"/>
  <c r="T293" i="1"/>
  <c r="T292" i="1"/>
  <c r="T291" i="1"/>
  <c r="T290" i="1"/>
  <c r="T289" i="1"/>
  <c r="T288" i="1"/>
  <c r="T287" i="1"/>
  <c r="T286" i="1"/>
  <c r="R296" i="1"/>
  <c r="R295" i="1"/>
  <c r="R294" i="1"/>
  <c r="R293" i="1"/>
  <c r="R292" i="1"/>
  <c r="R291" i="1"/>
  <c r="R290" i="1"/>
  <c r="R289" i="1"/>
  <c r="R288" i="1"/>
  <c r="R287" i="1"/>
  <c r="R286" i="1"/>
  <c r="V296" i="1"/>
  <c r="V295" i="1"/>
  <c r="V294" i="1"/>
  <c r="V293" i="1"/>
  <c r="V292" i="1"/>
  <c r="V291" i="1"/>
  <c r="V290" i="1"/>
  <c r="V289" i="1"/>
  <c r="V288" i="1"/>
  <c r="V287" i="1"/>
  <c r="X296" i="1"/>
  <c r="X295" i="1"/>
  <c r="X294" i="1"/>
  <c r="X293" i="1"/>
  <c r="X292" i="1"/>
  <c r="X291" i="1"/>
  <c r="X290" i="1"/>
  <c r="X289" i="1"/>
  <c r="X288" i="1"/>
  <c r="X287" i="1"/>
  <c r="L296" i="1"/>
  <c r="L295" i="1"/>
  <c r="L294" i="1"/>
  <c r="L293" i="1"/>
  <c r="L292" i="1"/>
  <c r="L291" i="1"/>
  <c r="L290" i="1"/>
  <c r="L289" i="1"/>
  <c r="L288" i="1"/>
  <c r="L287" i="1"/>
  <c r="L286" i="1"/>
  <c r="V286" i="1"/>
  <c r="P296" i="1"/>
  <c r="P295" i="1"/>
  <c r="P294" i="1"/>
  <c r="P293" i="1"/>
  <c r="P292" i="1"/>
  <c r="P291" i="1"/>
  <c r="P290" i="1"/>
  <c r="P289" i="1"/>
  <c r="P288" i="1"/>
  <c r="P287" i="1"/>
  <c r="P286" i="1"/>
  <c r="R285" i="1"/>
  <c r="R284" i="1"/>
  <c r="R283" i="1"/>
  <c r="R282" i="1"/>
  <c r="R281" i="1"/>
  <c r="R280" i="1"/>
  <c r="R279" i="1"/>
  <c r="R278" i="1"/>
  <c r="R277" i="1"/>
  <c r="R275" i="1"/>
  <c r="T285" i="1"/>
  <c r="T284" i="1"/>
  <c r="T283" i="1"/>
  <c r="T282" i="1"/>
  <c r="T281" i="1"/>
  <c r="T280" i="1"/>
  <c r="T279" i="1"/>
  <c r="T278" i="1"/>
  <c r="T277" i="1"/>
  <c r="T276" i="1"/>
  <c r="V285" i="1"/>
  <c r="V284" i="1"/>
  <c r="V283" i="1"/>
  <c r="V282" i="1"/>
  <c r="V281" i="1"/>
  <c r="V280" i="1"/>
  <c r="V279" i="1"/>
  <c r="V278" i="1"/>
  <c r="V277" i="1"/>
  <c r="V264" i="1"/>
  <c r="L285" i="1"/>
  <c r="L284" i="1"/>
  <c r="L283" i="1"/>
  <c r="L282" i="1"/>
  <c r="L281" i="1"/>
  <c r="L280" i="1"/>
  <c r="L279" i="1"/>
  <c r="L278" i="1"/>
  <c r="L277" i="1"/>
  <c r="L276" i="1"/>
  <c r="X280" i="1"/>
  <c r="X279" i="1"/>
  <c r="X281" i="1"/>
  <c r="X282" i="1"/>
  <c r="X283" i="1"/>
  <c r="X286" i="1"/>
  <c r="X285" i="1"/>
  <c r="X284" i="1"/>
  <c r="X278" i="1"/>
  <c r="X277" i="1"/>
  <c r="X276" i="1"/>
  <c r="P285" i="1"/>
  <c r="P284" i="1"/>
  <c r="P283" i="1"/>
  <c r="P282" i="1"/>
  <c r="P281" i="1"/>
  <c r="P280" i="1"/>
  <c r="P279" i="1"/>
  <c r="P278" i="1"/>
  <c r="P277" i="1"/>
  <c r="P276" i="1"/>
  <c r="T259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3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3" i="1"/>
  <c r="V271" i="1"/>
  <c r="V270" i="1"/>
  <c r="V268" i="1"/>
  <c r="V267" i="1"/>
  <c r="V266" i="1"/>
  <c r="V265" i="1"/>
  <c r="V263" i="1"/>
  <c r="V262" i="1"/>
  <c r="V261" i="1"/>
  <c r="V260" i="1"/>
  <c r="V259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3" i="1"/>
  <c r="X275" i="1"/>
  <c r="X274" i="1"/>
  <c r="X273" i="1"/>
  <c r="X271" i="1"/>
  <c r="X272" i="1"/>
  <c r="X270" i="1"/>
  <c r="X269" i="1"/>
  <c r="X268" i="1"/>
  <c r="X267" i="1"/>
  <c r="X266" i="1"/>
  <c r="X265" i="1"/>
  <c r="X264" i="1"/>
  <c r="X263" i="1"/>
  <c r="X262" i="1"/>
  <c r="X259" i="1"/>
  <c r="X261" i="1"/>
  <c r="X260" i="1"/>
  <c r="P275" i="1"/>
  <c r="P274" i="1"/>
  <c r="P273" i="1"/>
  <c r="P272" i="1"/>
  <c r="P271" i="1"/>
  <c r="P270" i="1"/>
  <c r="P269" i="1"/>
  <c r="P268" i="1"/>
  <c r="P267" i="1"/>
  <c r="P266" i="1"/>
  <c r="P264" i="1"/>
  <c r="P263" i="1"/>
  <c r="P265" i="1"/>
  <c r="P262" i="1"/>
  <c r="P261" i="1"/>
  <c r="P260" i="1"/>
  <c r="P259" i="1"/>
  <c r="L258" i="1"/>
  <c r="V258" i="1"/>
  <c r="F257" i="1"/>
  <c r="E257" i="1"/>
  <c r="E256" i="1"/>
  <c r="AB254" i="1" s="1"/>
  <c r="W255" i="1"/>
  <c r="V255" i="1"/>
  <c r="K226" i="1" l="1"/>
  <c r="J226" i="1"/>
  <c r="L228" i="1"/>
  <c r="X253" i="1"/>
  <c r="X252" i="1"/>
  <c r="X251" i="1"/>
  <c r="X250" i="1"/>
  <c r="X249" i="1"/>
  <c r="X248" i="1"/>
  <c r="T252" i="1"/>
  <c r="T251" i="1"/>
  <c r="T250" i="1"/>
  <c r="T249" i="1"/>
  <c r="T248" i="1"/>
  <c r="T247" i="1"/>
  <c r="R252" i="1"/>
  <c r="R251" i="1"/>
  <c r="R250" i="1"/>
  <c r="R249" i="1"/>
  <c r="R248" i="1"/>
  <c r="P253" i="1"/>
  <c r="P252" i="1"/>
  <c r="P251" i="1"/>
  <c r="P250" i="1"/>
  <c r="P249" i="1"/>
  <c r="P248" i="1"/>
  <c r="P247" i="1"/>
  <c r="L252" i="1"/>
  <c r="L251" i="1"/>
  <c r="L250" i="1"/>
  <c r="L249" i="1"/>
  <c r="L248" i="1"/>
  <c r="L247" i="1"/>
  <c r="X247" i="1"/>
  <c r="X246" i="1"/>
  <c r="X245" i="1"/>
  <c r="X244" i="1"/>
  <c r="X243" i="1"/>
  <c r="X242" i="1"/>
  <c r="T246" i="1"/>
  <c r="T245" i="1"/>
  <c r="T244" i="1"/>
  <c r="T243" i="1"/>
  <c r="T242" i="1"/>
  <c r="T241" i="1"/>
  <c r="R247" i="1"/>
  <c r="R246" i="1"/>
  <c r="R245" i="1"/>
  <c r="R244" i="1"/>
  <c r="R243" i="1"/>
  <c r="R242" i="1"/>
  <c r="R241" i="1"/>
  <c r="P242" i="1"/>
  <c r="P246" i="1"/>
  <c r="P245" i="1"/>
  <c r="P244" i="1"/>
  <c r="P243" i="1"/>
  <c r="P241" i="1"/>
  <c r="L246" i="1"/>
  <c r="L245" i="1"/>
  <c r="L244" i="1"/>
  <c r="L243" i="1"/>
  <c r="L242" i="1"/>
  <c r="L241" i="1"/>
  <c r="T240" i="1" l="1"/>
  <c r="T239" i="1"/>
  <c r="T238" i="1"/>
  <c r="T237" i="1"/>
  <c r="X241" i="1"/>
  <c r="X240" i="1"/>
  <c r="X239" i="1"/>
  <c r="X238" i="1"/>
  <c r="X237" i="1"/>
  <c r="X236" i="1"/>
  <c r="R240" i="1"/>
  <c r="R239" i="1"/>
  <c r="R238" i="1"/>
  <c r="R237" i="1"/>
  <c r="P237" i="1"/>
  <c r="L240" i="1"/>
  <c r="L239" i="1"/>
  <c r="L238" i="1"/>
  <c r="L237" i="1"/>
  <c r="L236" i="1"/>
  <c r="P240" i="1"/>
  <c r="P239" i="1"/>
  <c r="P238" i="1"/>
  <c r="R236" i="1"/>
  <c r="R235" i="1"/>
  <c r="R234" i="1"/>
  <c r="R233" i="1"/>
  <c r="R232" i="1"/>
  <c r="R231" i="1"/>
  <c r="R230" i="1"/>
  <c r="R229" i="1"/>
  <c r="R228" i="1"/>
  <c r="R227" i="1"/>
  <c r="T236" i="1"/>
  <c r="T235" i="1"/>
  <c r="T234" i="1"/>
  <c r="T233" i="1"/>
  <c r="T232" i="1"/>
  <c r="T231" i="1"/>
  <c r="T230" i="1"/>
  <c r="T229" i="1"/>
  <c r="T228" i="1"/>
  <c r="T227" i="1"/>
  <c r="Y229" i="1"/>
  <c r="X229" i="1"/>
  <c r="X235" i="1"/>
  <c r="X234" i="1"/>
  <c r="X233" i="1"/>
  <c r="X232" i="1"/>
  <c r="X231" i="1"/>
  <c r="X230" i="1"/>
  <c r="X228" i="1"/>
  <c r="X227" i="1"/>
  <c r="Y226" i="1"/>
  <c r="X226" i="1"/>
  <c r="Q229" i="1"/>
  <c r="P229" i="1"/>
  <c r="P236" i="1"/>
  <c r="P235" i="1"/>
  <c r="P234" i="1"/>
  <c r="P233" i="1"/>
  <c r="P232" i="1"/>
  <c r="P231" i="1"/>
  <c r="P230" i="1"/>
  <c r="P228" i="1"/>
  <c r="P227" i="1"/>
  <c r="L233" i="1"/>
  <c r="L235" i="1"/>
  <c r="L234" i="1"/>
  <c r="L232" i="1"/>
  <c r="L230" i="1"/>
  <c r="L229" i="1"/>
  <c r="L231" i="1"/>
  <c r="L227" i="1"/>
  <c r="Q226" i="1"/>
  <c r="P226" i="1"/>
  <c r="F219" i="1" l="1"/>
  <c r="F220" i="1"/>
  <c r="F221" i="1"/>
  <c r="F222" i="1"/>
  <c r="F223" i="1"/>
  <c r="F224" i="1"/>
  <c r="F225" i="1"/>
  <c r="F218" i="1"/>
  <c r="X205" i="1" l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89" i="1"/>
  <c r="X188" i="1"/>
  <c r="G188" i="1"/>
  <c r="F188" i="1" s="1"/>
  <c r="G189" i="1"/>
  <c r="F189" i="1" s="1"/>
  <c r="P131" i="1" l="1"/>
  <c r="P132" i="1"/>
  <c r="P130" i="1"/>
  <c r="N182" i="1" l="1"/>
  <c r="L182" i="1" s="1"/>
  <c r="N181" i="1"/>
  <c r="L181" i="1" s="1"/>
  <c r="Y180" i="1"/>
  <c r="Y179" i="1"/>
  <c r="X179" i="1"/>
  <c r="X180" i="1"/>
  <c r="Q180" i="1"/>
  <c r="P180" i="1"/>
  <c r="Q179" i="1"/>
  <c r="S178" i="1"/>
  <c r="S177" i="1"/>
  <c r="S176" i="1"/>
  <c r="S175" i="1"/>
  <c r="S174" i="1"/>
  <c r="R178" i="1"/>
  <c r="R177" i="1"/>
  <c r="R176" i="1"/>
  <c r="R175" i="1"/>
  <c r="R174" i="1"/>
  <c r="Q178" i="1"/>
  <c r="Q177" i="1"/>
  <c r="Q176" i="1"/>
  <c r="Q175" i="1"/>
  <c r="Q174" i="1"/>
  <c r="P178" i="1"/>
  <c r="P179" i="1"/>
  <c r="P177" i="1"/>
  <c r="P176" i="1"/>
  <c r="P175" i="1"/>
  <c r="P174" i="1"/>
  <c r="Y178" i="1"/>
  <c r="Y177" i="1"/>
  <c r="Y176" i="1"/>
  <c r="Y175" i="1"/>
  <c r="Y174" i="1"/>
  <c r="X178" i="1"/>
  <c r="X177" i="1"/>
  <c r="X176" i="1"/>
  <c r="X175" i="1"/>
  <c r="X174" i="1"/>
  <c r="U178" i="1"/>
  <c r="U177" i="1"/>
  <c r="U174" i="1"/>
  <c r="U175" i="1"/>
  <c r="U176" i="1"/>
  <c r="T178" i="1"/>
  <c r="T177" i="1"/>
  <c r="T176" i="1"/>
  <c r="T175" i="1"/>
  <c r="T174" i="1"/>
  <c r="V172" i="1"/>
  <c r="V171" i="1"/>
  <c r="V170" i="1"/>
  <c r="V169" i="1"/>
  <c r="V168" i="1"/>
  <c r="V167" i="1"/>
  <c r="V166" i="1"/>
  <c r="V165" i="1"/>
  <c r="V164" i="1" l="1"/>
  <c r="V163" i="1"/>
  <c r="T44" i="1"/>
  <c r="T33" i="1"/>
  <c r="T32" i="1"/>
  <c r="T30" i="1"/>
  <c r="O74" i="1" l="1"/>
  <c r="O73" i="1"/>
  <c r="O72" i="1"/>
  <c r="O71" i="1"/>
  <c r="O70" i="1"/>
  <c r="V129" i="1" l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M76" i="1" l="1"/>
  <c r="W75" i="1"/>
  <c r="V75" i="1"/>
  <c r="N73" i="1" l="1"/>
  <c r="N74" i="1"/>
  <c r="N72" i="1"/>
  <c r="N71" i="1"/>
  <c r="N70" i="1"/>
  <c r="W74" i="1"/>
  <c r="V74" i="1"/>
  <c r="W73" i="1"/>
  <c r="V73" i="1"/>
  <c r="W72" i="1"/>
  <c r="V72" i="1"/>
  <c r="W71" i="1"/>
  <c r="V71" i="1"/>
  <c r="W70" i="1"/>
  <c r="V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Anastasia Bernat</author>
  </authors>
  <commentList>
    <comment ref="V30" authorId="0" shapeId="0" xr:uid="{C315EAAE-1F04-0742-9CFD-FAF315502CDE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come from Table 5. Distributions of longest daily tethered flight durations for different species of Oncopeltus. So keep in mind that these bugs were tested 5 times in a day (except the O. cingulifer from Trinidad which as only tested once) and these were their longest bouts.</t>
        </r>
      </text>
    </comment>
    <comment ref="E161" authorId="0" shapeId="0" xr:uid="{C6FF6B42-326E-7249-AD6A-34027252EC35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2" authorId="0" shapeId="0" xr:uid="{64C4581F-07A1-6945-979D-7C0D8676F026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3" authorId="0" shapeId="0" xr:uid="{51BCF9A1-B4C6-6340-B9D5-835720E16080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4" authorId="0" shapeId="0" xr:uid="{7C786387-0D44-8E4B-B0D0-03746B0658D4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5" authorId="0" shapeId="0" xr:uid="{FFAC982F-CDE0-B94A-9A9B-F29E2A64F406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6" authorId="0" shapeId="0" xr:uid="{EA24094E-24DA-354E-969B-46B6D95CA639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7" authorId="0" shapeId="0" xr:uid="{CA3CC2FE-D0A5-2140-8D46-69A662D46918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8" authorId="0" shapeId="0" xr:uid="{148EF32F-06AF-6442-9BB2-8920D3A587E9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9" authorId="0" shapeId="0" xr:uid="{7922A481-A1CB-D544-8973-BC647125FFE5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70" authorId="0" shapeId="0" xr:uid="{492CCB4A-86A5-A441-8899-C26D54F11459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71" authorId="0" shapeId="0" xr:uid="{13EB8694-B023-C64F-906B-96FE4C0005F3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72" authorId="0" shapeId="0" xr:uid="{8A13E0E8-63E5-D943-A91B-8565DD9E44C0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G173" authorId="0" shapeId="0" xr:uid="{3F913F7F-73AC-9B4A-A0EE-03832D272CED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means that 93% made at least one flight of &gt;= 3 min.</t>
        </r>
      </text>
    </comment>
    <comment ref="AI174" authorId="0" shapeId="0" xr:uid="{94F178DA-400D-A541-8605-0DF04EB501A3}">
      <text>
        <r>
          <rPr>
            <b/>
            <sz val="10"/>
            <color rgb="FF000000"/>
            <rFont val="Tahoma"/>
            <family val="2"/>
          </rPr>
          <t xml:space="preserve">Anastasia Bernat:
</t>
        </r>
        <r>
          <rPr>
            <sz val="10"/>
            <color rgb="FF000000"/>
            <rFont val="Tahoma"/>
            <family val="2"/>
          </rPr>
          <t xml:space="preserve">1 day of adult life;
</t>
        </r>
        <r>
          <rPr>
            <sz val="10"/>
            <color rgb="FF000000"/>
            <rFont val="Tahoma"/>
            <family val="2"/>
          </rPr>
          <t xml:space="preserve">2 days of adult life;
</t>
        </r>
        <r>
          <rPr>
            <sz val="10"/>
            <color rgb="FF000000"/>
            <rFont val="Tahoma"/>
            <family val="2"/>
          </rPr>
          <t xml:space="preserve">3 days of adult life;
</t>
        </r>
        <r>
          <rPr>
            <sz val="10"/>
            <color rgb="FF000000"/>
            <rFont val="Tahoma"/>
            <family val="2"/>
          </rPr>
          <t xml:space="preserve">5 days of adult life;
</t>
        </r>
        <r>
          <rPr>
            <sz val="10"/>
            <color rgb="FF000000"/>
            <rFont val="Tahoma"/>
            <family val="2"/>
          </rPr>
          <t>7 days of adult life.</t>
        </r>
      </text>
    </comment>
    <comment ref="R259" authorId="0" shapeId="0" xr:uid="{DEF11B24-94F0-4941-98E3-89D7B80078DD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distance of longest bout</t>
        </r>
      </text>
    </comment>
  </commentList>
</comments>
</file>

<file path=xl/sharedStrings.xml><?xml version="1.0" encoding="utf-8"?>
<sst xmlns="http://schemas.openxmlformats.org/spreadsheetml/2006/main" count="4292" uniqueCount="337">
  <si>
    <t>family</t>
  </si>
  <si>
    <t>order</t>
  </si>
  <si>
    <t>paper_yr</t>
  </si>
  <si>
    <t>paper_author</t>
  </si>
  <si>
    <t>location</t>
  </si>
  <si>
    <t>season</t>
  </si>
  <si>
    <t>yr_tested</t>
  </si>
  <si>
    <t>field_or_lab</t>
  </si>
  <si>
    <t>free_or_tethered</t>
  </si>
  <si>
    <t>age</t>
  </si>
  <si>
    <t>population</t>
  </si>
  <si>
    <t>sex</t>
  </si>
  <si>
    <t>mating_status</t>
  </si>
  <si>
    <t>mass_mg</t>
  </si>
  <si>
    <t>hp_native_or_invasive</t>
  </si>
  <si>
    <t>Oncopelius fasciatus</t>
  </si>
  <si>
    <t>common_name</t>
  </si>
  <si>
    <t>milkweed bug</t>
  </si>
  <si>
    <t>Oncopelius cingulifer antillensis</t>
  </si>
  <si>
    <t>genus_species</t>
  </si>
  <si>
    <t>Lygaeidae</t>
  </si>
  <si>
    <t>Hemiptera</t>
  </si>
  <si>
    <t>Dingle et al.</t>
  </si>
  <si>
    <t>lab_gen</t>
  </si>
  <si>
    <t>lab</t>
  </si>
  <si>
    <t>native</t>
  </si>
  <si>
    <t>hp_common_name</t>
  </si>
  <si>
    <t>Milkweed</t>
  </si>
  <si>
    <t>Iowa</t>
  </si>
  <si>
    <t>Asclepias syriaca</t>
  </si>
  <si>
    <t>Asclepias curassavica</t>
  </si>
  <si>
    <t>Tropical Milkweed</t>
  </si>
  <si>
    <t>hp_genus_species</t>
  </si>
  <si>
    <t>summer_June_to_September</t>
  </si>
  <si>
    <t>Jamaica</t>
  </si>
  <si>
    <t>South Florida</t>
  </si>
  <si>
    <t>wing_length_mm</t>
  </si>
  <si>
    <t>Trinidad</t>
  </si>
  <si>
    <t>St. Vincent</t>
  </si>
  <si>
    <t>F</t>
  </si>
  <si>
    <t>M</t>
  </si>
  <si>
    <t xml:space="preserve">Oncopelius cingulifer </t>
  </si>
  <si>
    <t xml:space="preserve">Oncopelius cingulifer cingulifer </t>
  </si>
  <si>
    <t>Oncopelius cingulifer cingulifer</t>
  </si>
  <si>
    <t>land_type</t>
  </si>
  <si>
    <t>continental_island</t>
  </si>
  <si>
    <t>mountainous_island</t>
  </si>
  <si>
    <t>color</t>
  </si>
  <si>
    <t>pattern</t>
  </si>
  <si>
    <t>given_num_or_calc</t>
  </si>
  <si>
    <t>given</t>
  </si>
  <si>
    <t>field</t>
  </si>
  <si>
    <t>Oncopelius unifasciatellus</t>
  </si>
  <si>
    <t>Oncopelius sandarachatus</t>
  </si>
  <si>
    <t>Colombia</t>
  </si>
  <si>
    <t>Barbados</t>
  </si>
  <si>
    <t>figure</t>
  </si>
  <si>
    <t>table</t>
  </si>
  <si>
    <t>text_page</t>
  </si>
  <si>
    <t>Maryland</t>
  </si>
  <si>
    <t>Georgia</t>
  </si>
  <si>
    <t>Florida</t>
  </si>
  <si>
    <t>Mexico</t>
  </si>
  <si>
    <t>Puerto Rico</t>
  </si>
  <si>
    <t>Guadeloupe</t>
  </si>
  <si>
    <t>wing_length_SE</t>
  </si>
  <si>
    <t>n_flew</t>
  </si>
  <si>
    <t>(&lt;5)</t>
  </si>
  <si>
    <t>(5-30)</t>
  </si>
  <si>
    <t>(&gt;30)</t>
  </si>
  <si>
    <t>n_notflew</t>
  </si>
  <si>
    <t>several</t>
  </si>
  <si>
    <t>Michigan</t>
  </si>
  <si>
    <t>both</t>
  </si>
  <si>
    <t>island</t>
  </si>
  <si>
    <t>Bactrocera dorsalis</t>
  </si>
  <si>
    <t>oriental fruit fly</t>
  </si>
  <si>
    <t>Tephritidae</t>
  </si>
  <si>
    <t>Diptera</t>
  </si>
  <si>
    <t>Yuanjiang Country, Yunnan Province, China</t>
  </si>
  <si>
    <t>coordinates</t>
  </si>
  <si>
    <t>(23.18 N, 101.39 E)</t>
  </si>
  <si>
    <t>2012-2014</t>
  </si>
  <si>
    <t>Chen et al.</t>
  </si>
  <si>
    <t>diet</t>
  </si>
  <si>
    <t>artifical</t>
  </si>
  <si>
    <t>Mangifera indica</t>
  </si>
  <si>
    <t xml:space="preserve">Mango </t>
  </si>
  <si>
    <t>5 days</t>
  </si>
  <si>
    <t>10 days</t>
  </si>
  <si>
    <t>15 days</t>
  </si>
  <si>
    <t>20 days</t>
  </si>
  <si>
    <t>25 days</t>
  </si>
  <si>
    <t>notes</t>
  </si>
  <si>
    <t>tested once</t>
  </si>
  <si>
    <t>dur_SE</t>
  </si>
  <si>
    <t>speed_SE</t>
  </si>
  <si>
    <t>length_trial</t>
  </si>
  <si>
    <t>13 hrs</t>
  </si>
  <si>
    <t>30 min</t>
  </si>
  <si>
    <t>Louisa et al.</t>
  </si>
  <si>
    <t>max_distance_m</t>
  </si>
  <si>
    <t>June_to_December</t>
  </si>
  <si>
    <t>University of Pretoria, Hatfield, South Africa</t>
  </si>
  <si>
    <t>18+</t>
  </si>
  <si>
    <t>mass_SE</t>
  </si>
  <si>
    <t>wing_area_SE</t>
  </si>
  <si>
    <t>wing_loading_N.m2</t>
  </si>
  <si>
    <t>wing_loading_SE</t>
  </si>
  <si>
    <t>virgin</t>
  </si>
  <si>
    <t>(25.7545 S, 28.2314 E)</t>
  </si>
  <si>
    <t xml:space="preserve">continent </t>
  </si>
  <si>
    <t>wing_area_mm2</t>
  </si>
  <si>
    <t>num_bouts</t>
  </si>
  <si>
    <t>tethered</t>
  </si>
  <si>
    <t>num_bouts_SE</t>
  </si>
  <si>
    <t>max_num_bouts</t>
  </si>
  <si>
    <t>distance_m</t>
  </si>
  <si>
    <t>1 hr</t>
  </si>
  <si>
    <t>temperature_C</t>
  </si>
  <si>
    <t>?</t>
  </si>
  <si>
    <t>total_distance_m</t>
  </si>
  <si>
    <t>3 days</t>
  </si>
  <si>
    <t>21 days</t>
  </si>
  <si>
    <t>max_duration_s</t>
  </si>
  <si>
    <t>painted lady butterfly</t>
  </si>
  <si>
    <t>Lepidoptera</t>
  </si>
  <si>
    <t>4?</t>
  </si>
  <si>
    <t>10 min</t>
  </si>
  <si>
    <t>same</t>
  </si>
  <si>
    <t>sex differences not assesed</t>
  </si>
  <si>
    <t>Gribblybugs LLP, UK supplier</t>
  </si>
  <si>
    <t>9 parts water and 1 part honey</t>
  </si>
  <si>
    <t>Liu et al.</t>
  </si>
  <si>
    <t>yellow fever mosquito</t>
  </si>
  <si>
    <t>Rojas-Araya et al.</t>
  </si>
  <si>
    <t>max_speed_m.s</t>
  </si>
  <si>
    <t>speed_m.s</t>
  </si>
  <si>
    <t>tobacco budworm</t>
  </si>
  <si>
    <t>Benzon Research (Carlisle, Pennsylvania)</t>
  </si>
  <si>
    <t>RH</t>
  </si>
  <si>
    <t>L:D</t>
  </si>
  <si>
    <t>720 min</t>
  </si>
  <si>
    <t>Barros et al.</t>
  </si>
  <si>
    <t>rest_period_s</t>
  </si>
  <si>
    <t>total_duration_s</t>
  </si>
  <si>
    <t>max_speed_SE</t>
  </si>
  <si>
    <t>total_rest_period_s</t>
  </si>
  <si>
    <t>total_dist_SE</t>
  </si>
  <si>
    <t>dist_SE</t>
  </si>
  <si>
    <t>flight_behavior</t>
  </si>
  <si>
    <t>sustained (&gt;30 min)</t>
  </si>
  <si>
    <t>unsustained (&lt;=30 min)</t>
  </si>
  <si>
    <t>insecticide_treatment</t>
  </si>
  <si>
    <t>135-160</t>
  </si>
  <si>
    <t>dry premix following Southland Products' artificial diet protocol as larvae then adults fed 9 water and 1 part honey</t>
  </si>
  <si>
    <t>prop_flew</t>
  </si>
  <si>
    <t>2,3, 8</t>
  </si>
  <si>
    <t>2,3,8</t>
  </si>
  <si>
    <t>4,5,8</t>
  </si>
  <si>
    <t>8,9,11</t>
  </si>
  <si>
    <t>9,10,11</t>
  </si>
  <si>
    <t>calculated</t>
  </si>
  <si>
    <t>n_total</t>
  </si>
  <si>
    <t>13-14</t>
  </si>
  <si>
    <t>14-15</t>
  </si>
  <si>
    <t>106-126</t>
  </si>
  <si>
    <t>121-144</t>
  </si>
  <si>
    <t>20-21</t>
  </si>
  <si>
    <t>18-19</t>
  </si>
  <si>
    <t>29-34</t>
  </si>
  <si>
    <t>14-16</t>
  </si>
  <si>
    <t>10-11.0</t>
  </si>
  <si>
    <t>23-24</t>
  </si>
  <si>
    <t>22-23</t>
  </si>
  <si>
    <t>87-104</t>
  </si>
  <si>
    <t>48-56</t>
  </si>
  <si>
    <t>yes; flubendiamide (Flu)</t>
  </si>
  <si>
    <t>approximation from figure or text</t>
  </si>
  <si>
    <t>120-143</t>
  </si>
  <si>
    <t>15-17</t>
  </si>
  <si>
    <t>126-149</t>
  </si>
  <si>
    <t>9-11.0</t>
  </si>
  <si>
    <t>yes; chlorantraniliprole (Chlo)</t>
  </si>
  <si>
    <t>navel organeworm</t>
  </si>
  <si>
    <t>Chloridea virescens</t>
  </si>
  <si>
    <t>Noctuidae</t>
  </si>
  <si>
    <t>Amyelois transitella</t>
  </si>
  <si>
    <t>Pyralidae</t>
  </si>
  <si>
    <t>Aedes aegypti</t>
  </si>
  <si>
    <t>Culicidae</t>
  </si>
  <si>
    <t>Vanessa cardui</t>
  </si>
  <si>
    <t>Nymphalidae</t>
  </si>
  <si>
    <t>soybean</t>
  </si>
  <si>
    <t>almond, pistachio, and walnuts</t>
  </si>
  <si>
    <t>Sappington and Burks</t>
  </si>
  <si>
    <t xml:space="preserve">wheat bran </t>
  </si>
  <si>
    <t>San Joaquin Valley, Parlier, CA grew; Fresno County almond orchard eggs</t>
  </si>
  <si>
    <t>20-26</t>
  </si>
  <si>
    <t>July_to_Ocotober</t>
  </si>
  <si>
    <t>216-372</t>
  </si>
  <si>
    <t>630 min</t>
  </si>
  <si>
    <t>max_distance_SE</t>
  </si>
  <si>
    <t>max_duration_SE</t>
  </si>
  <si>
    <t>total_dur_SE</t>
  </si>
  <si>
    <t>duration_min</t>
  </si>
  <si>
    <t>FW_area_mm2</t>
  </si>
  <si>
    <t>HW_area_mm2</t>
  </si>
  <si>
    <t>FW_area_SE</t>
  </si>
  <si>
    <t>HW_area_SE</t>
  </si>
  <si>
    <t>HW_length_mm</t>
  </si>
  <si>
    <t>HW_len_SE</t>
  </si>
  <si>
    <t>FW_length_mm</t>
  </si>
  <si>
    <t>FW_len_SE</t>
  </si>
  <si>
    <t>cited_author</t>
  </si>
  <si>
    <t>Schumacher et al.</t>
  </si>
  <si>
    <t>Dorhout et al.</t>
  </si>
  <si>
    <t>2008, 2011</t>
  </si>
  <si>
    <t>Hughes et al.</t>
  </si>
  <si>
    <t>2002, 2004</t>
  </si>
  <si>
    <t>Elliott &amp; Evenden</t>
  </si>
  <si>
    <t>Cydia pomonella</t>
  </si>
  <si>
    <t>codling moth</t>
  </si>
  <si>
    <t>5000-15000</t>
  </si>
  <si>
    <t>4000-5000</t>
  </si>
  <si>
    <t>13080-21300</t>
  </si>
  <si>
    <t>0.24-0.3</t>
  </si>
  <si>
    <t>European corn borer</t>
  </si>
  <si>
    <t>Ostrinia nubilalis</t>
  </si>
  <si>
    <t>Torticidae</t>
  </si>
  <si>
    <t>Crambidae</t>
  </si>
  <si>
    <t>Grapholita molesta</t>
  </si>
  <si>
    <t>oriental fruit moth</t>
  </si>
  <si>
    <t>cactus moth</t>
  </si>
  <si>
    <t>Cactoblastus cactorum</t>
  </si>
  <si>
    <t>Sarvey et al.</t>
  </si>
  <si>
    <t>1400-4000</t>
  </si>
  <si>
    <t>800-2300</t>
  </si>
  <si>
    <t>large aspen tortrix</t>
  </si>
  <si>
    <t>200-1200</t>
  </si>
  <si>
    <t xml:space="preserve">Choristoneura conflictana </t>
  </si>
  <si>
    <t>1000-5000</t>
  </si>
  <si>
    <t>600-3100</t>
  </si>
  <si>
    <t>100-800</t>
  </si>
  <si>
    <t>60-150</t>
  </si>
  <si>
    <t>paper</t>
  </si>
  <si>
    <t>if reported female as the 'stronger' flyer then put a 1; if male put a 1 under M</t>
  </si>
  <si>
    <t>not significant</t>
  </si>
  <si>
    <t>significant</t>
  </si>
  <si>
    <t>701-702</t>
  </si>
  <si>
    <t>sustained</t>
  </si>
  <si>
    <t>mark and recapture</t>
  </si>
  <si>
    <t>Hawaii</t>
  </si>
  <si>
    <t>Ogasawara Islands</t>
  </si>
  <si>
    <t>Taiwan to Ryukyu</t>
  </si>
  <si>
    <t>Lygus hersperus Knight</t>
  </si>
  <si>
    <t>western tarnished plant bug</t>
  </si>
  <si>
    <t>tarished plant bug</t>
  </si>
  <si>
    <t>Miridae</t>
  </si>
  <si>
    <t>alfalfa</t>
  </si>
  <si>
    <t>Medicago sativa L.</t>
  </si>
  <si>
    <t>25-day; 23-night</t>
  </si>
  <si>
    <t>Blackmer, J. L et al</t>
  </si>
  <si>
    <t>1380 min</t>
  </si>
  <si>
    <t>sustained &gt;5 min</t>
  </si>
  <si>
    <t>Lygus lineolaris</t>
  </si>
  <si>
    <t>1-6 days</t>
  </si>
  <si>
    <t>7-13 days</t>
  </si>
  <si>
    <t>14-21 days</t>
  </si>
  <si>
    <t>&gt;21 days</t>
  </si>
  <si>
    <t>trivial &lt; 5 min</t>
  </si>
  <si>
    <t>n_egg</t>
  </si>
  <si>
    <t>egg_SE</t>
  </si>
  <si>
    <t>Report R values</t>
  </si>
  <si>
    <t>R = 0.34; N = 57; P = 0.01; page 1395</t>
  </si>
  <si>
    <t>R = 0.59; N = 13; P = 0.03; page 1395</t>
  </si>
  <si>
    <t>n_spermatophers-cul_duration-sustained</t>
  </si>
  <si>
    <t>n_spermatophores-mean_duration-sustained</t>
  </si>
  <si>
    <t>n_spermatophores-mean_duration-trivial</t>
  </si>
  <si>
    <t>R = 0.61; N = 13; P = 0.02; page 1395</t>
  </si>
  <si>
    <t>untethered</t>
  </si>
  <si>
    <t>Mamestra brassicae</t>
  </si>
  <si>
    <t>cabbage moth</t>
  </si>
  <si>
    <t>Guo J-L et al.</t>
  </si>
  <si>
    <t>WBF_Hz</t>
  </si>
  <si>
    <t>WBF_SE</t>
  </si>
  <si>
    <t>3-day</t>
  </si>
  <si>
    <t>polyphagous - green beans; carrots; pink bollworm; eggs; 10% surcose solution</t>
  </si>
  <si>
    <t>(38.23 N, 120.55 E)</t>
  </si>
  <si>
    <t>Beihuang Island, Shandong Province, China</t>
  </si>
  <si>
    <t>April_to_May</t>
  </si>
  <si>
    <t>polyphagous - 5% honey solution</t>
  </si>
  <si>
    <t>Guo J-L, et al</t>
  </si>
  <si>
    <t>no diff</t>
  </si>
  <si>
    <t>1-day</t>
  </si>
  <si>
    <t>5-day</t>
  </si>
  <si>
    <t>7-day</t>
  </si>
  <si>
    <t>9-day</t>
  </si>
  <si>
    <t>Syrphidae</t>
  </si>
  <si>
    <t>Allograpta obliqua</t>
  </si>
  <si>
    <t>common oblique syrphid</t>
  </si>
  <si>
    <t>Diaphorina citri</t>
  </si>
  <si>
    <t>Asian citrus psyllid</t>
  </si>
  <si>
    <t>starved or 50% honey-water solution and buckwheat/alyssum</t>
  </si>
  <si>
    <t>field grown</t>
  </si>
  <si>
    <t>University of California, Riverside</t>
  </si>
  <si>
    <t>Irvin and Hoddle</t>
  </si>
  <si>
    <t>60-80</t>
  </si>
  <si>
    <t>sixteen:8</t>
  </si>
  <si>
    <t>1440 min</t>
  </si>
  <si>
    <t>21_Aug_to_1_Sept</t>
  </si>
  <si>
    <t>trivial (&gt; 1 m)</t>
  </si>
  <si>
    <t>140-141</t>
  </si>
  <si>
    <t>trivial (&gt; 1 m) bouts</t>
  </si>
  <si>
    <t>17 total - 10 male, 7 females</t>
  </si>
  <si>
    <t>hovering(&lt;1 m) (&lt; 10 s) bouts</t>
  </si>
  <si>
    <t>lacewing</t>
  </si>
  <si>
    <t>Chrysoperla sinica</t>
  </si>
  <si>
    <t>Neuroptera</t>
  </si>
  <si>
    <t>Chysopidae</t>
  </si>
  <si>
    <t>Langfang Experimental Station of Chinese Academy of Agricultural Sciences, Hebei Province, China</t>
  </si>
  <si>
    <t>(39.53 N, 116.70 E)</t>
  </si>
  <si>
    <t>soybean aphid; soybean; yeast and sucrose 5:4</t>
  </si>
  <si>
    <t>age = days after adult eclosion</t>
  </si>
  <si>
    <t>480 min</t>
  </si>
  <si>
    <t>measurement</t>
  </si>
  <si>
    <t>total distance</t>
  </si>
  <si>
    <t>average speed</t>
  </si>
  <si>
    <t>average bout duration</t>
  </si>
  <si>
    <t>Spoladea recurvalis</t>
  </si>
  <si>
    <t>beet webworm</t>
  </si>
  <si>
    <t>Amaranthus viridis L. and A. retroflexus L.</t>
  </si>
  <si>
    <t>pigweeds</t>
  </si>
  <si>
    <t>Tsukuba, Japan</t>
  </si>
  <si>
    <t>cited_yr</t>
  </si>
  <si>
    <t>2 to 4</t>
  </si>
  <si>
    <t>spinach leaves and 5% honey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</si>
</sst>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E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BC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F8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5" tint="0.39997558519241921"/>
      </right>
      <top style="thin">
        <color indexed="64"/>
      </top>
      <bottom/>
      <diagonal/>
    </border>
    <border>
      <left/>
      <right style="thin">
        <color theme="5" tint="0.39997558519241921"/>
      </right>
      <top/>
      <bottom/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Font="1"/>
    <xf numFmtId="0" fontId="2" fillId="0" borderId="0" xfId="0" applyFont="1"/>
    <xf numFmtId="2" fontId="0" fillId="0" borderId="0" xfId="0" applyNumberFormat="1"/>
    <xf numFmtId="0" fontId="0" fillId="0" borderId="2" xfId="0" applyBorder="1"/>
    <xf numFmtId="0" fontId="0" fillId="2" borderId="4" xfId="0" applyFill="1" applyBorder="1"/>
    <xf numFmtId="0" fontId="0" fillId="2" borderId="3" xfId="0" applyFill="1" applyBorder="1"/>
    <xf numFmtId="0" fontId="0" fillId="0" borderId="5" xfId="0" applyBorder="1"/>
    <xf numFmtId="0" fontId="0" fillId="2" borderId="6" xfId="0" applyFill="1" applyBorder="1"/>
    <xf numFmtId="0" fontId="1" fillId="3" borderId="1" xfId="0" applyFont="1" applyFill="1" applyBorder="1"/>
    <xf numFmtId="0" fontId="0" fillId="3" borderId="0" xfId="0" applyFill="1"/>
    <xf numFmtId="0" fontId="0" fillId="0" borderId="7" xfId="0" applyBorder="1"/>
    <xf numFmtId="0" fontId="0" fillId="0" borderId="7" xfId="0" applyFont="1" applyBorder="1"/>
    <xf numFmtId="2" fontId="0" fillId="0" borderId="7" xfId="0" applyNumberFormat="1" applyBorder="1"/>
    <xf numFmtId="0" fontId="2" fillId="0" borderId="7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Font="1" applyBorder="1"/>
    <xf numFmtId="0" fontId="0" fillId="0" borderId="7" xfId="0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3" borderId="9" xfId="0" applyFont="1" applyFill="1" applyBorder="1"/>
    <xf numFmtId="0" fontId="1" fillId="3" borderId="8" xfId="0" applyFont="1" applyFill="1" applyBorder="1"/>
    <xf numFmtId="0" fontId="0" fillId="2" borderId="0" xfId="0" applyFill="1" applyBorder="1"/>
    <xf numFmtId="0" fontId="0" fillId="0" borderId="10" xfId="0" applyFill="1" applyBorder="1"/>
    <xf numFmtId="0" fontId="0" fillId="0" borderId="7" xfId="0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0" fillId="0" borderId="11" xfId="0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/>
    <xf numFmtId="0" fontId="2" fillId="0" borderId="11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2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0" fillId="0" borderId="12" xfId="0" applyFill="1" applyBorder="1" applyAlignment="1">
      <alignment horizontal="right" vertical="center"/>
    </xf>
    <xf numFmtId="20" fontId="0" fillId="0" borderId="0" xfId="0" applyNumberFormat="1"/>
    <xf numFmtId="9" fontId="0" fillId="0" borderId="0" xfId="0" applyNumberFormat="1"/>
    <xf numFmtId="0" fontId="2" fillId="0" borderId="0" xfId="0" applyFont="1" applyFill="1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16" fontId="0" fillId="4" borderId="1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6" fillId="5" borderId="1" xfId="0" applyFont="1" applyFill="1" applyBorder="1"/>
    <xf numFmtId="9" fontId="0" fillId="0" borderId="11" xfId="0" applyNumberFormat="1" applyBorder="1"/>
    <xf numFmtId="20" fontId="0" fillId="0" borderId="11" xfId="0" applyNumberFormat="1" applyBorder="1"/>
    <xf numFmtId="0" fontId="2" fillId="0" borderId="1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0" fillId="6" borderId="0" xfId="0" applyFill="1"/>
    <xf numFmtId="0" fontId="1" fillId="7" borderId="1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3" xfId="0" applyBorder="1"/>
    <xf numFmtId="0" fontId="0" fillId="0" borderId="0" xfId="0" applyBorder="1" applyAlignment="1">
      <alignment horizontal="left" vertical="center"/>
    </xf>
    <xf numFmtId="0" fontId="1" fillId="0" borderId="0" xfId="0" applyFont="1"/>
    <xf numFmtId="0" fontId="1" fillId="6" borderId="1" xfId="0" applyFont="1" applyFill="1" applyBorder="1"/>
    <xf numFmtId="0" fontId="1" fillId="6" borderId="14" xfId="0" applyFont="1" applyFill="1" applyBorder="1"/>
    <xf numFmtId="0" fontId="0" fillId="0" borderId="0" xfId="0" applyAlignment="1">
      <alignment horizontal="right"/>
    </xf>
    <xf numFmtId="0" fontId="0" fillId="5" borderId="9" xfId="0" applyFill="1" applyBorder="1"/>
    <xf numFmtId="0" fontId="0" fillId="5" borderId="15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1" xfId="0" applyFill="1" applyBorder="1"/>
    <xf numFmtId="0" fontId="0" fillId="0" borderId="0" xfId="0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0" xfId="0" applyBorder="1" applyAlignment="1">
      <alignment horizontal="left"/>
    </xf>
    <xf numFmtId="0" fontId="0" fillId="0" borderId="20" xfId="0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F84"/>
      <color rgb="FFFFBCB5"/>
      <color rgb="FFFFF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9439-B383-DA4C-BB77-7D0D1D48AD23}">
  <dimension ref="A1:CD297"/>
  <sheetViews>
    <sheetView tabSelected="1" topLeftCell="AB1" zoomScale="137" zoomScaleNormal="120" workbookViewId="0">
      <pane ySplit="1" topLeftCell="A276" activePane="bottomLeft" state="frozen"/>
      <selection pane="bottomLeft" activeCell="AM298" sqref="AM298"/>
    </sheetView>
  </sheetViews>
  <sheetFormatPr baseColWidth="10" defaultRowHeight="16" x14ac:dyDescent="0.2"/>
  <cols>
    <col min="1" max="1" width="27.1640625" customWidth="1"/>
    <col min="2" max="2" width="12" bestFit="1" customWidth="1"/>
    <col min="4" max="4" width="24.83203125" bestFit="1" customWidth="1"/>
    <col min="5" max="5" width="8.6640625" bestFit="1" customWidth="1"/>
    <col min="6" max="6" width="7.83203125" customWidth="1"/>
    <col min="7" max="8" width="10.1640625" customWidth="1"/>
    <col min="9" max="9" width="20.6640625" bestFit="1" customWidth="1"/>
    <col min="10" max="10" width="14.33203125" customWidth="1"/>
    <col min="11" max="11" width="13.6640625" bestFit="1" customWidth="1"/>
    <col min="12" max="12" width="10.33203125" bestFit="1" customWidth="1"/>
    <col min="13" max="13" width="8.5" customWidth="1"/>
    <col min="14" max="14" width="10.6640625" bestFit="1" customWidth="1"/>
    <col min="15" max="15" width="7.1640625" bestFit="1" customWidth="1"/>
    <col min="16" max="16" width="15.5" bestFit="1" customWidth="1"/>
    <col min="17" max="17" width="12" bestFit="1" customWidth="1"/>
    <col min="18" max="19" width="15.6640625" customWidth="1"/>
    <col min="20" max="20" width="14.5" bestFit="1" customWidth="1"/>
    <col min="21" max="21" width="16.5" customWidth="1"/>
    <col min="22" max="22" width="12.6640625" bestFit="1" customWidth="1"/>
    <col min="23" max="23" width="7" customWidth="1"/>
    <col min="24" max="24" width="15.5" customWidth="1"/>
    <col min="25" max="25" width="11.6640625" bestFit="1" customWidth="1"/>
    <col min="26" max="26" width="15" bestFit="1" customWidth="1"/>
    <col min="27" max="27" width="10.33203125" bestFit="1" customWidth="1"/>
    <col min="28" max="28" width="13.33203125" bestFit="1" customWidth="1"/>
    <col min="29" max="29" width="13.33203125" customWidth="1"/>
    <col min="30" max="30" width="17.5" bestFit="1" customWidth="1"/>
    <col min="31" max="31" width="18" customWidth="1"/>
    <col min="32" max="33" width="6.6640625" customWidth="1"/>
    <col min="34" max="34" width="5.33203125" customWidth="1"/>
    <col min="35" max="35" width="8.5" customWidth="1"/>
    <col min="36" max="36" width="10.5" customWidth="1"/>
    <col min="37" max="37" width="13.5" bestFit="1" customWidth="1"/>
    <col min="38" max="38" width="4.6640625" bestFit="1" customWidth="1"/>
    <col min="39" max="39" width="8.5" bestFit="1" customWidth="1"/>
    <col min="40" max="40" width="12.6640625" customWidth="1"/>
    <col min="41" max="41" width="25.6640625" bestFit="1" customWidth="1"/>
    <col min="42" max="42" width="14.33203125" bestFit="1" customWidth="1"/>
    <col min="43" max="43" width="12" bestFit="1" customWidth="1"/>
    <col min="44" max="44" width="15" bestFit="1" customWidth="1"/>
    <col min="45" max="45" width="10.83203125" bestFit="1" customWidth="1"/>
    <col min="46" max="46" width="13.6640625" customWidth="1"/>
    <col min="47" max="47" width="11.6640625" bestFit="1" customWidth="1"/>
    <col min="48" max="48" width="15" bestFit="1" customWidth="1"/>
    <col min="49" max="49" width="10.83203125" bestFit="1" customWidth="1"/>
    <col min="50" max="51" width="9.6640625" customWidth="1"/>
    <col min="52" max="52" width="15.1640625" bestFit="1" customWidth="1"/>
    <col min="53" max="53" width="12.6640625" customWidth="1"/>
    <col min="54" max="54" width="16.5" customWidth="1"/>
    <col min="55" max="55" width="15.1640625" bestFit="1" customWidth="1"/>
    <col min="56" max="57" width="15" customWidth="1"/>
    <col min="58" max="58" width="9.1640625" customWidth="1"/>
    <col min="59" max="59" width="8.5" bestFit="1" customWidth="1"/>
    <col min="60" max="60" width="19" bestFit="1" customWidth="1"/>
    <col min="61" max="61" width="8.5" bestFit="1" customWidth="1"/>
    <col min="62" max="62" width="15.83203125" bestFit="1" customWidth="1"/>
    <col min="63" max="63" width="10.5" bestFit="1" customWidth="1"/>
    <col min="64" max="64" width="62.1640625" bestFit="1" customWidth="1"/>
    <col min="65" max="65" width="19.6640625" bestFit="1" customWidth="1"/>
    <col min="66" max="66" width="18.33203125" customWidth="1"/>
    <col min="67" max="67" width="24.33203125" customWidth="1"/>
    <col min="70" max="71" width="7.83203125" customWidth="1"/>
    <col min="72" max="73" width="13.5" customWidth="1"/>
    <col min="74" max="74" width="19.6640625" customWidth="1"/>
    <col min="75" max="75" width="21.1640625" customWidth="1"/>
    <col min="76" max="76" width="17.33203125" customWidth="1"/>
    <col min="77" max="77" width="26.1640625" customWidth="1"/>
    <col min="78" max="78" width="18.33203125" customWidth="1"/>
    <col min="79" max="79" width="7" customWidth="1"/>
    <col min="80" max="80" width="6.33203125" customWidth="1"/>
    <col min="81" max="81" width="11" customWidth="1"/>
  </cols>
  <sheetData>
    <row r="1" spans="1:82" s="10" customFormat="1" x14ac:dyDescent="0.2">
      <c r="A1" s="9" t="s">
        <v>19</v>
      </c>
      <c r="B1" s="9" t="s">
        <v>0</v>
      </c>
      <c r="C1" s="9" t="s">
        <v>1</v>
      </c>
      <c r="D1" s="9" t="s">
        <v>16</v>
      </c>
      <c r="E1" s="72" t="s">
        <v>163</v>
      </c>
      <c r="F1" s="9" t="s">
        <v>66</v>
      </c>
      <c r="G1" s="9" t="s">
        <v>70</v>
      </c>
      <c r="H1" s="9" t="s">
        <v>156</v>
      </c>
      <c r="I1" s="9" t="s">
        <v>150</v>
      </c>
      <c r="J1" s="9" t="s">
        <v>136</v>
      </c>
      <c r="K1" s="9" t="s">
        <v>146</v>
      </c>
      <c r="L1" s="9" t="s">
        <v>137</v>
      </c>
      <c r="M1" s="9" t="s">
        <v>96</v>
      </c>
      <c r="N1" s="9" t="s">
        <v>117</v>
      </c>
      <c r="O1" s="9" t="s">
        <v>149</v>
      </c>
      <c r="P1" s="9" t="s">
        <v>121</v>
      </c>
      <c r="Q1" s="9" t="s">
        <v>148</v>
      </c>
      <c r="R1" s="9" t="s">
        <v>101</v>
      </c>
      <c r="S1" s="9" t="s">
        <v>202</v>
      </c>
      <c r="T1" s="9" t="s">
        <v>124</v>
      </c>
      <c r="U1" s="9" t="s">
        <v>203</v>
      </c>
      <c r="V1" s="9" t="s">
        <v>205</v>
      </c>
      <c r="W1" s="9" t="s">
        <v>95</v>
      </c>
      <c r="X1" s="9" t="s">
        <v>145</v>
      </c>
      <c r="Y1" s="9" t="s">
        <v>204</v>
      </c>
      <c r="Z1" s="9" t="s">
        <v>116</v>
      </c>
      <c r="AA1" s="9" t="s">
        <v>113</v>
      </c>
      <c r="AB1" s="9" t="s">
        <v>115</v>
      </c>
      <c r="AC1" s="9" t="s">
        <v>144</v>
      </c>
      <c r="AD1" s="9" t="s">
        <v>147</v>
      </c>
      <c r="AE1" s="9" t="s">
        <v>8</v>
      </c>
      <c r="AF1" s="9" t="s">
        <v>271</v>
      </c>
      <c r="AG1" s="9" t="s">
        <v>272</v>
      </c>
      <c r="AH1" s="9" t="s">
        <v>11</v>
      </c>
      <c r="AI1" s="9" t="s">
        <v>9</v>
      </c>
      <c r="AJ1" s="9" t="s">
        <v>97</v>
      </c>
      <c r="AK1" s="9" t="s">
        <v>119</v>
      </c>
      <c r="AL1" s="9" t="s">
        <v>140</v>
      </c>
      <c r="AM1" s="9" t="s">
        <v>141</v>
      </c>
      <c r="AN1" s="9" t="s">
        <v>12</v>
      </c>
      <c r="AO1" s="9" t="s">
        <v>153</v>
      </c>
      <c r="AP1" s="9" t="s">
        <v>207</v>
      </c>
      <c r="AQ1" s="9" t="s">
        <v>209</v>
      </c>
      <c r="AR1" s="9" t="s">
        <v>210</v>
      </c>
      <c r="AS1" s="9" t="s">
        <v>211</v>
      </c>
      <c r="AT1" s="9" t="s">
        <v>206</v>
      </c>
      <c r="AU1" s="9" t="s">
        <v>208</v>
      </c>
      <c r="AV1" s="9" t="s">
        <v>212</v>
      </c>
      <c r="AW1" s="9" t="s">
        <v>213</v>
      </c>
      <c r="AX1" s="9" t="s">
        <v>284</v>
      </c>
      <c r="AY1" s="9" t="s">
        <v>285</v>
      </c>
      <c r="AZ1" s="9" t="s">
        <v>112</v>
      </c>
      <c r="BA1" s="9" t="s">
        <v>106</v>
      </c>
      <c r="BB1" s="9" t="s">
        <v>107</v>
      </c>
      <c r="BC1" s="9" t="s">
        <v>108</v>
      </c>
      <c r="BD1" s="9" t="s">
        <v>36</v>
      </c>
      <c r="BE1" s="9" t="s">
        <v>65</v>
      </c>
      <c r="BF1" s="9" t="s">
        <v>13</v>
      </c>
      <c r="BG1" s="9" t="s">
        <v>105</v>
      </c>
      <c r="BH1" s="9" t="s">
        <v>3</v>
      </c>
      <c r="BI1" s="9" t="s">
        <v>2</v>
      </c>
      <c r="BJ1" s="9" t="s">
        <v>214</v>
      </c>
      <c r="BK1" s="9" t="s">
        <v>334</v>
      </c>
      <c r="BL1" s="9" t="s">
        <v>4</v>
      </c>
      <c r="BM1" s="9" t="s">
        <v>80</v>
      </c>
      <c r="BN1" s="9" t="s">
        <v>44</v>
      </c>
      <c r="BO1" s="9" t="s">
        <v>5</v>
      </c>
      <c r="BP1" s="9" t="s">
        <v>6</v>
      </c>
      <c r="BQ1" s="9" t="s">
        <v>10</v>
      </c>
      <c r="BR1" s="9" t="s">
        <v>47</v>
      </c>
      <c r="BS1" s="9" t="s">
        <v>48</v>
      </c>
      <c r="BT1" s="9" t="s">
        <v>7</v>
      </c>
      <c r="BU1" s="9" t="s">
        <v>23</v>
      </c>
      <c r="BV1" s="9" t="s">
        <v>14</v>
      </c>
      <c r="BW1" s="9" t="s">
        <v>32</v>
      </c>
      <c r="BX1" s="9" t="s">
        <v>26</v>
      </c>
      <c r="BY1" s="9" t="s">
        <v>84</v>
      </c>
      <c r="BZ1" s="9" t="s">
        <v>49</v>
      </c>
      <c r="CA1" s="9" t="s">
        <v>56</v>
      </c>
      <c r="CB1" s="9" t="s">
        <v>57</v>
      </c>
      <c r="CC1" s="28" t="s">
        <v>58</v>
      </c>
      <c r="CD1" s="29" t="s">
        <v>93</v>
      </c>
    </row>
    <row r="2" spans="1:82" x14ac:dyDescent="0.2">
      <c r="A2" t="s">
        <v>18</v>
      </c>
      <c r="B2" s="1" t="s">
        <v>20</v>
      </c>
      <c r="C2" s="1" t="s">
        <v>21</v>
      </c>
      <c r="D2" s="1" t="s">
        <v>17</v>
      </c>
      <c r="E2">
        <v>13</v>
      </c>
      <c r="AH2" t="s">
        <v>39</v>
      </c>
      <c r="BD2" s="3">
        <v>9.11</v>
      </c>
      <c r="BE2" s="3">
        <v>0.08</v>
      </c>
      <c r="BH2" t="s">
        <v>22</v>
      </c>
      <c r="BI2">
        <v>1979</v>
      </c>
      <c r="BL2" t="s">
        <v>35</v>
      </c>
      <c r="BO2" t="s">
        <v>33</v>
      </c>
      <c r="BT2" t="s">
        <v>24</v>
      </c>
      <c r="BU2">
        <v>1</v>
      </c>
      <c r="BV2" t="s">
        <v>25</v>
      </c>
      <c r="BW2" t="s">
        <v>30</v>
      </c>
      <c r="BX2" t="s">
        <v>31</v>
      </c>
      <c r="BZ2" t="s">
        <v>50</v>
      </c>
      <c r="CB2">
        <v>1</v>
      </c>
    </row>
    <row r="3" spans="1:82" x14ac:dyDescent="0.2">
      <c r="A3" t="s">
        <v>18</v>
      </c>
      <c r="B3" s="1" t="s">
        <v>20</v>
      </c>
      <c r="C3" s="1" t="s">
        <v>21</v>
      </c>
      <c r="D3" s="1" t="s">
        <v>17</v>
      </c>
      <c r="E3">
        <v>20</v>
      </c>
      <c r="AH3" t="s">
        <v>39</v>
      </c>
      <c r="BD3" s="3">
        <v>8.69</v>
      </c>
      <c r="BE3" s="3">
        <v>0.13</v>
      </c>
      <c r="BH3" t="s">
        <v>22</v>
      </c>
      <c r="BI3">
        <v>1979</v>
      </c>
      <c r="BL3" t="s">
        <v>34</v>
      </c>
      <c r="BO3" t="s">
        <v>33</v>
      </c>
      <c r="BT3" t="s">
        <v>24</v>
      </c>
      <c r="BU3">
        <v>1</v>
      </c>
      <c r="BV3" t="s">
        <v>25</v>
      </c>
      <c r="BW3" t="s">
        <v>30</v>
      </c>
      <c r="BX3" t="s">
        <v>31</v>
      </c>
      <c r="BZ3" t="s">
        <v>50</v>
      </c>
      <c r="CB3">
        <v>1</v>
      </c>
    </row>
    <row r="4" spans="1:82" x14ac:dyDescent="0.2">
      <c r="A4" t="s">
        <v>42</v>
      </c>
      <c r="B4" s="1" t="s">
        <v>20</v>
      </c>
      <c r="C4" s="1" t="s">
        <v>21</v>
      </c>
      <c r="D4" s="1" t="s">
        <v>17</v>
      </c>
      <c r="E4">
        <v>20</v>
      </c>
      <c r="AH4" t="s">
        <v>39</v>
      </c>
      <c r="BD4" s="3">
        <v>9.86</v>
      </c>
      <c r="BE4" s="3">
        <v>0.08</v>
      </c>
      <c r="BH4" t="s">
        <v>22</v>
      </c>
      <c r="BI4">
        <v>1979</v>
      </c>
      <c r="BL4" t="s">
        <v>37</v>
      </c>
      <c r="BN4" s="1" t="s">
        <v>45</v>
      </c>
      <c r="BO4" t="s">
        <v>33</v>
      </c>
      <c r="BT4" t="s">
        <v>24</v>
      </c>
      <c r="BU4">
        <v>1</v>
      </c>
      <c r="BV4" t="s">
        <v>25</v>
      </c>
      <c r="BW4" t="s">
        <v>30</v>
      </c>
      <c r="BX4" t="s">
        <v>31</v>
      </c>
      <c r="BZ4" t="s">
        <v>50</v>
      </c>
      <c r="CB4">
        <v>1</v>
      </c>
    </row>
    <row r="5" spans="1:82" x14ac:dyDescent="0.2">
      <c r="A5" t="s">
        <v>43</v>
      </c>
      <c r="B5" s="1" t="s">
        <v>20</v>
      </c>
      <c r="C5" s="1" t="s">
        <v>21</v>
      </c>
      <c r="D5" s="1" t="s">
        <v>17</v>
      </c>
      <c r="E5">
        <v>14</v>
      </c>
      <c r="AH5" t="s">
        <v>39</v>
      </c>
      <c r="BD5" s="3">
        <v>8.9600000000000009</v>
      </c>
      <c r="BE5" s="3">
        <v>0.08</v>
      </c>
      <c r="BH5" t="s">
        <v>22</v>
      </c>
      <c r="BI5">
        <v>1979</v>
      </c>
      <c r="BL5" t="s">
        <v>38</v>
      </c>
      <c r="BN5" s="1" t="s">
        <v>46</v>
      </c>
      <c r="BO5" t="s">
        <v>33</v>
      </c>
      <c r="BT5" t="s">
        <v>24</v>
      </c>
      <c r="BU5">
        <v>1</v>
      </c>
      <c r="BV5" t="s">
        <v>25</v>
      </c>
      <c r="BW5" t="s">
        <v>30</v>
      </c>
      <c r="BX5" t="s">
        <v>31</v>
      </c>
      <c r="BZ5" t="s">
        <v>50</v>
      </c>
      <c r="CB5">
        <v>1</v>
      </c>
    </row>
    <row r="6" spans="1:82" x14ac:dyDescent="0.2">
      <c r="A6" t="s">
        <v>18</v>
      </c>
      <c r="B6" s="1" t="s">
        <v>20</v>
      </c>
      <c r="C6" s="1" t="s">
        <v>21</v>
      </c>
      <c r="D6" s="1" t="s">
        <v>17</v>
      </c>
      <c r="E6">
        <v>15</v>
      </c>
      <c r="AH6" t="s">
        <v>40</v>
      </c>
      <c r="BD6" s="3">
        <v>7.82</v>
      </c>
      <c r="BE6" s="3">
        <v>0.1</v>
      </c>
      <c r="BH6" t="s">
        <v>22</v>
      </c>
      <c r="BI6">
        <v>1979</v>
      </c>
      <c r="BL6" t="s">
        <v>35</v>
      </c>
      <c r="BO6" t="s">
        <v>33</v>
      </c>
      <c r="BT6" t="s">
        <v>24</v>
      </c>
      <c r="BU6">
        <v>1</v>
      </c>
      <c r="BV6" t="s">
        <v>25</v>
      </c>
      <c r="BW6" t="s">
        <v>30</v>
      </c>
      <c r="BX6" t="s">
        <v>31</v>
      </c>
      <c r="BZ6" t="s">
        <v>50</v>
      </c>
      <c r="CB6">
        <v>1</v>
      </c>
    </row>
    <row r="7" spans="1:82" x14ac:dyDescent="0.2">
      <c r="A7" t="s">
        <v>18</v>
      </c>
      <c r="B7" s="1" t="s">
        <v>20</v>
      </c>
      <c r="C7" s="1" t="s">
        <v>21</v>
      </c>
      <c r="D7" s="1" t="s">
        <v>17</v>
      </c>
      <c r="E7">
        <v>20</v>
      </c>
      <c r="F7" s="1"/>
      <c r="G7" s="1"/>
      <c r="H7" s="1"/>
      <c r="I7" s="1"/>
      <c r="J7" s="1"/>
      <c r="K7" s="1"/>
      <c r="AH7" t="s">
        <v>40</v>
      </c>
      <c r="BD7" s="3">
        <v>7.65</v>
      </c>
      <c r="BE7" s="3">
        <v>0.04</v>
      </c>
      <c r="BH7" t="s">
        <v>22</v>
      </c>
      <c r="BI7">
        <v>1979</v>
      </c>
      <c r="BL7" t="s">
        <v>34</v>
      </c>
      <c r="BO7" t="s">
        <v>33</v>
      </c>
      <c r="BR7" s="1"/>
      <c r="BS7" s="1"/>
      <c r="BT7" t="s">
        <v>24</v>
      </c>
      <c r="BU7">
        <v>1</v>
      </c>
      <c r="BV7" t="s">
        <v>25</v>
      </c>
      <c r="BW7" t="s">
        <v>30</v>
      </c>
      <c r="BX7" t="s">
        <v>31</v>
      </c>
      <c r="BZ7" t="s">
        <v>50</v>
      </c>
      <c r="CB7">
        <v>1</v>
      </c>
    </row>
    <row r="8" spans="1:82" x14ac:dyDescent="0.2">
      <c r="A8" t="s">
        <v>43</v>
      </c>
      <c r="B8" s="1" t="s">
        <v>20</v>
      </c>
      <c r="C8" s="1" t="s">
        <v>21</v>
      </c>
      <c r="D8" s="1" t="s">
        <v>17</v>
      </c>
      <c r="E8">
        <v>20</v>
      </c>
      <c r="F8" s="1"/>
      <c r="G8" s="1"/>
      <c r="H8" s="1"/>
      <c r="I8" s="1"/>
      <c r="J8" s="1"/>
      <c r="K8" s="1"/>
      <c r="AH8" t="s">
        <v>40</v>
      </c>
      <c r="BD8" s="3">
        <v>8.33</v>
      </c>
      <c r="BE8" s="3">
        <v>7.0000000000000007E-2</v>
      </c>
      <c r="BH8" t="s">
        <v>22</v>
      </c>
      <c r="BI8">
        <v>1979</v>
      </c>
      <c r="BL8" t="s">
        <v>37</v>
      </c>
      <c r="BN8" s="1" t="s">
        <v>45</v>
      </c>
      <c r="BO8" t="s">
        <v>33</v>
      </c>
      <c r="BR8" s="1"/>
      <c r="BS8" s="1"/>
      <c r="BT8" t="s">
        <v>24</v>
      </c>
      <c r="BU8">
        <v>1</v>
      </c>
      <c r="BV8" t="s">
        <v>25</v>
      </c>
      <c r="BW8" t="s">
        <v>30</v>
      </c>
      <c r="BX8" t="s">
        <v>31</v>
      </c>
      <c r="BZ8" t="s">
        <v>50</v>
      </c>
      <c r="CB8">
        <v>1</v>
      </c>
    </row>
    <row r="9" spans="1:82" s="11" customFormat="1" x14ac:dyDescent="0.2">
      <c r="A9" s="11" t="s">
        <v>43</v>
      </c>
      <c r="B9" s="12" t="s">
        <v>20</v>
      </c>
      <c r="C9" s="12" t="s">
        <v>21</v>
      </c>
      <c r="D9" s="12" t="s">
        <v>17</v>
      </c>
      <c r="E9" s="11">
        <v>18</v>
      </c>
      <c r="AH9" s="11" t="s">
        <v>40</v>
      </c>
      <c r="BD9" s="13">
        <v>7.91</v>
      </c>
      <c r="BE9" s="13">
        <v>0.08</v>
      </c>
      <c r="BH9" s="11" t="s">
        <v>22</v>
      </c>
      <c r="BI9" s="11">
        <v>1979</v>
      </c>
      <c r="BL9" s="11" t="s">
        <v>38</v>
      </c>
      <c r="BN9" s="12" t="s">
        <v>46</v>
      </c>
      <c r="BO9" s="11" t="s">
        <v>33</v>
      </c>
      <c r="BT9" s="11" t="s">
        <v>24</v>
      </c>
      <c r="BU9" s="11">
        <v>1</v>
      </c>
      <c r="BV9" s="11" t="s">
        <v>25</v>
      </c>
      <c r="BW9" s="11" t="s">
        <v>30</v>
      </c>
      <c r="BX9" s="11" t="s">
        <v>31</v>
      </c>
      <c r="BZ9" s="11" t="s">
        <v>50</v>
      </c>
      <c r="CB9" s="11">
        <v>1</v>
      </c>
    </row>
    <row r="10" spans="1:82" x14ac:dyDescent="0.2">
      <c r="A10" t="s">
        <v>52</v>
      </c>
      <c r="B10" s="1" t="s">
        <v>20</v>
      </c>
      <c r="C10" s="1" t="s">
        <v>21</v>
      </c>
      <c r="D10" s="1" t="s">
        <v>17</v>
      </c>
      <c r="E10">
        <v>20</v>
      </c>
      <c r="AH10" t="s">
        <v>39</v>
      </c>
      <c r="BD10" s="3">
        <v>8.9600000000000009</v>
      </c>
      <c r="BE10" s="3">
        <v>0.11</v>
      </c>
      <c r="BH10" t="s">
        <v>22</v>
      </c>
      <c r="BI10">
        <v>1979</v>
      </c>
      <c r="BL10" t="s">
        <v>54</v>
      </c>
      <c r="BO10" t="s">
        <v>33</v>
      </c>
      <c r="BT10" t="s">
        <v>24</v>
      </c>
      <c r="BU10">
        <v>1</v>
      </c>
      <c r="BV10" t="s">
        <v>25</v>
      </c>
      <c r="BW10" t="s">
        <v>30</v>
      </c>
      <c r="BX10" t="s">
        <v>31</v>
      </c>
      <c r="BZ10" t="s">
        <v>50</v>
      </c>
      <c r="CB10">
        <v>2</v>
      </c>
    </row>
    <row r="11" spans="1:82" x14ac:dyDescent="0.2">
      <c r="A11" s="2" t="s">
        <v>53</v>
      </c>
      <c r="B11" s="1" t="s">
        <v>20</v>
      </c>
      <c r="C11" s="1" t="s">
        <v>21</v>
      </c>
      <c r="D11" s="1" t="s">
        <v>17</v>
      </c>
      <c r="E11">
        <v>20</v>
      </c>
      <c r="F11" s="1"/>
      <c r="G11" s="1"/>
      <c r="H11" s="1"/>
      <c r="I11" s="1"/>
      <c r="J11" s="1"/>
      <c r="K11" s="1"/>
      <c r="AH11" t="s">
        <v>39</v>
      </c>
      <c r="BD11" s="3">
        <v>10.83</v>
      </c>
      <c r="BE11" s="3">
        <v>0.14000000000000001</v>
      </c>
      <c r="BH11" t="s">
        <v>22</v>
      </c>
      <c r="BI11">
        <v>1979</v>
      </c>
      <c r="BL11" t="s">
        <v>55</v>
      </c>
      <c r="BO11" t="s">
        <v>33</v>
      </c>
      <c r="BR11" s="1"/>
      <c r="BS11" s="1"/>
      <c r="BT11" t="s">
        <v>24</v>
      </c>
      <c r="BU11">
        <v>1</v>
      </c>
      <c r="BV11" t="s">
        <v>25</v>
      </c>
      <c r="BW11" t="s">
        <v>30</v>
      </c>
      <c r="BX11" t="s">
        <v>31</v>
      </c>
      <c r="BZ11" t="s">
        <v>50</v>
      </c>
      <c r="CB11">
        <v>2</v>
      </c>
    </row>
    <row r="12" spans="1:82" x14ac:dyDescent="0.2">
      <c r="A12" s="2" t="s">
        <v>53</v>
      </c>
      <c r="B12" s="1" t="s">
        <v>20</v>
      </c>
      <c r="C12" s="1" t="s">
        <v>21</v>
      </c>
      <c r="D12" s="1" t="s">
        <v>17</v>
      </c>
      <c r="E12">
        <v>20</v>
      </c>
      <c r="F12" s="1"/>
      <c r="G12" s="1"/>
      <c r="H12" s="1"/>
      <c r="I12" s="1"/>
      <c r="J12" s="1"/>
      <c r="K12" s="1"/>
      <c r="AH12" t="s">
        <v>39</v>
      </c>
      <c r="BD12" s="3">
        <v>10.28</v>
      </c>
      <c r="BE12" s="3">
        <v>0.1</v>
      </c>
      <c r="BH12" t="s">
        <v>22</v>
      </c>
      <c r="BI12">
        <v>1979</v>
      </c>
      <c r="BL12" t="s">
        <v>37</v>
      </c>
      <c r="BO12" t="s">
        <v>33</v>
      </c>
      <c r="BR12" s="1"/>
      <c r="BS12" s="1"/>
      <c r="BT12" t="s">
        <v>24</v>
      </c>
      <c r="BU12">
        <v>1</v>
      </c>
      <c r="BV12" t="s">
        <v>25</v>
      </c>
      <c r="BW12" t="s">
        <v>30</v>
      </c>
      <c r="BX12" t="s">
        <v>31</v>
      </c>
      <c r="BZ12" t="s">
        <v>50</v>
      </c>
      <c r="CB12">
        <v>2</v>
      </c>
    </row>
    <row r="13" spans="1:82" x14ac:dyDescent="0.2">
      <c r="A13" t="s">
        <v>52</v>
      </c>
      <c r="B13" s="1" t="s">
        <v>20</v>
      </c>
      <c r="C13" s="1" t="s">
        <v>21</v>
      </c>
      <c r="D13" s="1" t="s">
        <v>17</v>
      </c>
      <c r="E13">
        <v>20</v>
      </c>
      <c r="AH13" t="s">
        <v>40</v>
      </c>
      <c r="BD13" s="3">
        <v>7.72</v>
      </c>
      <c r="BE13" s="3">
        <v>0.06</v>
      </c>
      <c r="BH13" t="s">
        <v>22</v>
      </c>
      <c r="BI13">
        <v>1979</v>
      </c>
      <c r="BL13" t="s">
        <v>54</v>
      </c>
      <c r="BO13" t="s">
        <v>33</v>
      </c>
      <c r="BT13" t="s">
        <v>24</v>
      </c>
      <c r="BU13">
        <v>1</v>
      </c>
      <c r="BV13" t="s">
        <v>25</v>
      </c>
      <c r="BW13" t="s">
        <v>30</v>
      </c>
      <c r="BX13" t="s">
        <v>31</v>
      </c>
      <c r="BZ13" t="s">
        <v>50</v>
      </c>
      <c r="CB13">
        <v>2</v>
      </c>
    </row>
    <row r="14" spans="1:82" x14ac:dyDescent="0.2">
      <c r="A14" s="2" t="s">
        <v>53</v>
      </c>
      <c r="B14" s="1" t="s">
        <v>20</v>
      </c>
      <c r="C14" s="1" t="s">
        <v>21</v>
      </c>
      <c r="D14" s="1" t="s">
        <v>17</v>
      </c>
      <c r="E14">
        <v>20</v>
      </c>
      <c r="AH14" t="s">
        <v>40</v>
      </c>
      <c r="BD14" s="3">
        <v>9.3800000000000008</v>
      </c>
      <c r="BE14" s="3">
        <v>0.13</v>
      </c>
      <c r="BH14" t="s">
        <v>22</v>
      </c>
      <c r="BI14">
        <v>1979</v>
      </c>
      <c r="BL14" t="s">
        <v>55</v>
      </c>
      <c r="BO14" t="s">
        <v>33</v>
      </c>
      <c r="BT14" t="s">
        <v>24</v>
      </c>
      <c r="BU14">
        <v>1</v>
      </c>
      <c r="BV14" t="s">
        <v>25</v>
      </c>
      <c r="BW14" t="s">
        <v>30</v>
      </c>
      <c r="BX14" t="s">
        <v>31</v>
      </c>
      <c r="BZ14" t="s">
        <v>50</v>
      </c>
      <c r="CB14">
        <v>2</v>
      </c>
    </row>
    <row r="15" spans="1:82" s="11" customFormat="1" x14ac:dyDescent="0.2">
      <c r="A15" s="14" t="s">
        <v>53</v>
      </c>
      <c r="B15" s="12" t="s">
        <v>20</v>
      </c>
      <c r="C15" s="12" t="s">
        <v>21</v>
      </c>
      <c r="D15" s="12" t="s">
        <v>17</v>
      </c>
      <c r="E15" s="11">
        <v>20</v>
      </c>
      <c r="AH15" s="11" t="s">
        <v>40</v>
      </c>
      <c r="BD15" s="13">
        <v>9.2200000000000006</v>
      </c>
      <c r="BE15" s="13">
        <v>0.05</v>
      </c>
      <c r="BH15" s="11" t="s">
        <v>22</v>
      </c>
      <c r="BI15" s="11">
        <v>1979</v>
      </c>
      <c r="BL15" s="11" t="s">
        <v>37</v>
      </c>
      <c r="BO15" s="11" t="s">
        <v>33</v>
      </c>
      <c r="BT15" s="11" t="s">
        <v>24</v>
      </c>
      <c r="BU15" s="11">
        <v>1</v>
      </c>
      <c r="BV15" s="11" t="s">
        <v>25</v>
      </c>
      <c r="BW15" s="11" t="s">
        <v>30</v>
      </c>
      <c r="BX15" s="11" t="s">
        <v>31</v>
      </c>
      <c r="BZ15" s="11" t="s">
        <v>50</v>
      </c>
      <c r="CB15" s="11">
        <v>2</v>
      </c>
    </row>
    <row r="16" spans="1:82" x14ac:dyDescent="0.2">
      <c r="A16" t="s">
        <v>15</v>
      </c>
      <c r="B16" s="1" t="s">
        <v>20</v>
      </c>
      <c r="C16" s="1" t="s">
        <v>21</v>
      </c>
      <c r="D16" t="s">
        <v>17</v>
      </c>
      <c r="E16">
        <v>20</v>
      </c>
      <c r="AH16" t="s">
        <v>39</v>
      </c>
      <c r="BD16" s="3">
        <v>12.56</v>
      </c>
      <c r="BE16" s="3">
        <v>7.0000000000000007E-2</v>
      </c>
      <c r="BH16" t="s">
        <v>22</v>
      </c>
      <c r="BI16">
        <v>1979</v>
      </c>
      <c r="BL16" t="s">
        <v>28</v>
      </c>
      <c r="BO16" t="s">
        <v>33</v>
      </c>
      <c r="BT16" t="s">
        <v>24</v>
      </c>
      <c r="BU16">
        <v>1</v>
      </c>
      <c r="BV16" t="s">
        <v>25</v>
      </c>
      <c r="BW16" t="s">
        <v>29</v>
      </c>
      <c r="BX16" t="s">
        <v>27</v>
      </c>
      <c r="BZ16" t="s">
        <v>50</v>
      </c>
      <c r="CB16">
        <v>3</v>
      </c>
    </row>
    <row r="17" spans="1:80" x14ac:dyDescent="0.2">
      <c r="A17" t="s">
        <v>15</v>
      </c>
      <c r="B17" s="1" t="s">
        <v>20</v>
      </c>
      <c r="C17" s="1" t="s">
        <v>21</v>
      </c>
      <c r="D17" t="s">
        <v>17</v>
      </c>
      <c r="E17">
        <v>33</v>
      </c>
      <c r="AH17" t="s">
        <v>39</v>
      </c>
      <c r="BD17" s="3">
        <v>11.73</v>
      </c>
      <c r="BE17" s="3">
        <v>0.17</v>
      </c>
      <c r="BH17" t="s">
        <v>22</v>
      </c>
      <c r="BI17">
        <v>1979</v>
      </c>
      <c r="BL17" t="s">
        <v>59</v>
      </c>
      <c r="BO17" t="s">
        <v>33</v>
      </c>
      <c r="BT17" t="s">
        <v>24</v>
      </c>
      <c r="BU17">
        <v>1</v>
      </c>
      <c r="BV17" t="s">
        <v>25</v>
      </c>
      <c r="BW17" t="s">
        <v>29</v>
      </c>
      <c r="BX17" t="s">
        <v>27</v>
      </c>
      <c r="BZ17" t="s">
        <v>50</v>
      </c>
      <c r="CB17">
        <v>3</v>
      </c>
    </row>
    <row r="18" spans="1:80" x14ac:dyDescent="0.2">
      <c r="A18" t="s">
        <v>15</v>
      </c>
      <c r="B18" s="1" t="s">
        <v>20</v>
      </c>
      <c r="C18" s="1" t="s">
        <v>21</v>
      </c>
      <c r="D18" t="s">
        <v>17</v>
      </c>
      <c r="E18">
        <v>20</v>
      </c>
      <c r="AH18" t="s">
        <v>39</v>
      </c>
      <c r="BD18" s="3">
        <v>13</v>
      </c>
      <c r="BE18" s="3">
        <v>0.15</v>
      </c>
      <c r="BH18" t="s">
        <v>22</v>
      </c>
      <c r="BI18">
        <v>1979</v>
      </c>
      <c r="BL18" t="s">
        <v>60</v>
      </c>
      <c r="BO18" t="s">
        <v>33</v>
      </c>
      <c r="BT18" t="s">
        <v>24</v>
      </c>
      <c r="BU18">
        <v>1</v>
      </c>
      <c r="BV18" t="s">
        <v>25</v>
      </c>
      <c r="BW18" t="s">
        <v>29</v>
      </c>
      <c r="BX18" t="s">
        <v>27</v>
      </c>
      <c r="BZ18" t="s">
        <v>50</v>
      </c>
      <c r="CB18">
        <v>3</v>
      </c>
    </row>
    <row r="19" spans="1:80" x14ac:dyDescent="0.2">
      <c r="A19" t="s">
        <v>15</v>
      </c>
      <c r="B19" s="1" t="s">
        <v>20</v>
      </c>
      <c r="C19" s="1" t="s">
        <v>21</v>
      </c>
      <c r="D19" t="s">
        <v>17</v>
      </c>
      <c r="E19">
        <v>20</v>
      </c>
      <c r="AH19" t="s">
        <v>39</v>
      </c>
      <c r="BD19" s="3">
        <v>13.17</v>
      </c>
      <c r="BE19" s="3">
        <v>0.09</v>
      </c>
      <c r="BH19" t="s">
        <v>22</v>
      </c>
      <c r="BI19">
        <v>1979</v>
      </c>
      <c r="BL19" t="s">
        <v>61</v>
      </c>
      <c r="BO19" t="s">
        <v>33</v>
      </c>
      <c r="BT19" t="s">
        <v>24</v>
      </c>
      <c r="BU19">
        <v>1</v>
      </c>
      <c r="BV19" t="s">
        <v>25</v>
      </c>
      <c r="BW19" t="s">
        <v>29</v>
      </c>
      <c r="BX19" t="s">
        <v>27</v>
      </c>
      <c r="BZ19" t="s">
        <v>50</v>
      </c>
      <c r="CB19">
        <v>3</v>
      </c>
    </row>
    <row r="20" spans="1:80" x14ac:dyDescent="0.2">
      <c r="A20" t="s">
        <v>15</v>
      </c>
      <c r="B20" s="1" t="s">
        <v>20</v>
      </c>
      <c r="C20" s="1" t="s">
        <v>21</v>
      </c>
      <c r="D20" t="s">
        <v>17</v>
      </c>
      <c r="E20">
        <v>20</v>
      </c>
      <c r="AH20" t="s">
        <v>39</v>
      </c>
      <c r="BD20" s="3">
        <v>12.16</v>
      </c>
      <c r="BE20" s="3">
        <v>0.02</v>
      </c>
      <c r="BH20" t="s">
        <v>22</v>
      </c>
      <c r="BI20">
        <v>1979</v>
      </c>
      <c r="BL20" t="s">
        <v>62</v>
      </c>
      <c r="BN20" t="s">
        <v>74</v>
      </c>
      <c r="BO20" t="s">
        <v>33</v>
      </c>
      <c r="BT20" t="s">
        <v>24</v>
      </c>
      <c r="BU20">
        <v>1</v>
      </c>
      <c r="BV20" t="s">
        <v>25</v>
      </c>
      <c r="BW20" t="s">
        <v>29</v>
      </c>
      <c r="BX20" t="s">
        <v>27</v>
      </c>
      <c r="BZ20" t="s">
        <v>50</v>
      </c>
      <c r="CB20">
        <v>3</v>
      </c>
    </row>
    <row r="21" spans="1:80" x14ac:dyDescent="0.2">
      <c r="A21" t="s">
        <v>15</v>
      </c>
      <c r="B21" s="1" t="s">
        <v>20</v>
      </c>
      <c r="C21" s="1" t="s">
        <v>21</v>
      </c>
      <c r="D21" t="s">
        <v>17</v>
      </c>
      <c r="E21">
        <v>20</v>
      </c>
      <c r="AH21" t="s">
        <v>39</v>
      </c>
      <c r="BD21" s="3">
        <v>10.95</v>
      </c>
      <c r="BE21" s="3">
        <v>0.08</v>
      </c>
      <c r="BH21" t="s">
        <v>22</v>
      </c>
      <c r="BI21">
        <v>1979</v>
      </c>
      <c r="BL21" t="s">
        <v>63</v>
      </c>
      <c r="BN21" t="s">
        <v>74</v>
      </c>
      <c r="BO21" t="s">
        <v>33</v>
      </c>
      <c r="BT21" t="s">
        <v>24</v>
      </c>
      <c r="BU21">
        <v>1</v>
      </c>
      <c r="BV21" t="s">
        <v>25</v>
      </c>
      <c r="BW21" t="s">
        <v>29</v>
      </c>
      <c r="BX21" t="s">
        <v>27</v>
      </c>
      <c r="BZ21" t="s">
        <v>50</v>
      </c>
      <c r="CB21">
        <v>3</v>
      </c>
    </row>
    <row r="22" spans="1:80" x14ac:dyDescent="0.2">
      <c r="A22" t="s">
        <v>15</v>
      </c>
      <c r="B22" s="1" t="s">
        <v>20</v>
      </c>
      <c r="C22" s="1" t="s">
        <v>21</v>
      </c>
      <c r="D22" t="s">
        <v>17</v>
      </c>
      <c r="E22">
        <v>20</v>
      </c>
      <c r="AH22" t="s">
        <v>39</v>
      </c>
      <c r="BD22" s="3">
        <v>11.26</v>
      </c>
      <c r="BE22" s="3">
        <v>0.06</v>
      </c>
      <c r="BH22" t="s">
        <v>22</v>
      </c>
      <c r="BI22">
        <v>1979</v>
      </c>
      <c r="BL22" t="s">
        <v>64</v>
      </c>
      <c r="BN22" t="s">
        <v>74</v>
      </c>
      <c r="BO22" t="s">
        <v>33</v>
      </c>
      <c r="BS22" s="7"/>
      <c r="BT22" t="s">
        <v>24</v>
      </c>
      <c r="BU22">
        <v>1</v>
      </c>
      <c r="BV22" t="s">
        <v>25</v>
      </c>
      <c r="BW22" t="s">
        <v>29</v>
      </c>
      <c r="BX22" t="s">
        <v>27</v>
      </c>
      <c r="BZ22" t="s">
        <v>50</v>
      </c>
      <c r="CB22">
        <v>3</v>
      </c>
    </row>
    <row r="23" spans="1:80" x14ac:dyDescent="0.2">
      <c r="A23" t="s">
        <v>15</v>
      </c>
      <c r="B23" s="1" t="s">
        <v>20</v>
      </c>
      <c r="C23" s="1" t="s">
        <v>21</v>
      </c>
      <c r="D23" t="s">
        <v>17</v>
      </c>
      <c r="E23">
        <v>20</v>
      </c>
      <c r="AH23" t="s">
        <v>40</v>
      </c>
      <c r="BD23" s="3">
        <v>11.51</v>
      </c>
      <c r="BE23" s="3">
        <v>7.0000000000000007E-2</v>
      </c>
      <c r="BH23" t="s">
        <v>22</v>
      </c>
      <c r="BI23">
        <v>1979</v>
      </c>
      <c r="BL23" t="s">
        <v>28</v>
      </c>
      <c r="BO23" t="s">
        <v>33</v>
      </c>
      <c r="BT23" t="s">
        <v>24</v>
      </c>
      <c r="BU23">
        <v>1</v>
      </c>
      <c r="BV23" t="s">
        <v>25</v>
      </c>
      <c r="BW23" t="s">
        <v>29</v>
      </c>
      <c r="BX23" t="s">
        <v>27</v>
      </c>
      <c r="BZ23" t="s">
        <v>50</v>
      </c>
      <c r="CB23">
        <v>3</v>
      </c>
    </row>
    <row r="24" spans="1:80" x14ac:dyDescent="0.2">
      <c r="A24" t="s">
        <v>15</v>
      </c>
      <c r="B24" s="1" t="s">
        <v>20</v>
      </c>
      <c r="C24" s="1" t="s">
        <v>21</v>
      </c>
      <c r="D24" t="s">
        <v>17</v>
      </c>
      <c r="E24">
        <v>33</v>
      </c>
      <c r="AH24" t="s">
        <v>40</v>
      </c>
      <c r="BD24" s="3">
        <v>10.82</v>
      </c>
      <c r="BE24" s="3">
        <v>0.13</v>
      </c>
      <c r="BH24" t="s">
        <v>22</v>
      </c>
      <c r="BI24">
        <v>1979</v>
      </c>
      <c r="BL24" t="s">
        <v>59</v>
      </c>
      <c r="BO24" t="s">
        <v>33</v>
      </c>
      <c r="BT24" t="s">
        <v>24</v>
      </c>
      <c r="BU24">
        <v>1</v>
      </c>
      <c r="BV24" t="s">
        <v>25</v>
      </c>
      <c r="BW24" t="s">
        <v>29</v>
      </c>
      <c r="BX24" t="s">
        <v>27</v>
      </c>
      <c r="BZ24" t="s">
        <v>50</v>
      </c>
      <c r="CB24">
        <v>3</v>
      </c>
    </row>
    <row r="25" spans="1:80" x14ac:dyDescent="0.2">
      <c r="A25" t="s">
        <v>15</v>
      </c>
      <c r="B25" s="1" t="s">
        <v>20</v>
      </c>
      <c r="C25" s="1" t="s">
        <v>21</v>
      </c>
      <c r="D25" t="s">
        <v>17</v>
      </c>
      <c r="E25">
        <v>20</v>
      </c>
      <c r="AH25" t="s">
        <v>40</v>
      </c>
      <c r="BD25" s="3">
        <v>11.51</v>
      </c>
      <c r="BE25" s="3">
        <v>0.16</v>
      </c>
      <c r="BH25" t="s">
        <v>22</v>
      </c>
      <c r="BI25">
        <v>1979</v>
      </c>
      <c r="BL25" t="s">
        <v>60</v>
      </c>
      <c r="BO25" t="s">
        <v>33</v>
      </c>
      <c r="BT25" t="s">
        <v>24</v>
      </c>
      <c r="BU25">
        <v>1</v>
      </c>
      <c r="BV25" t="s">
        <v>25</v>
      </c>
      <c r="BW25" t="s">
        <v>29</v>
      </c>
      <c r="BX25" t="s">
        <v>27</v>
      </c>
      <c r="BZ25" t="s">
        <v>50</v>
      </c>
      <c r="CB25">
        <v>3</v>
      </c>
    </row>
    <row r="26" spans="1:80" x14ac:dyDescent="0.2">
      <c r="A26" t="s">
        <v>15</v>
      </c>
      <c r="B26" s="1" t="s">
        <v>20</v>
      </c>
      <c r="C26" s="1" t="s">
        <v>21</v>
      </c>
      <c r="D26" t="s">
        <v>17</v>
      </c>
      <c r="E26">
        <v>20</v>
      </c>
      <c r="AH26" t="s">
        <v>40</v>
      </c>
      <c r="BD26" s="3">
        <v>12.04</v>
      </c>
      <c r="BE26" s="3">
        <v>0.1</v>
      </c>
      <c r="BH26" t="s">
        <v>22</v>
      </c>
      <c r="BI26">
        <v>1979</v>
      </c>
      <c r="BL26" t="s">
        <v>61</v>
      </c>
      <c r="BO26" t="s">
        <v>33</v>
      </c>
      <c r="BT26" t="s">
        <v>24</v>
      </c>
      <c r="BU26">
        <v>1</v>
      </c>
      <c r="BV26" t="s">
        <v>25</v>
      </c>
      <c r="BW26" t="s">
        <v>29</v>
      </c>
      <c r="BX26" t="s">
        <v>27</v>
      </c>
      <c r="BZ26" t="s">
        <v>50</v>
      </c>
      <c r="CB26">
        <v>3</v>
      </c>
    </row>
    <row r="27" spans="1:80" x14ac:dyDescent="0.2">
      <c r="A27" t="s">
        <v>15</v>
      </c>
      <c r="B27" s="1" t="s">
        <v>20</v>
      </c>
      <c r="C27" s="1" t="s">
        <v>21</v>
      </c>
      <c r="D27" t="s">
        <v>17</v>
      </c>
      <c r="E27">
        <v>20</v>
      </c>
      <c r="AH27" t="s">
        <v>40</v>
      </c>
      <c r="BD27" s="3">
        <v>10.56</v>
      </c>
      <c r="BE27" s="3">
        <v>0.02</v>
      </c>
      <c r="BH27" t="s">
        <v>22</v>
      </c>
      <c r="BI27">
        <v>1979</v>
      </c>
      <c r="BL27" t="s">
        <v>62</v>
      </c>
      <c r="BN27" t="s">
        <v>74</v>
      </c>
      <c r="BO27" t="s">
        <v>33</v>
      </c>
      <c r="BT27" t="s">
        <v>24</v>
      </c>
      <c r="BU27">
        <v>1</v>
      </c>
      <c r="BV27" t="s">
        <v>25</v>
      </c>
      <c r="BW27" t="s">
        <v>29</v>
      </c>
      <c r="BX27" t="s">
        <v>27</v>
      </c>
      <c r="BZ27" t="s">
        <v>50</v>
      </c>
      <c r="CB27">
        <v>3</v>
      </c>
    </row>
    <row r="28" spans="1:80" x14ac:dyDescent="0.2">
      <c r="A28" t="s">
        <v>15</v>
      </c>
      <c r="B28" s="1" t="s">
        <v>20</v>
      </c>
      <c r="C28" s="1" t="s">
        <v>21</v>
      </c>
      <c r="D28" t="s">
        <v>17</v>
      </c>
      <c r="E28">
        <v>20</v>
      </c>
      <c r="AH28" t="s">
        <v>40</v>
      </c>
      <c r="BD28" s="3">
        <v>9.65</v>
      </c>
      <c r="BE28" s="3">
        <v>7.0000000000000007E-2</v>
      </c>
      <c r="BH28" t="s">
        <v>22</v>
      </c>
      <c r="BI28">
        <v>1979</v>
      </c>
      <c r="BL28" t="s">
        <v>63</v>
      </c>
      <c r="BN28" t="s">
        <v>74</v>
      </c>
      <c r="BO28" t="s">
        <v>33</v>
      </c>
      <c r="BT28" t="s">
        <v>24</v>
      </c>
      <c r="BU28">
        <v>1</v>
      </c>
      <c r="BV28" t="s">
        <v>25</v>
      </c>
      <c r="BW28" t="s">
        <v>29</v>
      </c>
      <c r="BX28" t="s">
        <v>27</v>
      </c>
      <c r="BZ28" t="s">
        <v>50</v>
      </c>
      <c r="CB28">
        <v>3</v>
      </c>
    </row>
    <row r="29" spans="1:80" s="11" customFormat="1" x14ac:dyDescent="0.2">
      <c r="A29" s="11" t="s">
        <v>15</v>
      </c>
      <c r="B29" s="12" t="s">
        <v>20</v>
      </c>
      <c r="C29" s="12" t="s">
        <v>21</v>
      </c>
      <c r="D29" s="11" t="s">
        <v>17</v>
      </c>
      <c r="E29" s="11">
        <v>20</v>
      </c>
      <c r="AH29" s="11" t="s">
        <v>40</v>
      </c>
      <c r="BD29" s="13">
        <v>9.8800000000000008</v>
      </c>
      <c r="BE29" s="13">
        <v>0.08</v>
      </c>
      <c r="BH29" s="11" t="s">
        <v>22</v>
      </c>
      <c r="BI29" s="11">
        <v>1979</v>
      </c>
      <c r="BL29" s="11" t="s">
        <v>64</v>
      </c>
      <c r="BN29" s="11" t="s">
        <v>74</v>
      </c>
      <c r="BO29" s="11" t="s">
        <v>33</v>
      </c>
      <c r="BT29" s="11" t="s">
        <v>24</v>
      </c>
      <c r="BU29" s="11">
        <v>1</v>
      </c>
      <c r="BV29" s="11" t="s">
        <v>25</v>
      </c>
      <c r="BW29" s="11" t="s">
        <v>29</v>
      </c>
      <c r="BX29" s="11" t="s">
        <v>27</v>
      </c>
      <c r="BZ29" s="11" t="s">
        <v>50</v>
      </c>
      <c r="CB29" s="11">
        <v>3</v>
      </c>
    </row>
    <row r="30" spans="1:80" x14ac:dyDescent="0.2">
      <c r="A30" t="s">
        <v>41</v>
      </c>
      <c r="B30" s="1" t="s">
        <v>20</v>
      </c>
      <c r="C30" s="1" t="s">
        <v>21</v>
      </c>
      <c r="D30" t="s">
        <v>17</v>
      </c>
      <c r="E30">
        <v>90</v>
      </c>
      <c r="F30">
        <v>80</v>
      </c>
      <c r="N30" s="4"/>
      <c r="O30" s="4"/>
      <c r="P30" s="4"/>
      <c r="Q30" s="4"/>
      <c r="R30" s="4"/>
      <c r="S30" s="16"/>
      <c r="T30">
        <f>75*60</f>
        <v>4500</v>
      </c>
      <c r="V30" s="6" t="s">
        <v>67</v>
      </c>
      <c r="W30" s="30"/>
      <c r="AJ30" s="31" t="s">
        <v>99</v>
      </c>
      <c r="AK30" s="15"/>
      <c r="AL30" s="15"/>
      <c r="AM30" s="15"/>
      <c r="BH30" t="s">
        <v>22</v>
      </c>
      <c r="BI30">
        <v>1979</v>
      </c>
      <c r="BO30" t="s">
        <v>33</v>
      </c>
      <c r="BT30" t="s">
        <v>51</v>
      </c>
      <c r="BV30" t="s">
        <v>25</v>
      </c>
      <c r="BZ30" t="s">
        <v>50</v>
      </c>
      <c r="CB30">
        <v>5</v>
      </c>
    </row>
    <row r="31" spans="1:80" x14ac:dyDescent="0.2">
      <c r="A31" t="s">
        <v>41</v>
      </c>
      <c r="B31" s="1" t="s">
        <v>20</v>
      </c>
      <c r="C31" s="1" t="s">
        <v>21</v>
      </c>
      <c r="D31" t="s">
        <v>17</v>
      </c>
      <c r="E31">
        <v>55</v>
      </c>
      <c r="F31">
        <v>47</v>
      </c>
      <c r="N31" s="4"/>
      <c r="O31" s="4"/>
      <c r="P31" s="4"/>
      <c r="Q31" s="4"/>
      <c r="R31" s="4"/>
      <c r="S31" s="16"/>
      <c r="V31" s="8" t="s">
        <v>67</v>
      </c>
      <c r="W31" s="30"/>
      <c r="AJ31" s="15" t="s">
        <v>99</v>
      </c>
      <c r="AK31" s="15"/>
      <c r="AL31" s="15"/>
      <c r="AM31" s="15"/>
      <c r="BH31" t="s">
        <v>22</v>
      </c>
      <c r="BI31">
        <v>1979</v>
      </c>
      <c r="BL31" t="s">
        <v>37</v>
      </c>
      <c r="BO31" t="s">
        <v>33</v>
      </c>
      <c r="BT31" t="s">
        <v>51</v>
      </c>
      <c r="BV31" t="s">
        <v>25</v>
      </c>
      <c r="BW31" t="s">
        <v>30</v>
      </c>
      <c r="BX31" t="s">
        <v>31</v>
      </c>
      <c r="BZ31" t="s">
        <v>50</v>
      </c>
      <c r="CB31">
        <v>5</v>
      </c>
    </row>
    <row r="32" spans="1:80" x14ac:dyDescent="0.2">
      <c r="A32" t="s">
        <v>53</v>
      </c>
      <c r="B32" s="1" t="s">
        <v>20</v>
      </c>
      <c r="C32" s="1" t="s">
        <v>21</v>
      </c>
      <c r="D32" t="s">
        <v>17</v>
      </c>
      <c r="E32">
        <v>60</v>
      </c>
      <c r="F32">
        <v>50</v>
      </c>
      <c r="N32" s="4"/>
      <c r="O32" s="4"/>
      <c r="P32" s="4"/>
      <c r="Q32" s="4"/>
      <c r="R32" s="4"/>
      <c r="S32" s="16"/>
      <c r="T32">
        <f>62*60</f>
        <v>3720</v>
      </c>
      <c r="V32" s="8" t="s">
        <v>67</v>
      </c>
      <c r="W32" s="30"/>
      <c r="AJ32" s="15" t="s">
        <v>99</v>
      </c>
      <c r="AK32" s="15"/>
      <c r="AL32" s="15"/>
      <c r="AM32" s="15"/>
      <c r="BH32" t="s">
        <v>22</v>
      </c>
      <c r="BI32">
        <v>1979</v>
      </c>
      <c r="BO32" t="s">
        <v>33</v>
      </c>
      <c r="BT32" t="s">
        <v>51</v>
      </c>
      <c r="BV32" t="s">
        <v>25</v>
      </c>
      <c r="BZ32" t="s">
        <v>50</v>
      </c>
      <c r="CB32">
        <v>5</v>
      </c>
    </row>
    <row r="33" spans="1:80" x14ac:dyDescent="0.2">
      <c r="A33" t="s">
        <v>52</v>
      </c>
      <c r="B33" s="1" t="s">
        <v>20</v>
      </c>
      <c r="C33" s="1" t="s">
        <v>21</v>
      </c>
      <c r="D33" t="s">
        <v>17</v>
      </c>
      <c r="E33">
        <v>135</v>
      </c>
      <c r="F33">
        <v>126</v>
      </c>
      <c r="N33" s="4"/>
      <c r="O33" s="4"/>
      <c r="P33" s="4"/>
      <c r="Q33" s="4"/>
      <c r="R33" s="4"/>
      <c r="S33" s="16"/>
      <c r="T33">
        <f>5*60</f>
        <v>300</v>
      </c>
      <c r="V33" s="8" t="s">
        <v>67</v>
      </c>
      <c r="W33" s="30"/>
      <c r="AJ33" s="15" t="s">
        <v>99</v>
      </c>
      <c r="AK33" s="15"/>
      <c r="AL33" s="15"/>
      <c r="AM33" s="15"/>
      <c r="BH33" t="s">
        <v>22</v>
      </c>
      <c r="BI33">
        <v>1979</v>
      </c>
      <c r="BO33" t="s">
        <v>33</v>
      </c>
      <c r="BT33" t="s">
        <v>51</v>
      </c>
      <c r="BV33" t="s">
        <v>25</v>
      </c>
      <c r="BZ33" t="s">
        <v>50</v>
      </c>
      <c r="CB33">
        <v>5</v>
      </c>
    </row>
    <row r="34" spans="1:80" x14ac:dyDescent="0.2">
      <c r="A34" t="s">
        <v>41</v>
      </c>
      <c r="B34" s="1" t="s">
        <v>20</v>
      </c>
      <c r="C34" s="1" t="s">
        <v>21</v>
      </c>
      <c r="D34" t="s">
        <v>17</v>
      </c>
      <c r="E34">
        <v>90</v>
      </c>
      <c r="F34">
        <v>8</v>
      </c>
      <c r="N34" s="4"/>
      <c r="O34" s="4"/>
      <c r="P34" s="4"/>
      <c r="Q34" s="4"/>
      <c r="R34" s="4"/>
      <c r="S34" s="16"/>
      <c r="V34" s="8" t="s">
        <v>68</v>
      </c>
      <c r="W34" s="30"/>
      <c r="AJ34" s="15" t="s">
        <v>99</v>
      </c>
      <c r="AK34" s="15"/>
      <c r="AL34" s="15"/>
      <c r="AM34" s="15"/>
      <c r="BH34" t="s">
        <v>22</v>
      </c>
      <c r="BI34">
        <v>1979</v>
      </c>
      <c r="BO34" t="s">
        <v>33</v>
      </c>
      <c r="BT34" t="s">
        <v>51</v>
      </c>
      <c r="BV34" t="s">
        <v>25</v>
      </c>
      <c r="BZ34" t="s">
        <v>50</v>
      </c>
      <c r="CB34">
        <v>5</v>
      </c>
    </row>
    <row r="35" spans="1:80" x14ac:dyDescent="0.2">
      <c r="A35" t="s">
        <v>41</v>
      </c>
      <c r="B35" s="1" t="s">
        <v>20</v>
      </c>
      <c r="C35" s="1" t="s">
        <v>21</v>
      </c>
      <c r="D35" t="s">
        <v>17</v>
      </c>
      <c r="E35">
        <v>55</v>
      </c>
      <c r="F35">
        <v>0</v>
      </c>
      <c r="N35" s="4"/>
      <c r="O35" s="4"/>
      <c r="P35" s="4"/>
      <c r="Q35" s="4"/>
      <c r="R35" s="4"/>
      <c r="S35" s="16"/>
      <c r="V35" s="8" t="s">
        <v>68</v>
      </c>
      <c r="W35" s="30"/>
      <c r="AJ35" s="15" t="s">
        <v>99</v>
      </c>
      <c r="AK35" s="15"/>
      <c r="AL35" s="15"/>
      <c r="AM35" s="15"/>
      <c r="BH35" t="s">
        <v>22</v>
      </c>
      <c r="BI35">
        <v>1979</v>
      </c>
      <c r="BL35" t="s">
        <v>37</v>
      </c>
      <c r="BO35" t="s">
        <v>33</v>
      </c>
      <c r="BT35" t="s">
        <v>51</v>
      </c>
      <c r="BV35" t="s">
        <v>25</v>
      </c>
      <c r="BW35" t="s">
        <v>30</v>
      </c>
      <c r="BX35" t="s">
        <v>31</v>
      </c>
      <c r="BZ35" t="s">
        <v>50</v>
      </c>
      <c r="CB35">
        <v>5</v>
      </c>
    </row>
    <row r="36" spans="1:80" x14ac:dyDescent="0.2">
      <c r="A36" t="s">
        <v>53</v>
      </c>
      <c r="B36" s="1" t="s">
        <v>20</v>
      </c>
      <c r="C36" s="1" t="s">
        <v>21</v>
      </c>
      <c r="D36" t="s">
        <v>17</v>
      </c>
      <c r="E36">
        <v>60</v>
      </c>
      <c r="F36">
        <v>8</v>
      </c>
      <c r="N36" s="4"/>
      <c r="O36" s="4"/>
      <c r="P36" s="4"/>
      <c r="Q36" s="4"/>
      <c r="R36" s="4"/>
      <c r="S36" s="16"/>
      <c r="V36" s="8" t="s">
        <v>68</v>
      </c>
      <c r="W36" s="30"/>
      <c r="AJ36" s="15" t="s">
        <v>99</v>
      </c>
      <c r="AK36" s="15"/>
      <c r="AL36" s="15"/>
      <c r="AM36" s="15"/>
      <c r="BH36" t="s">
        <v>22</v>
      </c>
      <c r="BI36">
        <v>1979</v>
      </c>
      <c r="BO36" t="s">
        <v>33</v>
      </c>
      <c r="BT36" t="s">
        <v>51</v>
      </c>
      <c r="BV36" t="s">
        <v>25</v>
      </c>
      <c r="BZ36" t="s">
        <v>50</v>
      </c>
      <c r="CB36">
        <v>5</v>
      </c>
    </row>
    <row r="37" spans="1:80" x14ac:dyDescent="0.2">
      <c r="A37" t="s">
        <v>52</v>
      </c>
      <c r="B37" s="1" t="s">
        <v>20</v>
      </c>
      <c r="C37" s="1" t="s">
        <v>21</v>
      </c>
      <c r="D37" t="s">
        <v>17</v>
      </c>
      <c r="E37">
        <v>135</v>
      </c>
      <c r="F37">
        <v>2</v>
      </c>
      <c r="N37" s="4"/>
      <c r="O37" s="4"/>
      <c r="P37" s="4"/>
      <c r="Q37" s="4"/>
      <c r="R37" s="4"/>
      <c r="S37" s="16"/>
      <c r="V37" s="5" t="s">
        <v>68</v>
      </c>
      <c r="W37" s="30"/>
      <c r="AJ37" s="15" t="s">
        <v>99</v>
      </c>
      <c r="AK37" s="15"/>
      <c r="AL37" s="15"/>
      <c r="AM37" s="15"/>
      <c r="BH37" t="s">
        <v>22</v>
      </c>
      <c r="BI37">
        <v>1979</v>
      </c>
      <c r="BO37" t="s">
        <v>33</v>
      </c>
      <c r="BT37" t="s">
        <v>51</v>
      </c>
      <c r="BV37" t="s">
        <v>25</v>
      </c>
      <c r="BZ37" t="s">
        <v>50</v>
      </c>
      <c r="CB37">
        <v>5</v>
      </c>
    </row>
    <row r="38" spans="1:80" x14ac:dyDescent="0.2">
      <c r="A38" t="s">
        <v>41</v>
      </c>
      <c r="B38" s="1" t="s">
        <v>20</v>
      </c>
      <c r="C38" s="1" t="s">
        <v>21</v>
      </c>
      <c r="D38" t="s">
        <v>17</v>
      </c>
      <c r="E38">
        <v>90</v>
      </c>
      <c r="F38">
        <v>2</v>
      </c>
      <c r="N38" s="4"/>
      <c r="O38" s="4"/>
      <c r="P38" s="4"/>
      <c r="Q38" s="4"/>
      <c r="R38" s="4"/>
      <c r="S38" s="16"/>
      <c r="V38" s="8" t="s">
        <v>69</v>
      </c>
      <c r="W38" s="30"/>
      <c r="AJ38" s="15" t="s">
        <v>99</v>
      </c>
      <c r="AK38" s="15"/>
      <c r="AL38" s="15"/>
      <c r="AM38" s="15"/>
      <c r="BH38" t="s">
        <v>22</v>
      </c>
      <c r="BI38">
        <v>1979</v>
      </c>
      <c r="BO38" t="s">
        <v>33</v>
      </c>
      <c r="BT38" t="s">
        <v>51</v>
      </c>
      <c r="BV38" t="s">
        <v>25</v>
      </c>
      <c r="BZ38" t="s">
        <v>50</v>
      </c>
      <c r="CB38">
        <v>5</v>
      </c>
    </row>
    <row r="39" spans="1:80" x14ac:dyDescent="0.2">
      <c r="A39" t="s">
        <v>41</v>
      </c>
      <c r="B39" s="1" t="s">
        <v>20</v>
      </c>
      <c r="C39" s="1" t="s">
        <v>21</v>
      </c>
      <c r="D39" t="s">
        <v>17</v>
      </c>
      <c r="E39">
        <v>55</v>
      </c>
      <c r="F39">
        <v>8</v>
      </c>
      <c r="N39" s="4"/>
      <c r="O39" s="4"/>
      <c r="P39" s="4"/>
      <c r="Q39" s="4"/>
      <c r="R39" s="4"/>
      <c r="S39" s="16"/>
      <c r="V39" s="8" t="s">
        <v>69</v>
      </c>
      <c r="W39" s="30"/>
      <c r="AJ39" s="15" t="s">
        <v>99</v>
      </c>
      <c r="AK39" s="15"/>
      <c r="AL39" s="15"/>
      <c r="AM39" s="15"/>
      <c r="BH39" t="s">
        <v>22</v>
      </c>
      <c r="BI39">
        <v>1979</v>
      </c>
      <c r="BL39" t="s">
        <v>37</v>
      </c>
      <c r="BO39" t="s">
        <v>33</v>
      </c>
      <c r="BT39" t="s">
        <v>51</v>
      </c>
      <c r="BV39" t="s">
        <v>25</v>
      </c>
      <c r="BZ39" t="s">
        <v>50</v>
      </c>
      <c r="CB39">
        <v>5</v>
      </c>
    </row>
    <row r="40" spans="1:80" x14ac:dyDescent="0.2">
      <c r="A40" t="s">
        <v>53</v>
      </c>
      <c r="B40" s="1" t="s">
        <v>20</v>
      </c>
      <c r="C40" s="1" t="s">
        <v>21</v>
      </c>
      <c r="D40" t="s">
        <v>17</v>
      </c>
      <c r="E40">
        <v>60</v>
      </c>
      <c r="F40">
        <v>2</v>
      </c>
      <c r="N40" s="4"/>
      <c r="O40" s="4"/>
      <c r="P40" s="4"/>
      <c r="Q40" s="4"/>
      <c r="R40" s="4"/>
      <c r="S40" s="16"/>
      <c r="V40" s="8" t="s">
        <v>69</v>
      </c>
      <c r="W40" s="30"/>
      <c r="AJ40" s="15" t="s">
        <v>99</v>
      </c>
      <c r="AK40" s="15"/>
      <c r="AL40" s="15"/>
      <c r="AM40" s="15"/>
      <c r="BH40" t="s">
        <v>22</v>
      </c>
      <c r="BI40">
        <v>1979</v>
      </c>
      <c r="BO40" t="s">
        <v>33</v>
      </c>
      <c r="BT40" t="s">
        <v>51</v>
      </c>
      <c r="BV40" t="s">
        <v>25</v>
      </c>
      <c r="BW40" t="s">
        <v>30</v>
      </c>
      <c r="BX40" t="s">
        <v>31</v>
      </c>
      <c r="BZ40" t="s">
        <v>50</v>
      </c>
      <c r="CB40">
        <v>5</v>
      </c>
    </row>
    <row r="41" spans="1:80" x14ac:dyDescent="0.2">
      <c r="A41" t="s">
        <v>52</v>
      </c>
      <c r="B41" s="1" t="s">
        <v>20</v>
      </c>
      <c r="C41" s="1" t="s">
        <v>21</v>
      </c>
      <c r="D41" t="s">
        <v>17</v>
      </c>
      <c r="E41">
        <v>135</v>
      </c>
      <c r="F41">
        <v>0</v>
      </c>
      <c r="N41" s="4"/>
      <c r="O41" s="4"/>
      <c r="P41" s="4"/>
      <c r="Q41" s="4"/>
      <c r="R41" s="4"/>
      <c r="S41" s="16"/>
      <c r="V41" s="6" t="s">
        <v>69</v>
      </c>
      <c r="W41" s="30"/>
      <c r="AJ41" s="15" t="s">
        <v>99</v>
      </c>
      <c r="AK41" s="15"/>
      <c r="AL41" s="15"/>
      <c r="AM41" s="15"/>
      <c r="BH41" t="s">
        <v>22</v>
      </c>
      <c r="BI41">
        <v>1979</v>
      </c>
      <c r="BO41" t="s">
        <v>33</v>
      </c>
      <c r="BT41" t="s">
        <v>24</v>
      </c>
      <c r="BU41" t="s">
        <v>71</v>
      </c>
      <c r="BV41" t="s">
        <v>25</v>
      </c>
      <c r="BZ41" t="s">
        <v>50</v>
      </c>
      <c r="CB41">
        <v>5</v>
      </c>
    </row>
    <row r="42" spans="1:80" s="11" customFormat="1" x14ac:dyDescent="0.2">
      <c r="A42" s="11" t="s">
        <v>52</v>
      </c>
      <c r="B42" s="12" t="s">
        <v>20</v>
      </c>
      <c r="C42" s="12" t="s">
        <v>21</v>
      </c>
      <c r="D42" s="11" t="s">
        <v>17</v>
      </c>
      <c r="E42" s="11">
        <v>135</v>
      </c>
      <c r="G42" s="11">
        <v>7</v>
      </c>
      <c r="AJ42" s="18" t="s">
        <v>99</v>
      </c>
      <c r="AK42" s="18"/>
      <c r="AL42" s="18"/>
      <c r="AM42" s="18"/>
      <c r="BH42" s="11" t="s">
        <v>22</v>
      </c>
      <c r="BI42" s="11">
        <v>1979</v>
      </c>
      <c r="BO42" s="11" t="s">
        <v>33</v>
      </c>
      <c r="BT42" s="11" t="s">
        <v>24</v>
      </c>
      <c r="BU42" s="11" t="s">
        <v>71</v>
      </c>
      <c r="BV42" s="11" t="s">
        <v>25</v>
      </c>
      <c r="BZ42" s="11" t="s">
        <v>50</v>
      </c>
      <c r="CB42" s="11">
        <v>5</v>
      </c>
    </row>
    <row r="43" spans="1:80" x14ac:dyDescent="0.2">
      <c r="A43" t="s">
        <v>15</v>
      </c>
      <c r="B43" s="1" t="s">
        <v>20</v>
      </c>
      <c r="C43" s="1" t="s">
        <v>21</v>
      </c>
      <c r="D43" t="s">
        <v>17</v>
      </c>
      <c r="E43" s="15">
        <v>311</v>
      </c>
      <c r="F43" s="15">
        <v>193</v>
      </c>
      <c r="V43" s="8" t="s">
        <v>67</v>
      </c>
      <c r="W43" s="30"/>
      <c r="AJ43" s="15" t="s">
        <v>99</v>
      </c>
      <c r="AK43" s="15"/>
      <c r="AL43" s="15"/>
      <c r="AM43" s="15"/>
      <c r="BH43" t="s">
        <v>22</v>
      </c>
      <c r="BI43">
        <v>1979</v>
      </c>
      <c r="BL43" t="s">
        <v>72</v>
      </c>
      <c r="BO43" t="s">
        <v>33</v>
      </c>
      <c r="BT43" s="15" t="s">
        <v>73</v>
      </c>
      <c r="BV43" t="s">
        <v>25</v>
      </c>
      <c r="BW43" t="s">
        <v>29</v>
      </c>
      <c r="BX43" t="s">
        <v>27</v>
      </c>
      <c r="BZ43" t="s">
        <v>50</v>
      </c>
      <c r="CB43" s="15">
        <v>6</v>
      </c>
    </row>
    <row r="44" spans="1:80" x14ac:dyDescent="0.2">
      <c r="A44" t="s">
        <v>15</v>
      </c>
      <c r="B44" s="1" t="s">
        <v>20</v>
      </c>
      <c r="C44" s="1" t="s">
        <v>21</v>
      </c>
      <c r="D44" t="s">
        <v>17</v>
      </c>
      <c r="E44" s="15">
        <v>185</v>
      </c>
      <c r="F44" s="15">
        <v>114</v>
      </c>
      <c r="T44">
        <f>36*60*60</f>
        <v>129600</v>
      </c>
      <c r="V44" s="8" t="s">
        <v>67</v>
      </c>
      <c r="W44" s="30"/>
      <c r="AJ44" s="15" t="s">
        <v>99</v>
      </c>
      <c r="AK44" s="15"/>
      <c r="AL44" s="15"/>
      <c r="AM44" s="15"/>
      <c r="BH44" t="s">
        <v>22</v>
      </c>
      <c r="BI44">
        <v>1979</v>
      </c>
      <c r="BL44" t="s">
        <v>28</v>
      </c>
      <c r="BO44" t="s">
        <v>33</v>
      </c>
      <c r="BT44" s="15" t="s">
        <v>73</v>
      </c>
      <c r="BV44" t="s">
        <v>25</v>
      </c>
      <c r="BW44" t="s">
        <v>29</v>
      </c>
      <c r="BX44" t="s">
        <v>27</v>
      </c>
      <c r="BZ44" t="s">
        <v>50</v>
      </c>
      <c r="CB44" s="15">
        <v>6</v>
      </c>
    </row>
    <row r="45" spans="1:80" x14ac:dyDescent="0.2">
      <c r="A45" t="s">
        <v>15</v>
      </c>
      <c r="B45" s="1" t="s">
        <v>20</v>
      </c>
      <c r="C45" s="1" t="s">
        <v>21</v>
      </c>
      <c r="D45" t="s">
        <v>17</v>
      </c>
      <c r="E45" s="15">
        <v>53</v>
      </c>
      <c r="F45" s="15">
        <v>33</v>
      </c>
      <c r="V45" s="8" t="s">
        <v>67</v>
      </c>
      <c r="W45" s="30"/>
      <c r="AJ45" s="15" t="s">
        <v>99</v>
      </c>
      <c r="AK45" s="15"/>
      <c r="AL45" s="15"/>
      <c r="AM45" s="15"/>
      <c r="BH45" t="s">
        <v>22</v>
      </c>
      <c r="BI45">
        <v>1979</v>
      </c>
      <c r="BL45" t="s">
        <v>59</v>
      </c>
      <c r="BO45" t="s">
        <v>33</v>
      </c>
      <c r="BT45" s="15" t="s">
        <v>73</v>
      </c>
      <c r="BV45" t="s">
        <v>25</v>
      </c>
      <c r="BW45" t="s">
        <v>29</v>
      </c>
      <c r="BX45" t="s">
        <v>27</v>
      </c>
      <c r="BZ45" t="s">
        <v>50</v>
      </c>
      <c r="CB45" s="15">
        <v>6</v>
      </c>
    </row>
    <row r="46" spans="1:80" x14ac:dyDescent="0.2">
      <c r="A46" t="s">
        <v>15</v>
      </c>
      <c r="B46" s="1" t="s">
        <v>20</v>
      </c>
      <c r="C46" s="1" t="s">
        <v>21</v>
      </c>
      <c r="D46" t="s">
        <v>17</v>
      </c>
      <c r="E46" s="15">
        <v>104</v>
      </c>
      <c r="F46" s="15">
        <v>91</v>
      </c>
      <c r="V46" s="8" t="s">
        <v>67</v>
      </c>
      <c r="W46" s="30"/>
      <c r="AJ46" s="15" t="s">
        <v>99</v>
      </c>
      <c r="AK46" s="15"/>
      <c r="AL46" s="15"/>
      <c r="AM46" s="15"/>
      <c r="BH46" t="s">
        <v>22</v>
      </c>
      <c r="BI46">
        <v>1979</v>
      </c>
      <c r="BL46" t="s">
        <v>60</v>
      </c>
      <c r="BO46" t="s">
        <v>33</v>
      </c>
      <c r="BT46" s="15" t="s">
        <v>73</v>
      </c>
      <c r="BV46" t="s">
        <v>25</v>
      </c>
      <c r="BW46" t="s">
        <v>29</v>
      </c>
      <c r="BX46" t="s">
        <v>27</v>
      </c>
      <c r="BZ46" t="s">
        <v>50</v>
      </c>
      <c r="CB46" s="15">
        <v>6</v>
      </c>
    </row>
    <row r="47" spans="1:80" x14ac:dyDescent="0.2">
      <c r="A47" t="s">
        <v>15</v>
      </c>
      <c r="B47" s="1" t="s">
        <v>20</v>
      </c>
      <c r="C47" s="1" t="s">
        <v>21</v>
      </c>
      <c r="D47" t="s">
        <v>17</v>
      </c>
      <c r="E47" s="15">
        <v>45</v>
      </c>
      <c r="F47" s="15">
        <v>30</v>
      </c>
      <c r="V47" s="8" t="s">
        <v>67</v>
      </c>
      <c r="W47" s="30"/>
      <c r="AJ47" s="15" t="s">
        <v>99</v>
      </c>
      <c r="AK47" s="15"/>
      <c r="AL47" s="15"/>
      <c r="AM47" s="15"/>
      <c r="BH47" t="s">
        <v>22</v>
      </c>
      <c r="BI47">
        <v>1979</v>
      </c>
      <c r="BL47" t="s">
        <v>61</v>
      </c>
      <c r="BO47" t="s">
        <v>33</v>
      </c>
      <c r="BT47" s="15" t="s">
        <v>73</v>
      </c>
      <c r="BV47" t="s">
        <v>25</v>
      </c>
      <c r="BW47" t="s">
        <v>29</v>
      </c>
      <c r="BX47" t="s">
        <v>27</v>
      </c>
      <c r="BZ47" t="s">
        <v>50</v>
      </c>
      <c r="CB47" s="15">
        <v>6</v>
      </c>
    </row>
    <row r="48" spans="1:80" x14ac:dyDescent="0.2">
      <c r="A48" t="s">
        <v>15</v>
      </c>
      <c r="B48" s="1" t="s">
        <v>20</v>
      </c>
      <c r="C48" s="1" t="s">
        <v>21</v>
      </c>
      <c r="D48" t="s">
        <v>17</v>
      </c>
      <c r="E48" s="15">
        <v>98</v>
      </c>
      <c r="F48" s="15">
        <v>96</v>
      </c>
      <c r="V48" s="8" t="s">
        <v>67</v>
      </c>
      <c r="W48" s="30"/>
      <c r="AJ48" s="15" t="s">
        <v>99</v>
      </c>
      <c r="AK48" s="15"/>
      <c r="AL48" s="15"/>
      <c r="AM48" s="15"/>
      <c r="BH48" t="s">
        <v>22</v>
      </c>
      <c r="BI48">
        <v>1979</v>
      </c>
      <c r="BL48" t="s">
        <v>62</v>
      </c>
      <c r="BN48" t="s">
        <v>74</v>
      </c>
      <c r="BO48" t="s">
        <v>33</v>
      </c>
      <c r="BT48" s="15" t="s">
        <v>73</v>
      </c>
      <c r="BV48" t="s">
        <v>25</v>
      </c>
      <c r="BW48" t="s">
        <v>29</v>
      </c>
      <c r="BX48" t="s">
        <v>27</v>
      </c>
      <c r="BZ48" t="s">
        <v>50</v>
      </c>
      <c r="CB48" s="15">
        <v>6</v>
      </c>
    </row>
    <row r="49" spans="1:80" x14ac:dyDescent="0.2">
      <c r="A49" t="s">
        <v>15</v>
      </c>
      <c r="B49" s="1" t="s">
        <v>20</v>
      </c>
      <c r="C49" s="1" t="s">
        <v>21</v>
      </c>
      <c r="D49" t="s">
        <v>17</v>
      </c>
      <c r="E49" s="15">
        <v>62</v>
      </c>
      <c r="F49" s="15">
        <v>48</v>
      </c>
      <c r="V49" s="8" t="s">
        <v>67</v>
      </c>
      <c r="W49" s="30"/>
      <c r="AJ49" s="15" t="s">
        <v>99</v>
      </c>
      <c r="AK49" s="15"/>
      <c r="AL49" s="15"/>
      <c r="AM49" s="15"/>
      <c r="BH49" t="s">
        <v>22</v>
      </c>
      <c r="BI49">
        <v>1979</v>
      </c>
      <c r="BL49" t="s">
        <v>63</v>
      </c>
      <c r="BN49" t="s">
        <v>74</v>
      </c>
      <c r="BO49" t="s">
        <v>33</v>
      </c>
      <c r="BT49" s="15" t="s">
        <v>73</v>
      </c>
      <c r="BV49" t="s">
        <v>25</v>
      </c>
      <c r="BW49" t="s">
        <v>29</v>
      </c>
      <c r="BX49" t="s">
        <v>27</v>
      </c>
      <c r="BZ49" t="s">
        <v>50</v>
      </c>
      <c r="CB49" s="15">
        <v>6</v>
      </c>
    </row>
    <row r="50" spans="1:80" s="16" customFormat="1" x14ac:dyDescent="0.2">
      <c r="A50" s="16" t="s">
        <v>15</v>
      </c>
      <c r="B50" s="17" t="s">
        <v>20</v>
      </c>
      <c r="C50" s="17" t="s">
        <v>21</v>
      </c>
      <c r="D50" s="16" t="s">
        <v>17</v>
      </c>
      <c r="E50" s="15">
        <v>44</v>
      </c>
      <c r="F50" s="15">
        <v>28</v>
      </c>
      <c r="V50" s="8" t="s">
        <v>67</v>
      </c>
      <c r="W50" s="30"/>
      <c r="AJ50" s="15" t="s">
        <v>99</v>
      </c>
      <c r="AK50" s="15"/>
      <c r="AL50" s="15"/>
      <c r="AM50" s="15"/>
      <c r="BH50" s="16" t="s">
        <v>22</v>
      </c>
      <c r="BI50" s="16">
        <v>1979</v>
      </c>
      <c r="BL50" s="16" t="s">
        <v>64</v>
      </c>
      <c r="BN50" t="s">
        <v>74</v>
      </c>
      <c r="BO50" s="16" t="s">
        <v>33</v>
      </c>
      <c r="BT50" s="15" t="s">
        <v>73</v>
      </c>
      <c r="BV50" t="s">
        <v>25</v>
      </c>
      <c r="BW50" t="s">
        <v>29</v>
      </c>
      <c r="BX50" t="s">
        <v>27</v>
      </c>
      <c r="BY50"/>
      <c r="BZ50" t="s">
        <v>50</v>
      </c>
      <c r="CB50" s="15">
        <v>6</v>
      </c>
    </row>
    <row r="51" spans="1:80" x14ac:dyDescent="0.2">
      <c r="A51" s="16" t="s">
        <v>15</v>
      </c>
      <c r="B51" s="17" t="s">
        <v>20</v>
      </c>
      <c r="C51" s="17" t="s">
        <v>21</v>
      </c>
      <c r="D51" s="16" t="s">
        <v>17</v>
      </c>
      <c r="E51" s="15">
        <v>311</v>
      </c>
      <c r="F51" s="15">
        <v>44</v>
      </c>
      <c r="V51" s="8" t="s">
        <v>68</v>
      </c>
      <c r="W51" s="30"/>
      <c r="AJ51" s="15" t="s">
        <v>99</v>
      </c>
      <c r="AK51" s="15"/>
      <c r="AL51" s="15"/>
      <c r="AM51" s="15"/>
      <c r="BH51" s="16" t="s">
        <v>22</v>
      </c>
      <c r="BI51" s="16">
        <v>1979</v>
      </c>
      <c r="BJ51" s="16"/>
      <c r="BK51" s="16"/>
      <c r="BL51" t="s">
        <v>72</v>
      </c>
      <c r="BO51" s="16" t="s">
        <v>33</v>
      </c>
      <c r="BT51" s="15" t="s">
        <v>73</v>
      </c>
      <c r="BV51" t="s">
        <v>25</v>
      </c>
      <c r="BW51" t="s">
        <v>29</v>
      </c>
      <c r="BX51" t="s">
        <v>27</v>
      </c>
      <c r="BZ51" t="s">
        <v>50</v>
      </c>
      <c r="CB51" s="15">
        <v>6</v>
      </c>
    </row>
    <row r="52" spans="1:80" x14ac:dyDescent="0.2">
      <c r="A52" s="16" t="s">
        <v>15</v>
      </c>
      <c r="B52" s="17" t="s">
        <v>20</v>
      </c>
      <c r="C52" s="17" t="s">
        <v>21</v>
      </c>
      <c r="D52" s="16" t="s">
        <v>17</v>
      </c>
      <c r="E52" s="15">
        <v>185</v>
      </c>
      <c r="F52" s="15">
        <v>27</v>
      </c>
      <c r="V52" s="8" t="s">
        <v>68</v>
      </c>
      <c r="W52" s="30"/>
      <c r="AJ52" s="15" t="s">
        <v>99</v>
      </c>
      <c r="AK52" s="15"/>
      <c r="AL52" s="15"/>
      <c r="AM52" s="15"/>
      <c r="BH52" s="16" t="s">
        <v>22</v>
      </c>
      <c r="BI52" s="16">
        <v>1979</v>
      </c>
      <c r="BJ52" s="16"/>
      <c r="BK52" s="16"/>
      <c r="BL52" t="s">
        <v>28</v>
      </c>
      <c r="BO52" s="16" t="s">
        <v>33</v>
      </c>
      <c r="BT52" s="15" t="s">
        <v>73</v>
      </c>
      <c r="BV52" t="s">
        <v>25</v>
      </c>
      <c r="BW52" t="s">
        <v>29</v>
      </c>
      <c r="BX52" t="s">
        <v>27</v>
      </c>
      <c r="BZ52" t="s">
        <v>50</v>
      </c>
      <c r="CB52" s="15">
        <v>6</v>
      </c>
    </row>
    <row r="53" spans="1:80" x14ac:dyDescent="0.2">
      <c r="A53" s="16" t="s">
        <v>15</v>
      </c>
      <c r="B53" s="17" t="s">
        <v>20</v>
      </c>
      <c r="C53" s="17" t="s">
        <v>21</v>
      </c>
      <c r="D53" s="16" t="s">
        <v>17</v>
      </c>
      <c r="E53" s="15">
        <v>53</v>
      </c>
      <c r="F53" s="15">
        <v>7</v>
      </c>
      <c r="V53" s="8" t="s">
        <v>68</v>
      </c>
      <c r="W53" s="30"/>
      <c r="AJ53" s="15" t="s">
        <v>99</v>
      </c>
      <c r="AK53" s="15"/>
      <c r="AL53" s="15"/>
      <c r="AM53" s="15"/>
      <c r="BH53" s="16" t="s">
        <v>22</v>
      </c>
      <c r="BI53" s="16">
        <v>1979</v>
      </c>
      <c r="BJ53" s="16"/>
      <c r="BK53" s="16"/>
      <c r="BL53" t="s">
        <v>59</v>
      </c>
      <c r="BO53" s="16" t="s">
        <v>33</v>
      </c>
      <c r="BT53" s="15" t="s">
        <v>73</v>
      </c>
      <c r="BV53" t="s">
        <v>25</v>
      </c>
      <c r="BW53" t="s">
        <v>29</v>
      </c>
      <c r="BX53" t="s">
        <v>27</v>
      </c>
      <c r="BZ53" t="s">
        <v>50</v>
      </c>
      <c r="CB53" s="15">
        <v>6</v>
      </c>
    </row>
    <row r="54" spans="1:80" x14ac:dyDescent="0.2">
      <c r="A54" s="16" t="s">
        <v>15</v>
      </c>
      <c r="B54" s="17" t="s">
        <v>20</v>
      </c>
      <c r="C54" s="17" t="s">
        <v>21</v>
      </c>
      <c r="D54" s="16" t="s">
        <v>17</v>
      </c>
      <c r="E54" s="15">
        <v>104</v>
      </c>
      <c r="F54" s="15">
        <v>7</v>
      </c>
      <c r="V54" s="8" t="s">
        <v>68</v>
      </c>
      <c r="W54" s="30"/>
      <c r="AJ54" s="15" t="s">
        <v>99</v>
      </c>
      <c r="AK54" s="15"/>
      <c r="AL54" s="15"/>
      <c r="AM54" s="15"/>
      <c r="BH54" s="16" t="s">
        <v>22</v>
      </c>
      <c r="BI54" s="16">
        <v>1979</v>
      </c>
      <c r="BJ54" s="16"/>
      <c r="BK54" s="16"/>
      <c r="BL54" t="s">
        <v>60</v>
      </c>
      <c r="BO54" s="16" t="s">
        <v>33</v>
      </c>
      <c r="BT54" s="15" t="s">
        <v>73</v>
      </c>
      <c r="BV54" t="s">
        <v>25</v>
      </c>
      <c r="BW54" t="s">
        <v>29</v>
      </c>
      <c r="BX54" t="s">
        <v>27</v>
      </c>
      <c r="BZ54" t="s">
        <v>50</v>
      </c>
      <c r="CB54" s="15">
        <v>6</v>
      </c>
    </row>
    <row r="55" spans="1:80" x14ac:dyDescent="0.2">
      <c r="A55" s="16" t="s">
        <v>15</v>
      </c>
      <c r="B55" s="17" t="s">
        <v>20</v>
      </c>
      <c r="C55" s="17" t="s">
        <v>21</v>
      </c>
      <c r="D55" s="16" t="s">
        <v>17</v>
      </c>
      <c r="E55" s="15">
        <v>45</v>
      </c>
      <c r="F55" s="15">
        <v>6</v>
      </c>
      <c r="V55" s="8" t="s">
        <v>68</v>
      </c>
      <c r="W55" s="30"/>
      <c r="AJ55" s="15" t="s">
        <v>99</v>
      </c>
      <c r="AK55" s="15"/>
      <c r="AL55" s="15"/>
      <c r="AM55" s="15"/>
      <c r="BH55" s="16" t="s">
        <v>22</v>
      </c>
      <c r="BI55" s="16">
        <v>1979</v>
      </c>
      <c r="BJ55" s="16"/>
      <c r="BK55" s="16"/>
      <c r="BL55" t="s">
        <v>61</v>
      </c>
      <c r="BO55" s="16" t="s">
        <v>33</v>
      </c>
      <c r="BT55" s="15" t="s">
        <v>73</v>
      </c>
      <c r="BV55" t="s">
        <v>25</v>
      </c>
      <c r="BW55" t="s">
        <v>29</v>
      </c>
      <c r="BX55" t="s">
        <v>27</v>
      </c>
      <c r="BZ55" t="s">
        <v>50</v>
      </c>
      <c r="CB55" s="15">
        <v>6</v>
      </c>
    </row>
    <row r="56" spans="1:80" x14ac:dyDescent="0.2">
      <c r="A56" s="16" t="s">
        <v>15</v>
      </c>
      <c r="B56" s="17" t="s">
        <v>20</v>
      </c>
      <c r="C56" s="17" t="s">
        <v>21</v>
      </c>
      <c r="D56" s="16" t="s">
        <v>17</v>
      </c>
      <c r="E56" s="15">
        <v>98</v>
      </c>
      <c r="F56" s="15">
        <v>2</v>
      </c>
      <c r="V56" s="8" t="s">
        <v>68</v>
      </c>
      <c r="W56" s="30"/>
      <c r="AJ56" s="15" t="s">
        <v>99</v>
      </c>
      <c r="AK56" s="15"/>
      <c r="AL56" s="15"/>
      <c r="AM56" s="15"/>
      <c r="BH56" s="16" t="s">
        <v>22</v>
      </c>
      <c r="BI56" s="16">
        <v>1979</v>
      </c>
      <c r="BJ56" s="16"/>
      <c r="BK56" s="16"/>
      <c r="BL56" t="s">
        <v>62</v>
      </c>
      <c r="BN56" t="s">
        <v>74</v>
      </c>
      <c r="BO56" s="16" t="s">
        <v>33</v>
      </c>
      <c r="BT56" s="15" t="s">
        <v>73</v>
      </c>
      <c r="BV56" t="s">
        <v>25</v>
      </c>
      <c r="BW56" t="s">
        <v>29</v>
      </c>
      <c r="BX56" t="s">
        <v>27</v>
      </c>
      <c r="BZ56" t="s">
        <v>50</v>
      </c>
      <c r="CB56" s="15">
        <v>6</v>
      </c>
    </row>
    <row r="57" spans="1:80" x14ac:dyDescent="0.2">
      <c r="A57" s="16" t="s">
        <v>15</v>
      </c>
      <c r="B57" s="17" t="s">
        <v>20</v>
      </c>
      <c r="C57" s="17" t="s">
        <v>21</v>
      </c>
      <c r="D57" s="16" t="s">
        <v>17</v>
      </c>
      <c r="E57" s="15">
        <v>62</v>
      </c>
      <c r="F57" s="15">
        <v>5</v>
      </c>
      <c r="V57" s="8" t="s">
        <v>68</v>
      </c>
      <c r="W57" s="30"/>
      <c r="AJ57" s="15" t="s">
        <v>99</v>
      </c>
      <c r="AK57" s="15"/>
      <c r="AL57" s="15"/>
      <c r="AM57" s="15"/>
      <c r="BH57" s="16" t="s">
        <v>22</v>
      </c>
      <c r="BI57" s="16">
        <v>1979</v>
      </c>
      <c r="BJ57" s="16"/>
      <c r="BK57" s="16"/>
      <c r="BL57" t="s">
        <v>63</v>
      </c>
      <c r="BN57" t="s">
        <v>74</v>
      </c>
      <c r="BO57" s="16" t="s">
        <v>33</v>
      </c>
      <c r="BT57" s="15" t="s">
        <v>73</v>
      </c>
      <c r="BV57" t="s">
        <v>25</v>
      </c>
      <c r="BW57" t="s">
        <v>29</v>
      </c>
      <c r="BX57" t="s">
        <v>27</v>
      </c>
      <c r="BZ57" t="s">
        <v>50</v>
      </c>
      <c r="CB57" s="15">
        <v>6</v>
      </c>
    </row>
    <row r="58" spans="1:80" x14ac:dyDescent="0.2">
      <c r="A58" s="16" t="s">
        <v>15</v>
      </c>
      <c r="B58" s="17" t="s">
        <v>20</v>
      </c>
      <c r="C58" s="17" t="s">
        <v>21</v>
      </c>
      <c r="D58" s="16" t="s">
        <v>17</v>
      </c>
      <c r="E58" s="15">
        <v>44</v>
      </c>
      <c r="F58" s="15">
        <v>1</v>
      </c>
      <c r="V58" s="8" t="s">
        <v>68</v>
      </c>
      <c r="W58" s="30"/>
      <c r="AJ58" s="15" t="s">
        <v>99</v>
      </c>
      <c r="AK58" s="15"/>
      <c r="AL58" s="15"/>
      <c r="AM58" s="15"/>
      <c r="BH58" s="16" t="s">
        <v>22</v>
      </c>
      <c r="BI58" s="16">
        <v>1979</v>
      </c>
      <c r="BJ58" s="16"/>
      <c r="BK58" s="16"/>
      <c r="BL58" s="16" t="s">
        <v>64</v>
      </c>
      <c r="BM58" s="16"/>
      <c r="BN58" t="s">
        <v>74</v>
      </c>
      <c r="BO58" s="16" t="s">
        <v>33</v>
      </c>
      <c r="BT58" s="15" t="s">
        <v>73</v>
      </c>
      <c r="BV58" t="s">
        <v>25</v>
      </c>
      <c r="BW58" t="s">
        <v>29</v>
      </c>
      <c r="BX58" t="s">
        <v>27</v>
      </c>
      <c r="BZ58" t="s">
        <v>50</v>
      </c>
      <c r="CB58" s="15">
        <v>6</v>
      </c>
    </row>
    <row r="59" spans="1:80" x14ac:dyDescent="0.2">
      <c r="A59" s="16" t="s">
        <v>15</v>
      </c>
      <c r="B59" s="17" t="s">
        <v>20</v>
      </c>
      <c r="C59" s="17" t="s">
        <v>21</v>
      </c>
      <c r="D59" s="16" t="s">
        <v>17</v>
      </c>
      <c r="E59" s="15">
        <v>311</v>
      </c>
      <c r="F59" s="15">
        <v>74</v>
      </c>
      <c r="V59" s="8" t="s">
        <v>69</v>
      </c>
      <c r="W59" s="30"/>
      <c r="AJ59" s="15" t="s">
        <v>99</v>
      </c>
      <c r="AK59" s="15"/>
      <c r="AL59" s="15"/>
      <c r="AM59" s="15"/>
      <c r="BH59" s="16" t="s">
        <v>22</v>
      </c>
      <c r="BI59" s="16">
        <v>1979</v>
      </c>
      <c r="BJ59" s="16"/>
      <c r="BK59" s="16"/>
      <c r="BL59" t="s">
        <v>72</v>
      </c>
      <c r="BO59" s="16" t="s">
        <v>33</v>
      </c>
      <c r="BT59" s="15" t="s">
        <v>73</v>
      </c>
      <c r="BV59" t="s">
        <v>25</v>
      </c>
      <c r="BW59" t="s">
        <v>29</v>
      </c>
      <c r="BX59" t="s">
        <v>27</v>
      </c>
      <c r="BZ59" t="s">
        <v>50</v>
      </c>
      <c r="CB59" s="15">
        <v>6</v>
      </c>
    </row>
    <row r="60" spans="1:80" x14ac:dyDescent="0.2">
      <c r="A60" s="16" t="s">
        <v>15</v>
      </c>
      <c r="B60" s="17" t="s">
        <v>20</v>
      </c>
      <c r="C60" s="17" t="s">
        <v>21</v>
      </c>
      <c r="D60" s="16" t="s">
        <v>17</v>
      </c>
      <c r="E60" s="15">
        <v>185</v>
      </c>
      <c r="F60" s="15">
        <v>44</v>
      </c>
      <c r="V60" s="8" t="s">
        <v>69</v>
      </c>
      <c r="W60" s="30"/>
      <c r="AJ60" s="15" t="s">
        <v>99</v>
      </c>
      <c r="AK60" s="15"/>
      <c r="AL60" s="15"/>
      <c r="AM60" s="15"/>
      <c r="BH60" s="16" t="s">
        <v>22</v>
      </c>
      <c r="BI60" s="16">
        <v>1979</v>
      </c>
      <c r="BJ60" s="16"/>
      <c r="BK60" s="16"/>
      <c r="BL60" t="s">
        <v>28</v>
      </c>
      <c r="BO60" s="16" t="s">
        <v>33</v>
      </c>
      <c r="BT60" s="15" t="s">
        <v>73</v>
      </c>
      <c r="BV60" t="s">
        <v>25</v>
      </c>
      <c r="BW60" t="s">
        <v>29</v>
      </c>
      <c r="BX60" t="s">
        <v>27</v>
      </c>
      <c r="BZ60" t="s">
        <v>50</v>
      </c>
      <c r="CB60" s="15">
        <v>6</v>
      </c>
    </row>
    <row r="61" spans="1:80" x14ac:dyDescent="0.2">
      <c r="A61" s="16" t="s">
        <v>15</v>
      </c>
      <c r="B61" s="17" t="s">
        <v>20</v>
      </c>
      <c r="C61" s="17" t="s">
        <v>21</v>
      </c>
      <c r="D61" s="16" t="s">
        <v>17</v>
      </c>
      <c r="E61" s="15">
        <v>53</v>
      </c>
      <c r="F61" s="15">
        <v>13</v>
      </c>
      <c r="V61" s="8" t="s">
        <v>69</v>
      </c>
      <c r="W61" s="30"/>
      <c r="AJ61" s="15" t="s">
        <v>99</v>
      </c>
      <c r="AK61" s="15"/>
      <c r="AL61" s="15"/>
      <c r="AM61" s="15"/>
      <c r="BH61" s="16" t="s">
        <v>22</v>
      </c>
      <c r="BI61" s="16">
        <v>1979</v>
      </c>
      <c r="BJ61" s="16"/>
      <c r="BK61" s="16"/>
      <c r="BL61" t="s">
        <v>59</v>
      </c>
      <c r="BO61" s="16" t="s">
        <v>33</v>
      </c>
      <c r="BT61" s="15" t="s">
        <v>73</v>
      </c>
      <c r="BV61" t="s">
        <v>25</v>
      </c>
      <c r="BW61" t="s">
        <v>29</v>
      </c>
      <c r="BX61" t="s">
        <v>27</v>
      </c>
      <c r="BZ61" t="s">
        <v>50</v>
      </c>
      <c r="CB61" s="15">
        <v>6</v>
      </c>
    </row>
    <row r="62" spans="1:80" x14ac:dyDescent="0.2">
      <c r="A62" s="16" t="s">
        <v>15</v>
      </c>
      <c r="B62" s="17" t="s">
        <v>20</v>
      </c>
      <c r="C62" s="17" t="s">
        <v>21</v>
      </c>
      <c r="D62" s="16" t="s">
        <v>17</v>
      </c>
      <c r="E62" s="15">
        <v>104</v>
      </c>
      <c r="F62" s="15">
        <v>6</v>
      </c>
      <c r="V62" s="8" t="s">
        <v>69</v>
      </c>
      <c r="W62" s="30"/>
      <c r="AJ62" s="15" t="s">
        <v>99</v>
      </c>
      <c r="AK62" s="15"/>
      <c r="AL62" s="15"/>
      <c r="AM62" s="15"/>
      <c r="BH62" s="16" t="s">
        <v>22</v>
      </c>
      <c r="BI62" s="16">
        <v>1979</v>
      </c>
      <c r="BJ62" s="16"/>
      <c r="BK62" s="16"/>
      <c r="BL62" t="s">
        <v>60</v>
      </c>
      <c r="BO62" s="16" t="s">
        <v>33</v>
      </c>
      <c r="BT62" s="15" t="s">
        <v>73</v>
      </c>
      <c r="BV62" t="s">
        <v>25</v>
      </c>
      <c r="BW62" t="s">
        <v>29</v>
      </c>
      <c r="BX62" t="s">
        <v>27</v>
      </c>
      <c r="BZ62" t="s">
        <v>50</v>
      </c>
      <c r="CB62" s="15">
        <v>6</v>
      </c>
    </row>
    <row r="63" spans="1:80" x14ac:dyDescent="0.2">
      <c r="A63" s="16" t="s">
        <v>15</v>
      </c>
      <c r="B63" s="17" t="s">
        <v>20</v>
      </c>
      <c r="C63" s="17" t="s">
        <v>21</v>
      </c>
      <c r="D63" s="16" t="s">
        <v>17</v>
      </c>
      <c r="E63" s="15">
        <v>45</v>
      </c>
      <c r="F63" s="15">
        <v>8</v>
      </c>
      <c r="V63" s="8" t="s">
        <v>69</v>
      </c>
      <c r="W63" s="30"/>
      <c r="AJ63" s="15" t="s">
        <v>99</v>
      </c>
      <c r="AK63" s="15"/>
      <c r="AL63" s="15"/>
      <c r="AM63" s="15"/>
      <c r="BH63" s="16" t="s">
        <v>22</v>
      </c>
      <c r="BI63" s="16">
        <v>1979</v>
      </c>
      <c r="BJ63" s="16"/>
      <c r="BK63" s="16"/>
      <c r="BL63" t="s">
        <v>61</v>
      </c>
      <c r="BO63" s="16" t="s">
        <v>33</v>
      </c>
      <c r="BT63" s="15" t="s">
        <v>73</v>
      </c>
      <c r="BV63" t="s">
        <v>25</v>
      </c>
      <c r="BW63" t="s">
        <v>29</v>
      </c>
      <c r="BX63" t="s">
        <v>27</v>
      </c>
      <c r="BZ63" t="s">
        <v>50</v>
      </c>
      <c r="CB63" s="15">
        <v>6</v>
      </c>
    </row>
    <row r="64" spans="1:80" x14ac:dyDescent="0.2">
      <c r="A64" s="16" t="s">
        <v>15</v>
      </c>
      <c r="B64" s="17" t="s">
        <v>20</v>
      </c>
      <c r="C64" s="17" t="s">
        <v>21</v>
      </c>
      <c r="D64" s="16" t="s">
        <v>17</v>
      </c>
      <c r="E64" s="15">
        <v>98</v>
      </c>
      <c r="F64" s="15">
        <v>0</v>
      </c>
      <c r="V64" s="8" t="s">
        <v>69</v>
      </c>
      <c r="W64" s="30"/>
      <c r="AJ64" s="15" t="s">
        <v>99</v>
      </c>
      <c r="AK64" s="15"/>
      <c r="AL64" s="15"/>
      <c r="AM64" s="15"/>
      <c r="BH64" s="16" t="s">
        <v>22</v>
      </c>
      <c r="BI64" s="16">
        <v>1979</v>
      </c>
      <c r="BJ64" s="16"/>
      <c r="BK64" s="16"/>
      <c r="BL64" t="s">
        <v>62</v>
      </c>
      <c r="BN64" t="s">
        <v>74</v>
      </c>
      <c r="BO64" s="16" t="s">
        <v>33</v>
      </c>
      <c r="BT64" s="15" t="s">
        <v>73</v>
      </c>
      <c r="BV64" t="s">
        <v>25</v>
      </c>
      <c r="BW64" t="s">
        <v>29</v>
      </c>
      <c r="BX64" t="s">
        <v>27</v>
      </c>
      <c r="BZ64" t="s">
        <v>50</v>
      </c>
      <c r="CB64" s="15">
        <v>6</v>
      </c>
    </row>
    <row r="65" spans="1:82" x14ac:dyDescent="0.2">
      <c r="A65" s="16" t="s">
        <v>15</v>
      </c>
      <c r="B65" s="17" t="s">
        <v>20</v>
      </c>
      <c r="C65" s="17" t="s">
        <v>21</v>
      </c>
      <c r="D65" s="16" t="s">
        <v>17</v>
      </c>
      <c r="E65" s="15">
        <v>62</v>
      </c>
      <c r="F65" s="15">
        <v>3</v>
      </c>
      <c r="V65" s="8" t="s">
        <v>69</v>
      </c>
      <c r="W65" s="30"/>
      <c r="AJ65" s="15" t="s">
        <v>99</v>
      </c>
      <c r="AK65" s="15"/>
      <c r="AL65" s="15"/>
      <c r="AM65" s="15"/>
      <c r="BH65" s="16" t="s">
        <v>22</v>
      </c>
      <c r="BI65" s="16">
        <v>1979</v>
      </c>
      <c r="BJ65" s="16"/>
      <c r="BK65" s="16"/>
      <c r="BL65" t="s">
        <v>63</v>
      </c>
      <c r="BN65" t="s">
        <v>74</v>
      </c>
      <c r="BO65" s="16" t="s">
        <v>33</v>
      </c>
      <c r="BT65" s="15" t="s">
        <v>73</v>
      </c>
      <c r="BV65" t="s">
        <v>25</v>
      </c>
      <c r="BW65" t="s">
        <v>29</v>
      </c>
      <c r="BX65" t="s">
        <v>27</v>
      </c>
      <c r="BZ65" t="s">
        <v>50</v>
      </c>
      <c r="CB65" s="15">
        <v>6</v>
      </c>
    </row>
    <row r="66" spans="1:82" x14ac:dyDescent="0.2">
      <c r="A66" s="16" t="s">
        <v>15</v>
      </c>
      <c r="B66" s="17" t="s">
        <v>20</v>
      </c>
      <c r="C66" s="17" t="s">
        <v>21</v>
      </c>
      <c r="D66" s="16" t="s">
        <v>17</v>
      </c>
      <c r="E66" s="15">
        <v>44</v>
      </c>
      <c r="F66" s="15">
        <v>2</v>
      </c>
      <c r="V66" s="8" t="s">
        <v>69</v>
      </c>
      <c r="W66" s="30"/>
      <c r="AJ66" s="15" t="s">
        <v>99</v>
      </c>
      <c r="AK66" s="15"/>
      <c r="AL66" s="15"/>
      <c r="AM66" s="15"/>
      <c r="BH66" s="16" t="s">
        <v>22</v>
      </c>
      <c r="BI66" s="16">
        <v>1979</v>
      </c>
      <c r="BJ66" s="16"/>
      <c r="BK66" s="16"/>
      <c r="BL66" s="16" t="s">
        <v>64</v>
      </c>
      <c r="BM66" s="16"/>
      <c r="BN66" t="s">
        <v>74</v>
      </c>
      <c r="BO66" s="16" t="s">
        <v>33</v>
      </c>
      <c r="BT66" s="15" t="s">
        <v>73</v>
      </c>
      <c r="BV66" t="s">
        <v>25</v>
      </c>
      <c r="BW66" t="s">
        <v>29</v>
      </c>
      <c r="BX66" t="s">
        <v>27</v>
      </c>
      <c r="BZ66" t="s">
        <v>50</v>
      </c>
      <c r="CB66" s="15">
        <v>6</v>
      </c>
    </row>
    <row r="67" spans="1:82" x14ac:dyDescent="0.2">
      <c r="A67" s="16" t="s">
        <v>15</v>
      </c>
      <c r="B67" s="17" t="s">
        <v>20</v>
      </c>
      <c r="C67" s="17" t="s">
        <v>21</v>
      </c>
      <c r="D67" s="16" t="s">
        <v>17</v>
      </c>
      <c r="E67" s="15">
        <v>45</v>
      </c>
      <c r="G67">
        <v>1</v>
      </c>
      <c r="AJ67" s="15" t="s">
        <v>99</v>
      </c>
      <c r="AK67" s="15"/>
      <c r="AL67" s="15"/>
      <c r="AM67" s="15"/>
      <c r="BH67" s="16" t="s">
        <v>22</v>
      </c>
      <c r="BI67" s="16">
        <v>1979</v>
      </c>
      <c r="BJ67" s="16"/>
      <c r="BK67" s="16"/>
      <c r="BL67" s="15" t="s">
        <v>61</v>
      </c>
      <c r="BM67" s="15"/>
      <c r="BO67" s="16" t="s">
        <v>33</v>
      </c>
      <c r="BT67" s="15" t="s">
        <v>73</v>
      </c>
      <c r="BV67" t="s">
        <v>25</v>
      </c>
      <c r="BW67" t="s">
        <v>29</v>
      </c>
      <c r="BX67" t="s">
        <v>27</v>
      </c>
      <c r="BZ67" t="s">
        <v>50</v>
      </c>
      <c r="CB67" s="15">
        <v>6</v>
      </c>
    </row>
    <row r="68" spans="1:82" x14ac:dyDescent="0.2">
      <c r="A68" s="16" t="s">
        <v>15</v>
      </c>
      <c r="B68" s="17" t="s">
        <v>20</v>
      </c>
      <c r="C68" s="17" t="s">
        <v>21</v>
      </c>
      <c r="D68" s="16" t="s">
        <v>17</v>
      </c>
      <c r="E68" s="15">
        <v>62</v>
      </c>
      <c r="G68">
        <v>6</v>
      </c>
      <c r="AJ68" s="15" t="s">
        <v>99</v>
      </c>
      <c r="AK68" s="15"/>
      <c r="AL68" s="15"/>
      <c r="AM68" s="15"/>
      <c r="BH68" s="16" t="s">
        <v>22</v>
      </c>
      <c r="BI68" s="16">
        <v>1979</v>
      </c>
      <c r="BJ68" s="16"/>
      <c r="BK68" s="16"/>
      <c r="BL68" s="15" t="s">
        <v>63</v>
      </c>
      <c r="BM68" s="15"/>
      <c r="BN68" t="s">
        <v>74</v>
      </c>
      <c r="BO68" s="16" t="s">
        <v>33</v>
      </c>
      <c r="BT68" s="15" t="s">
        <v>73</v>
      </c>
      <c r="BV68" t="s">
        <v>25</v>
      </c>
      <c r="BW68" t="s">
        <v>29</v>
      </c>
      <c r="BX68" t="s">
        <v>27</v>
      </c>
      <c r="BZ68" t="s">
        <v>50</v>
      </c>
      <c r="CB68" s="15">
        <v>6</v>
      </c>
    </row>
    <row r="69" spans="1:82" s="11" customFormat="1" x14ac:dyDescent="0.2">
      <c r="A69" s="11" t="s">
        <v>15</v>
      </c>
      <c r="B69" s="12" t="s">
        <v>20</v>
      </c>
      <c r="C69" s="12" t="s">
        <v>21</v>
      </c>
      <c r="D69" s="11" t="s">
        <v>17</v>
      </c>
      <c r="E69" s="18">
        <v>44</v>
      </c>
      <c r="G69" s="11">
        <v>13</v>
      </c>
      <c r="AJ69" s="18" t="s">
        <v>99</v>
      </c>
      <c r="AK69" s="18"/>
      <c r="AL69" s="18"/>
      <c r="AM69" s="18"/>
      <c r="BH69" s="11" t="s">
        <v>22</v>
      </c>
      <c r="BI69" s="11">
        <v>1979</v>
      </c>
      <c r="BL69" s="18" t="s">
        <v>64</v>
      </c>
      <c r="BM69" s="18"/>
      <c r="BN69" s="11" t="s">
        <v>74</v>
      </c>
      <c r="BO69" s="11" t="s">
        <v>33</v>
      </c>
      <c r="BT69" s="18" t="s">
        <v>73</v>
      </c>
      <c r="BV69" s="11" t="s">
        <v>25</v>
      </c>
      <c r="BW69" s="11" t="s">
        <v>29</v>
      </c>
      <c r="BX69" s="11" t="s">
        <v>27</v>
      </c>
      <c r="BZ69" s="11" t="s">
        <v>50</v>
      </c>
      <c r="CB69" s="18">
        <v>6</v>
      </c>
    </row>
    <row r="70" spans="1:82" s="22" customFormat="1" ht="17" x14ac:dyDescent="0.2">
      <c r="A70" s="20" t="s">
        <v>75</v>
      </c>
      <c r="B70" s="21" t="s">
        <v>77</v>
      </c>
      <c r="C70" s="21" t="s">
        <v>78</v>
      </c>
      <c r="D70" s="20" t="s">
        <v>76</v>
      </c>
      <c r="E70" s="24">
        <v>12</v>
      </c>
      <c r="J70" s="24">
        <v>0.88</v>
      </c>
      <c r="K70" s="24">
        <v>0.14000000000000001</v>
      </c>
      <c r="L70" s="24">
        <v>0.3</v>
      </c>
      <c r="M70" s="24">
        <v>0.13</v>
      </c>
      <c r="N70" s="24">
        <f>0.95*1000</f>
        <v>950</v>
      </c>
      <c r="O70" s="24">
        <f>0.19*1000</f>
        <v>190</v>
      </c>
      <c r="P70" s="24"/>
      <c r="Q70" s="24"/>
      <c r="R70" s="24"/>
      <c r="S70" s="24"/>
      <c r="T70" s="24"/>
      <c r="U70" s="24"/>
      <c r="V70" s="24">
        <f>1.15 * 60</f>
        <v>69</v>
      </c>
      <c r="W70" s="24">
        <f>0.16*60</f>
        <v>9.6</v>
      </c>
      <c r="AH70" s="22" t="s">
        <v>39</v>
      </c>
      <c r="AI70" s="22" t="s">
        <v>88</v>
      </c>
      <c r="AJ70" s="24" t="s">
        <v>98</v>
      </c>
      <c r="AK70" s="24"/>
      <c r="AL70" s="24"/>
      <c r="AM70" s="24"/>
      <c r="BH70" s="22" t="s">
        <v>83</v>
      </c>
      <c r="BI70" s="24">
        <v>2015</v>
      </c>
      <c r="BJ70" s="24"/>
      <c r="BK70" s="24"/>
      <c r="BL70" s="23" t="s">
        <v>79</v>
      </c>
      <c r="BM70" s="20" t="s">
        <v>81</v>
      </c>
      <c r="BP70" s="24" t="s">
        <v>82</v>
      </c>
      <c r="BT70" s="25" t="s">
        <v>24</v>
      </c>
      <c r="BU70" s="22">
        <v>10</v>
      </c>
      <c r="BV70" s="22" t="s">
        <v>25</v>
      </c>
      <c r="BW70" s="22" t="s">
        <v>86</v>
      </c>
      <c r="BX70" s="22" t="s">
        <v>87</v>
      </c>
      <c r="BY70" s="22" t="s">
        <v>85</v>
      </c>
      <c r="BZ70" s="26" t="s">
        <v>50</v>
      </c>
      <c r="CB70" s="24">
        <v>1</v>
      </c>
      <c r="CD70" s="22" t="s">
        <v>94</v>
      </c>
    </row>
    <row r="71" spans="1:82" ht="17" x14ac:dyDescent="0.2">
      <c r="A71" s="20" t="s">
        <v>75</v>
      </c>
      <c r="B71" s="21" t="s">
        <v>77</v>
      </c>
      <c r="C71" s="21" t="s">
        <v>78</v>
      </c>
      <c r="D71" s="20" t="s">
        <v>76</v>
      </c>
      <c r="E71" s="24">
        <v>12</v>
      </c>
      <c r="J71" s="24">
        <v>1.26</v>
      </c>
      <c r="K71" s="24">
        <v>0.16</v>
      </c>
      <c r="L71" s="24">
        <v>0.51</v>
      </c>
      <c r="M71" s="24">
        <v>0.16</v>
      </c>
      <c r="N71" s="24">
        <f>1.44*1000</f>
        <v>1440</v>
      </c>
      <c r="O71" s="24">
        <f>0.11*1000</f>
        <v>110</v>
      </c>
      <c r="P71" s="24"/>
      <c r="Q71" s="24"/>
      <c r="R71" s="24"/>
      <c r="S71" s="24"/>
      <c r="T71" s="24"/>
      <c r="U71" s="24"/>
      <c r="V71" s="24">
        <f>0.78*60</f>
        <v>46.800000000000004</v>
      </c>
      <c r="W71" s="24">
        <f>0.17*60</f>
        <v>10.200000000000001</v>
      </c>
      <c r="AH71" s="26" t="s">
        <v>39</v>
      </c>
      <c r="AI71" s="26" t="s">
        <v>89</v>
      </c>
      <c r="AJ71" s="24" t="s">
        <v>98</v>
      </c>
      <c r="AK71" s="24"/>
      <c r="AL71" s="24"/>
      <c r="AM71" s="24"/>
      <c r="BH71" s="22" t="s">
        <v>83</v>
      </c>
      <c r="BI71" s="24">
        <v>2015</v>
      </c>
      <c r="BJ71" s="24"/>
      <c r="BK71" s="24"/>
      <c r="BL71" s="23" t="s">
        <v>79</v>
      </c>
      <c r="BM71" s="20" t="s">
        <v>81</v>
      </c>
      <c r="BP71" s="24" t="s">
        <v>82</v>
      </c>
      <c r="BQ71" s="22"/>
      <c r="BR71" s="22"/>
      <c r="BS71" s="22"/>
      <c r="BT71" s="25" t="s">
        <v>24</v>
      </c>
      <c r="BU71" s="22">
        <v>10</v>
      </c>
      <c r="BV71" s="22" t="s">
        <v>25</v>
      </c>
      <c r="BW71" s="22" t="s">
        <v>86</v>
      </c>
      <c r="BX71" s="22" t="s">
        <v>87</v>
      </c>
      <c r="BY71" s="26" t="s">
        <v>85</v>
      </c>
      <c r="BZ71" s="26" t="s">
        <v>50</v>
      </c>
      <c r="CB71" s="27">
        <v>1</v>
      </c>
      <c r="CD71" s="26" t="s">
        <v>94</v>
      </c>
    </row>
    <row r="72" spans="1:82" ht="17" x14ac:dyDescent="0.2">
      <c r="A72" s="20" t="s">
        <v>75</v>
      </c>
      <c r="B72" s="21" t="s">
        <v>77</v>
      </c>
      <c r="C72" s="21" t="s">
        <v>78</v>
      </c>
      <c r="D72" s="20" t="s">
        <v>76</v>
      </c>
      <c r="E72" s="24">
        <v>12</v>
      </c>
      <c r="J72" s="24">
        <v>1.58</v>
      </c>
      <c r="K72" s="24">
        <v>0.1</v>
      </c>
      <c r="L72" s="24">
        <v>0.98</v>
      </c>
      <c r="M72" s="24">
        <v>0.18</v>
      </c>
      <c r="N72" s="24">
        <f>3.57*1000</f>
        <v>3570</v>
      </c>
      <c r="O72" s="24">
        <f>0.16*1000</f>
        <v>160</v>
      </c>
      <c r="P72" s="24"/>
      <c r="Q72" s="24"/>
      <c r="R72" s="24"/>
      <c r="S72" s="24"/>
      <c r="T72" s="24"/>
      <c r="U72" s="24"/>
      <c r="V72" s="24">
        <f>1.3*60</f>
        <v>78</v>
      </c>
      <c r="W72" s="24">
        <f>0.16*60</f>
        <v>9.6</v>
      </c>
      <c r="AH72" s="26" t="s">
        <v>39</v>
      </c>
      <c r="AI72" s="26" t="s">
        <v>90</v>
      </c>
      <c r="AJ72" s="24" t="s">
        <v>98</v>
      </c>
      <c r="AK72" s="24"/>
      <c r="AL72" s="24"/>
      <c r="AM72" s="24"/>
      <c r="BH72" s="22" t="s">
        <v>83</v>
      </c>
      <c r="BI72" s="24">
        <v>2015</v>
      </c>
      <c r="BJ72" s="24"/>
      <c r="BK72" s="24"/>
      <c r="BL72" s="23" t="s">
        <v>79</v>
      </c>
      <c r="BM72" s="20" t="s">
        <v>81</v>
      </c>
      <c r="BP72" s="24" t="s">
        <v>82</v>
      </c>
      <c r="BQ72" s="22"/>
      <c r="BR72" s="22"/>
      <c r="BS72" s="22"/>
      <c r="BT72" s="25" t="s">
        <v>24</v>
      </c>
      <c r="BU72" s="22">
        <v>10</v>
      </c>
      <c r="BV72" s="22" t="s">
        <v>25</v>
      </c>
      <c r="BW72" s="22" t="s">
        <v>86</v>
      </c>
      <c r="BX72" s="22" t="s">
        <v>87</v>
      </c>
      <c r="BY72" s="26" t="s">
        <v>85</v>
      </c>
      <c r="BZ72" s="26" t="s">
        <v>50</v>
      </c>
      <c r="CB72" s="27">
        <v>1</v>
      </c>
      <c r="CD72" s="22" t="s">
        <v>94</v>
      </c>
    </row>
    <row r="73" spans="1:82" ht="17" x14ac:dyDescent="0.2">
      <c r="A73" s="20" t="s">
        <v>75</v>
      </c>
      <c r="B73" s="21" t="s">
        <v>77</v>
      </c>
      <c r="C73" s="21" t="s">
        <v>78</v>
      </c>
      <c r="D73" s="20" t="s">
        <v>76</v>
      </c>
      <c r="E73" s="24">
        <v>12</v>
      </c>
      <c r="J73" s="24">
        <v>1.08</v>
      </c>
      <c r="K73" s="24">
        <v>0.14000000000000001</v>
      </c>
      <c r="L73" s="24">
        <v>0.45</v>
      </c>
      <c r="M73" s="24">
        <v>0.19</v>
      </c>
      <c r="N73" s="24">
        <f>1.2*1000</f>
        <v>1200</v>
      </c>
      <c r="O73" s="24">
        <f>0.14*1000</f>
        <v>140</v>
      </c>
      <c r="P73" s="24"/>
      <c r="Q73" s="24"/>
      <c r="R73" s="24"/>
      <c r="S73" s="24"/>
      <c r="T73" s="24"/>
      <c r="U73" s="24"/>
      <c r="V73" s="24">
        <f>0.64*60</f>
        <v>38.4</v>
      </c>
      <c r="W73" s="24">
        <f>0.12*60</f>
        <v>7.1999999999999993</v>
      </c>
      <c r="AH73" s="26" t="s">
        <v>39</v>
      </c>
      <c r="AI73" s="26" t="s">
        <v>91</v>
      </c>
      <c r="AJ73" s="24" t="s">
        <v>98</v>
      </c>
      <c r="AK73" s="24"/>
      <c r="AL73" s="24"/>
      <c r="AM73" s="24"/>
      <c r="BH73" s="22" t="s">
        <v>83</v>
      </c>
      <c r="BI73" s="24">
        <v>2015</v>
      </c>
      <c r="BJ73" s="24"/>
      <c r="BK73" s="24"/>
      <c r="BL73" s="23" t="s">
        <v>79</v>
      </c>
      <c r="BM73" s="20" t="s">
        <v>81</v>
      </c>
      <c r="BP73" s="24" t="s">
        <v>82</v>
      </c>
      <c r="BQ73" s="22"/>
      <c r="BR73" s="22"/>
      <c r="BS73" s="22"/>
      <c r="BT73" s="25" t="s">
        <v>24</v>
      </c>
      <c r="BU73" s="22">
        <v>10</v>
      </c>
      <c r="BV73" s="22" t="s">
        <v>25</v>
      </c>
      <c r="BW73" s="22" t="s">
        <v>86</v>
      </c>
      <c r="BX73" s="22" t="s">
        <v>87</v>
      </c>
      <c r="BY73" s="26" t="s">
        <v>85</v>
      </c>
      <c r="BZ73" s="26" t="s">
        <v>50</v>
      </c>
      <c r="CB73" s="27">
        <v>1</v>
      </c>
      <c r="CD73" s="22" t="s">
        <v>94</v>
      </c>
    </row>
    <row r="74" spans="1:82" s="11" customFormat="1" ht="17" x14ac:dyDescent="0.2">
      <c r="A74" s="32" t="s">
        <v>75</v>
      </c>
      <c r="B74" s="33" t="s">
        <v>77</v>
      </c>
      <c r="C74" s="33" t="s">
        <v>78</v>
      </c>
      <c r="D74" s="32" t="s">
        <v>76</v>
      </c>
      <c r="E74" s="34">
        <v>12</v>
      </c>
      <c r="J74" s="34">
        <v>0.73</v>
      </c>
      <c r="K74" s="34">
        <v>0.14000000000000001</v>
      </c>
      <c r="L74" s="34">
        <v>0.33</v>
      </c>
      <c r="M74" s="34">
        <v>0.14000000000000001</v>
      </c>
      <c r="N74" s="34">
        <f>1.12*1000</f>
        <v>1120</v>
      </c>
      <c r="O74" s="34">
        <f>0.12*1000</f>
        <v>120</v>
      </c>
      <c r="P74" s="34"/>
      <c r="Q74" s="34"/>
      <c r="R74" s="34"/>
      <c r="S74" s="34"/>
      <c r="T74" s="34"/>
      <c r="U74" s="34"/>
      <c r="V74" s="35">
        <f>0.95*60</f>
        <v>57</v>
      </c>
      <c r="W74" s="34">
        <f>0.11*60</f>
        <v>6.6</v>
      </c>
      <c r="AH74" s="35" t="s">
        <v>39</v>
      </c>
      <c r="AI74" s="35" t="s">
        <v>92</v>
      </c>
      <c r="AJ74" s="34" t="s">
        <v>98</v>
      </c>
      <c r="AK74" s="34"/>
      <c r="AL74" s="34"/>
      <c r="AM74" s="34"/>
      <c r="BH74" s="36" t="s">
        <v>83</v>
      </c>
      <c r="BI74" s="34">
        <v>2015</v>
      </c>
      <c r="BJ74" s="34"/>
      <c r="BK74" s="34"/>
      <c r="BL74" s="37" t="s">
        <v>79</v>
      </c>
      <c r="BM74" s="32" t="s">
        <v>81</v>
      </c>
      <c r="BP74" s="34" t="s">
        <v>82</v>
      </c>
      <c r="BQ74" s="36"/>
      <c r="BR74" s="36"/>
      <c r="BS74" s="36"/>
      <c r="BT74" s="38" t="s">
        <v>24</v>
      </c>
      <c r="BU74" s="36">
        <v>10</v>
      </c>
      <c r="BV74" s="36" t="s">
        <v>25</v>
      </c>
      <c r="BW74" s="36" t="s">
        <v>86</v>
      </c>
      <c r="BX74" s="36" t="s">
        <v>87</v>
      </c>
      <c r="BY74" s="35" t="s">
        <v>85</v>
      </c>
      <c r="BZ74" s="35" t="s">
        <v>50</v>
      </c>
      <c r="CB74" s="39">
        <v>1</v>
      </c>
      <c r="CD74" s="36" t="s">
        <v>94</v>
      </c>
    </row>
    <row r="75" spans="1:82" s="22" customFormat="1" ht="17" x14ac:dyDescent="0.2">
      <c r="A75" s="20" t="s">
        <v>75</v>
      </c>
      <c r="B75" s="21" t="s">
        <v>77</v>
      </c>
      <c r="C75" s="21" t="s">
        <v>78</v>
      </c>
      <c r="D75" s="20" t="s">
        <v>76</v>
      </c>
      <c r="F75" s="20">
        <v>82</v>
      </c>
      <c r="G75" s="22">
        <v>212</v>
      </c>
      <c r="J75" s="22">
        <v>2.37</v>
      </c>
      <c r="K75" s="22">
        <v>0.15</v>
      </c>
      <c r="L75" s="22">
        <v>0.63</v>
      </c>
      <c r="M75" s="22">
        <v>0.03</v>
      </c>
      <c r="N75" s="22">
        <v>349.32</v>
      </c>
      <c r="O75" s="22">
        <v>18.09</v>
      </c>
      <c r="R75" s="22">
        <v>1559.58</v>
      </c>
      <c r="V75" s="22">
        <f>1125/60</f>
        <v>18.75</v>
      </c>
      <c r="W75" s="22">
        <f>70/60</f>
        <v>1.1666666666666667</v>
      </c>
      <c r="Z75" s="22">
        <v>27</v>
      </c>
      <c r="AA75" s="22">
        <v>5.34</v>
      </c>
      <c r="AB75" s="22">
        <v>0.32</v>
      </c>
      <c r="AE75" s="22" t="s">
        <v>114</v>
      </c>
      <c r="AJ75" s="24" t="s">
        <v>118</v>
      </c>
      <c r="AN75" s="22" t="s">
        <v>109</v>
      </c>
      <c r="AZ75" s="22">
        <v>16.2</v>
      </c>
      <c r="BA75" s="22">
        <v>0.13</v>
      </c>
      <c r="BB75" s="22">
        <v>8.59</v>
      </c>
      <c r="BC75" s="22">
        <v>0.19</v>
      </c>
      <c r="BD75" s="22">
        <v>4.88</v>
      </c>
      <c r="BE75" s="22">
        <v>0.02</v>
      </c>
      <c r="BF75" s="22">
        <v>14.03</v>
      </c>
      <c r="BG75" s="22">
        <v>0.3</v>
      </c>
      <c r="BH75" s="20" t="s">
        <v>100</v>
      </c>
      <c r="BI75" s="20">
        <v>2020</v>
      </c>
      <c r="BJ75" s="20"/>
      <c r="BK75" s="20"/>
      <c r="BL75" s="25" t="s">
        <v>103</v>
      </c>
      <c r="BM75" s="22" t="s">
        <v>110</v>
      </c>
      <c r="BN75" s="22" t="s">
        <v>111</v>
      </c>
      <c r="BO75" s="22" t="s">
        <v>102</v>
      </c>
      <c r="BP75" s="22">
        <v>2016</v>
      </c>
      <c r="BT75" s="25" t="s">
        <v>24</v>
      </c>
      <c r="BU75" s="22" t="s">
        <v>104</v>
      </c>
      <c r="BZ75" t="s">
        <v>50</v>
      </c>
      <c r="CD75" s="22" t="s">
        <v>94</v>
      </c>
    </row>
    <row r="76" spans="1:82" x14ac:dyDescent="0.2">
      <c r="A76" s="20" t="s">
        <v>75</v>
      </c>
      <c r="B76" s="21" t="s">
        <v>77</v>
      </c>
      <c r="C76" s="21" t="s">
        <v>78</v>
      </c>
      <c r="D76" s="20" t="s">
        <v>76</v>
      </c>
      <c r="F76">
        <v>1</v>
      </c>
      <c r="M76">
        <f>N76/(V76*60)</f>
        <v>0.43321666666666664</v>
      </c>
      <c r="N76" s="22">
        <v>1559.58</v>
      </c>
      <c r="O76" s="22"/>
      <c r="P76" s="22"/>
      <c r="Q76" s="22"/>
      <c r="V76">
        <v>60</v>
      </c>
      <c r="AE76" t="s">
        <v>114</v>
      </c>
      <c r="AH76" s="27" t="s">
        <v>40</v>
      </c>
      <c r="AI76" s="27" t="s">
        <v>89</v>
      </c>
      <c r="AJ76" s="40" t="s">
        <v>118</v>
      </c>
      <c r="AK76" s="40">
        <v>28</v>
      </c>
      <c r="AL76" s="40"/>
      <c r="AM76" s="40"/>
      <c r="AN76" t="s">
        <v>109</v>
      </c>
      <c r="BH76" s="20" t="s">
        <v>100</v>
      </c>
      <c r="BI76" s="20">
        <v>2020</v>
      </c>
      <c r="BJ76" s="20"/>
      <c r="BK76" s="20"/>
      <c r="BL76" s="19"/>
      <c r="BO76" s="22" t="s">
        <v>102</v>
      </c>
      <c r="BZ76" t="s">
        <v>50</v>
      </c>
      <c r="CD76" s="22" t="s">
        <v>94</v>
      </c>
    </row>
    <row r="77" spans="1:82" x14ac:dyDescent="0.2">
      <c r="A77" s="20" t="s">
        <v>75</v>
      </c>
      <c r="B77" s="21" t="s">
        <v>77</v>
      </c>
      <c r="C77" s="21" t="s">
        <v>78</v>
      </c>
      <c r="D77" s="20" t="s">
        <v>76</v>
      </c>
      <c r="F77">
        <v>31</v>
      </c>
      <c r="N77" s="22"/>
      <c r="O77" s="22"/>
      <c r="P77" s="22"/>
      <c r="Q77" s="22"/>
      <c r="V77">
        <v>60</v>
      </c>
      <c r="AE77" t="s">
        <v>114</v>
      </c>
      <c r="AH77" s="27"/>
      <c r="AI77" s="27"/>
      <c r="AJ77" s="40"/>
      <c r="AK77" s="40"/>
      <c r="AL77" s="40"/>
      <c r="AM77" s="40"/>
      <c r="AN77" t="s">
        <v>109</v>
      </c>
      <c r="BH77" s="20" t="s">
        <v>100</v>
      </c>
      <c r="BI77" s="20">
        <v>2020</v>
      </c>
      <c r="BJ77" s="20"/>
      <c r="BK77" s="20"/>
      <c r="BL77" s="19"/>
      <c r="BO77" s="22" t="s">
        <v>102</v>
      </c>
      <c r="BZ77" t="s">
        <v>50</v>
      </c>
      <c r="CD77" s="22" t="s">
        <v>94</v>
      </c>
    </row>
    <row r="78" spans="1:82" x14ac:dyDescent="0.2">
      <c r="A78" s="20" t="s">
        <v>75</v>
      </c>
      <c r="B78" s="21" t="s">
        <v>77</v>
      </c>
      <c r="C78" s="21" t="s">
        <v>78</v>
      </c>
      <c r="D78" s="20" t="s">
        <v>76</v>
      </c>
      <c r="F78">
        <v>1</v>
      </c>
      <c r="J78">
        <v>9.6199999999999992</v>
      </c>
      <c r="N78" s="22"/>
      <c r="O78" s="22"/>
      <c r="P78" s="22"/>
      <c r="Q78" s="22"/>
      <c r="AE78" t="s">
        <v>114</v>
      </c>
      <c r="AH78" s="27"/>
      <c r="AI78" s="27" t="s">
        <v>89</v>
      </c>
      <c r="AJ78" s="40" t="s">
        <v>118</v>
      </c>
      <c r="AK78" s="40">
        <v>24</v>
      </c>
      <c r="AL78" s="40"/>
      <c r="AM78" s="40"/>
      <c r="AN78" t="s">
        <v>109</v>
      </c>
      <c r="BH78" s="20" t="s">
        <v>100</v>
      </c>
      <c r="BI78" s="20">
        <v>2020</v>
      </c>
      <c r="BJ78" s="20"/>
      <c r="BK78" s="20"/>
      <c r="BL78" s="19"/>
      <c r="BO78" s="22" t="s">
        <v>102</v>
      </c>
      <c r="BZ78" t="s">
        <v>50</v>
      </c>
      <c r="CD78" s="22" t="s">
        <v>94</v>
      </c>
    </row>
    <row r="79" spans="1:82" x14ac:dyDescent="0.2">
      <c r="A79" s="20" t="s">
        <v>75</v>
      </c>
      <c r="B79" s="21" t="s">
        <v>77</v>
      </c>
      <c r="C79" s="21" t="s">
        <v>78</v>
      </c>
      <c r="D79" s="20" t="s">
        <v>76</v>
      </c>
      <c r="F79" s="20" t="s">
        <v>120</v>
      </c>
      <c r="P79">
        <v>175</v>
      </c>
      <c r="AA79">
        <v>6</v>
      </c>
      <c r="AE79" t="s">
        <v>114</v>
      </c>
      <c r="AJ79" s="40" t="s">
        <v>118</v>
      </c>
      <c r="AK79">
        <v>12</v>
      </c>
      <c r="AN79" t="s">
        <v>109</v>
      </c>
      <c r="BH79" s="20" t="s">
        <v>100</v>
      </c>
      <c r="BI79" s="20">
        <v>2020</v>
      </c>
      <c r="BJ79" s="20"/>
      <c r="BK79" s="20"/>
      <c r="BL79" s="19"/>
      <c r="BO79" s="22" t="s">
        <v>102</v>
      </c>
      <c r="BZ79" t="s">
        <v>50</v>
      </c>
      <c r="CA79">
        <v>2</v>
      </c>
      <c r="CD79" s="22" t="s">
        <v>94</v>
      </c>
    </row>
    <row r="80" spans="1:82" x14ac:dyDescent="0.2">
      <c r="A80" s="20" t="s">
        <v>75</v>
      </c>
      <c r="B80" s="21" t="s">
        <v>77</v>
      </c>
      <c r="C80" s="21" t="s">
        <v>78</v>
      </c>
      <c r="D80" s="20" t="s">
        <v>76</v>
      </c>
      <c r="F80" s="20" t="s">
        <v>120</v>
      </c>
      <c r="P80">
        <v>310</v>
      </c>
      <c r="AA80">
        <v>6</v>
      </c>
      <c r="AE80" t="s">
        <v>114</v>
      </c>
      <c r="AJ80" s="40" t="s">
        <v>118</v>
      </c>
      <c r="AK80">
        <v>16</v>
      </c>
      <c r="AN80" t="s">
        <v>109</v>
      </c>
      <c r="BH80" s="20" t="s">
        <v>100</v>
      </c>
      <c r="BI80" s="20">
        <v>2020</v>
      </c>
      <c r="BJ80" s="20"/>
      <c r="BK80" s="20"/>
      <c r="BL80" s="19"/>
      <c r="BO80" s="22" t="s">
        <v>102</v>
      </c>
      <c r="BZ80" t="s">
        <v>50</v>
      </c>
      <c r="CA80">
        <v>2</v>
      </c>
      <c r="CD80" s="22" t="s">
        <v>94</v>
      </c>
    </row>
    <row r="81" spans="1:82" x14ac:dyDescent="0.2">
      <c r="A81" s="20" t="s">
        <v>75</v>
      </c>
      <c r="B81" s="21" t="s">
        <v>77</v>
      </c>
      <c r="C81" s="21" t="s">
        <v>78</v>
      </c>
      <c r="D81" s="20" t="s">
        <v>76</v>
      </c>
      <c r="F81" s="20" t="s">
        <v>120</v>
      </c>
      <c r="P81">
        <v>500</v>
      </c>
      <c r="AA81">
        <v>4</v>
      </c>
      <c r="AE81" t="s">
        <v>114</v>
      </c>
      <c r="AJ81" s="40" t="s">
        <v>118</v>
      </c>
      <c r="AK81">
        <v>20</v>
      </c>
      <c r="AN81" t="s">
        <v>109</v>
      </c>
      <c r="BH81" s="20" t="s">
        <v>100</v>
      </c>
      <c r="BI81" s="20">
        <v>2020</v>
      </c>
      <c r="BJ81" s="20"/>
      <c r="BK81" s="20"/>
      <c r="BL81" s="19"/>
      <c r="BO81" s="22" t="s">
        <v>102</v>
      </c>
      <c r="BZ81" t="s">
        <v>50</v>
      </c>
      <c r="CA81">
        <v>2</v>
      </c>
      <c r="CD81" s="22" t="s">
        <v>94</v>
      </c>
    </row>
    <row r="82" spans="1:82" x14ac:dyDescent="0.2">
      <c r="A82" s="20" t="s">
        <v>75</v>
      </c>
      <c r="B82" s="21" t="s">
        <v>77</v>
      </c>
      <c r="C82" s="21" t="s">
        <v>78</v>
      </c>
      <c r="D82" s="20" t="s">
        <v>76</v>
      </c>
      <c r="F82" s="20" t="s">
        <v>120</v>
      </c>
      <c r="P82">
        <v>440</v>
      </c>
      <c r="AA82">
        <v>3</v>
      </c>
      <c r="AE82" t="s">
        <v>114</v>
      </c>
      <c r="AJ82" s="40" t="s">
        <v>118</v>
      </c>
      <c r="AK82">
        <v>24</v>
      </c>
      <c r="AN82" t="s">
        <v>109</v>
      </c>
      <c r="BH82" s="20" t="s">
        <v>100</v>
      </c>
      <c r="BI82" s="20">
        <v>2020</v>
      </c>
      <c r="BJ82" s="20"/>
      <c r="BK82" s="20"/>
      <c r="BL82" s="19"/>
      <c r="BO82" s="22" t="s">
        <v>102</v>
      </c>
      <c r="BZ82" t="s">
        <v>50</v>
      </c>
      <c r="CA82">
        <v>2</v>
      </c>
      <c r="CD82" s="22" t="s">
        <v>94</v>
      </c>
    </row>
    <row r="83" spans="1:82" x14ac:dyDescent="0.2">
      <c r="A83" s="20" t="s">
        <v>75</v>
      </c>
      <c r="B83" s="21" t="s">
        <v>77</v>
      </c>
      <c r="C83" s="21" t="s">
        <v>78</v>
      </c>
      <c r="D83" s="20" t="s">
        <v>76</v>
      </c>
      <c r="F83" s="20" t="s">
        <v>120</v>
      </c>
      <c r="P83">
        <v>370</v>
      </c>
      <c r="AA83">
        <v>4</v>
      </c>
      <c r="AE83" t="s">
        <v>114</v>
      </c>
      <c r="AJ83" s="40" t="s">
        <v>118</v>
      </c>
      <c r="AK83">
        <v>28</v>
      </c>
      <c r="AN83" t="s">
        <v>109</v>
      </c>
      <c r="BH83" s="20" t="s">
        <v>100</v>
      </c>
      <c r="BI83" s="20">
        <v>2020</v>
      </c>
      <c r="BJ83" s="20"/>
      <c r="BK83" s="20"/>
      <c r="BL83" s="19"/>
      <c r="BO83" s="22" t="s">
        <v>102</v>
      </c>
      <c r="BZ83" t="s">
        <v>50</v>
      </c>
      <c r="CA83">
        <v>2</v>
      </c>
      <c r="CD83" s="22" t="s">
        <v>94</v>
      </c>
    </row>
    <row r="84" spans="1:82" x14ac:dyDescent="0.2">
      <c r="A84" s="20" t="s">
        <v>75</v>
      </c>
      <c r="B84" s="21" t="s">
        <v>77</v>
      </c>
      <c r="C84" s="21" t="s">
        <v>78</v>
      </c>
      <c r="D84" s="20" t="s">
        <v>76</v>
      </c>
      <c r="F84" s="20" t="s">
        <v>120</v>
      </c>
      <c r="P84">
        <v>400</v>
      </c>
      <c r="AA84">
        <v>6</v>
      </c>
      <c r="AE84" t="s">
        <v>114</v>
      </c>
      <c r="AJ84" s="40" t="s">
        <v>118</v>
      </c>
      <c r="AK84">
        <v>32</v>
      </c>
      <c r="AN84" t="s">
        <v>109</v>
      </c>
      <c r="BH84" s="20" t="s">
        <v>100</v>
      </c>
      <c r="BI84" s="20">
        <v>2020</v>
      </c>
      <c r="BJ84" s="20"/>
      <c r="BK84" s="20"/>
      <c r="BL84" s="19"/>
      <c r="BO84" s="22" t="s">
        <v>102</v>
      </c>
      <c r="BZ84" t="s">
        <v>50</v>
      </c>
      <c r="CA84">
        <v>2</v>
      </c>
      <c r="CD84" s="22" t="s">
        <v>94</v>
      </c>
    </row>
    <row r="85" spans="1:82" x14ac:dyDescent="0.2">
      <c r="A85" s="20" t="s">
        <v>75</v>
      </c>
      <c r="B85" s="21" t="s">
        <v>77</v>
      </c>
      <c r="C85" s="21" t="s">
        <v>78</v>
      </c>
      <c r="D85" s="20" t="s">
        <v>76</v>
      </c>
      <c r="F85" s="20" t="s">
        <v>120</v>
      </c>
      <c r="P85">
        <v>270</v>
      </c>
      <c r="AA85">
        <v>8</v>
      </c>
      <c r="AE85" t="s">
        <v>114</v>
      </c>
      <c r="AJ85" s="40" t="s">
        <v>118</v>
      </c>
      <c r="AK85">
        <v>36</v>
      </c>
      <c r="AN85" t="s">
        <v>109</v>
      </c>
      <c r="BH85" s="20" t="s">
        <v>100</v>
      </c>
      <c r="BI85" s="20">
        <v>2020</v>
      </c>
      <c r="BJ85" s="20"/>
      <c r="BK85" s="20"/>
      <c r="BL85" s="19"/>
      <c r="BO85" s="22" t="s">
        <v>102</v>
      </c>
      <c r="BZ85" t="s">
        <v>50</v>
      </c>
      <c r="CA85">
        <v>2</v>
      </c>
      <c r="CD85" s="22" t="s">
        <v>94</v>
      </c>
    </row>
    <row r="86" spans="1:82" s="41" customFormat="1" x14ac:dyDescent="0.2">
      <c r="A86" s="20" t="s">
        <v>75</v>
      </c>
      <c r="B86" s="21" t="s">
        <v>77</v>
      </c>
      <c r="C86" s="21" t="s">
        <v>78</v>
      </c>
      <c r="D86" s="20" t="s">
        <v>76</v>
      </c>
      <c r="F86" s="20" t="s">
        <v>120</v>
      </c>
      <c r="P86" s="41">
        <v>250</v>
      </c>
      <c r="AE86" t="s">
        <v>114</v>
      </c>
      <c r="AF86"/>
      <c r="AG86"/>
      <c r="AI86" s="41" t="s">
        <v>122</v>
      </c>
      <c r="AJ86" s="40" t="s">
        <v>118</v>
      </c>
      <c r="AN86" s="41" t="s">
        <v>109</v>
      </c>
      <c r="BH86" s="20" t="s">
        <v>100</v>
      </c>
      <c r="BI86" s="20">
        <v>2020</v>
      </c>
      <c r="BJ86" s="20"/>
      <c r="BK86" s="20"/>
      <c r="BL86" s="42"/>
      <c r="BO86" s="22" t="s">
        <v>102</v>
      </c>
      <c r="BZ86" t="s">
        <v>50</v>
      </c>
      <c r="CA86" s="41">
        <v>3</v>
      </c>
      <c r="CD86" s="22" t="s">
        <v>94</v>
      </c>
    </row>
    <row r="87" spans="1:82" x14ac:dyDescent="0.2">
      <c r="A87" s="20" t="s">
        <v>75</v>
      </c>
      <c r="B87" s="21" t="s">
        <v>77</v>
      </c>
      <c r="C87" s="21" t="s">
        <v>78</v>
      </c>
      <c r="D87" s="20" t="s">
        <v>76</v>
      </c>
      <c r="F87" s="20" t="s">
        <v>120</v>
      </c>
      <c r="P87">
        <v>400</v>
      </c>
      <c r="AE87" t="s">
        <v>114</v>
      </c>
      <c r="AI87" t="s">
        <v>89</v>
      </c>
      <c r="AJ87" s="40" t="s">
        <v>118</v>
      </c>
      <c r="AN87" t="s">
        <v>109</v>
      </c>
      <c r="BH87" s="20" t="s">
        <v>100</v>
      </c>
      <c r="BI87" s="20">
        <v>2020</v>
      </c>
      <c r="BJ87" s="20"/>
      <c r="BK87" s="20"/>
      <c r="BL87" s="19"/>
      <c r="BO87" s="22" t="s">
        <v>102</v>
      </c>
      <c r="BZ87" t="s">
        <v>50</v>
      </c>
      <c r="CA87">
        <v>3</v>
      </c>
      <c r="CD87" s="22" t="s">
        <v>94</v>
      </c>
    </row>
    <row r="88" spans="1:82" x14ac:dyDescent="0.2">
      <c r="A88" s="20" t="s">
        <v>75</v>
      </c>
      <c r="B88" s="21" t="s">
        <v>77</v>
      </c>
      <c r="C88" s="21" t="s">
        <v>78</v>
      </c>
      <c r="D88" s="20" t="s">
        <v>76</v>
      </c>
      <c r="F88" s="20" t="s">
        <v>120</v>
      </c>
      <c r="P88">
        <v>380</v>
      </c>
      <c r="AE88" t="s">
        <v>114</v>
      </c>
      <c r="AI88" t="s">
        <v>123</v>
      </c>
      <c r="AJ88" s="40" t="s">
        <v>118</v>
      </c>
      <c r="AN88" t="s">
        <v>109</v>
      </c>
      <c r="BH88" s="20" t="s">
        <v>100</v>
      </c>
      <c r="BI88" s="20">
        <v>2020</v>
      </c>
      <c r="BJ88" s="20"/>
      <c r="BK88" s="20"/>
      <c r="BL88" s="19"/>
      <c r="BO88" s="22" t="s">
        <v>102</v>
      </c>
      <c r="BZ88" t="s">
        <v>50</v>
      </c>
      <c r="CA88">
        <v>3</v>
      </c>
      <c r="CD88" s="22" t="s">
        <v>94</v>
      </c>
    </row>
    <row r="89" spans="1:82" s="41" customFormat="1" x14ac:dyDescent="0.2">
      <c r="A89" s="20" t="s">
        <v>75</v>
      </c>
      <c r="B89" s="21" t="s">
        <v>77</v>
      </c>
      <c r="C89" s="21" t="s">
        <v>78</v>
      </c>
      <c r="D89" s="20" t="s">
        <v>76</v>
      </c>
      <c r="F89" s="20" t="s">
        <v>120</v>
      </c>
      <c r="T89" s="41">
        <v>2500</v>
      </c>
      <c r="AE89" t="s">
        <v>114</v>
      </c>
      <c r="AF89"/>
      <c r="AG89"/>
      <c r="AJ89" s="40" t="s">
        <v>118</v>
      </c>
      <c r="AK89" s="41">
        <v>12</v>
      </c>
      <c r="AN89" s="41" t="s">
        <v>109</v>
      </c>
      <c r="BH89" s="20" t="s">
        <v>100</v>
      </c>
      <c r="BI89" s="20">
        <v>2020</v>
      </c>
      <c r="BJ89" s="20"/>
      <c r="BK89" s="20"/>
      <c r="BL89" s="42"/>
      <c r="BO89" s="22" t="s">
        <v>102</v>
      </c>
      <c r="BZ89" t="s">
        <v>50</v>
      </c>
      <c r="CA89" s="41">
        <v>4</v>
      </c>
      <c r="CD89" s="22" t="s">
        <v>94</v>
      </c>
    </row>
    <row r="90" spans="1:82" s="41" customFormat="1" x14ac:dyDescent="0.2">
      <c r="A90" s="20" t="s">
        <v>75</v>
      </c>
      <c r="B90" s="21" t="s">
        <v>77</v>
      </c>
      <c r="C90" s="21" t="s">
        <v>78</v>
      </c>
      <c r="D90" s="20" t="s">
        <v>76</v>
      </c>
      <c r="F90" s="20" t="s">
        <v>120</v>
      </c>
      <c r="T90" s="41">
        <v>3300</v>
      </c>
      <c r="AE90" t="s">
        <v>114</v>
      </c>
      <c r="AF90"/>
      <c r="AG90"/>
      <c r="AJ90" s="40" t="s">
        <v>118</v>
      </c>
      <c r="AK90" s="41">
        <v>16</v>
      </c>
      <c r="AN90" s="41" t="s">
        <v>109</v>
      </c>
      <c r="BH90" s="20" t="s">
        <v>100</v>
      </c>
      <c r="BI90" s="20">
        <v>2020</v>
      </c>
      <c r="BJ90" s="20"/>
      <c r="BK90" s="20"/>
      <c r="BL90" s="42"/>
      <c r="BO90" s="22" t="s">
        <v>102</v>
      </c>
      <c r="BZ90" t="s">
        <v>50</v>
      </c>
      <c r="CA90" s="41">
        <v>4</v>
      </c>
      <c r="CD90" s="22" t="s">
        <v>94</v>
      </c>
    </row>
    <row r="91" spans="1:82" s="41" customFormat="1" x14ac:dyDescent="0.2">
      <c r="A91" s="20" t="s">
        <v>75</v>
      </c>
      <c r="B91" s="21" t="s">
        <v>77</v>
      </c>
      <c r="C91" s="21" t="s">
        <v>78</v>
      </c>
      <c r="D91" s="20" t="s">
        <v>76</v>
      </c>
      <c r="F91" s="20" t="s">
        <v>120</v>
      </c>
      <c r="T91" s="41">
        <v>3300</v>
      </c>
      <c r="AE91" t="s">
        <v>114</v>
      </c>
      <c r="AF91"/>
      <c r="AG91"/>
      <c r="AJ91" s="40" t="s">
        <v>118</v>
      </c>
      <c r="AK91" s="41">
        <v>20</v>
      </c>
      <c r="AN91" s="41" t="s">
        <v>109</v>
      </c>
      <c r="BH91" s="20" t="s">
        <v>100</v>
      </c>
      <c r="BI91" s="20">
        <v>2020</v>
      </c>
      <c r="BJ91" s="20"/>
      <c r="BK91" s="20"/>
      <c r="BL91" s="42"/>
      <c r="BO91" s="22" t="s">
        <v>102</v>
      </c>
      <c r="BZ91" t="s">
        <v>50</v>
      </c>
      <c r="CA91" s="41">
        <v>4</v>
      </c>
      <c r="CD91" s="22" t="s">
        <v>94</v>
      </c>
    </row>
    <row r="92" spans="1:82" s="41" customFormat="1" x14ac:dyDescent="0.2">
      <c r="A92" s="20" t="s">
        <v>75</v>
      </c>
      <c r="B92" s="21" t="s">
        <v>77</v>
      </c>
      <c r="C92" s="21" t="s">
        <v>78</v>
      </c>
      <c r="D92" s="20" t="s">
        <v>76</v>
      </c>
      <c r="F92" s="20" t="s">
        <v>120</v>
      </c>
      <c r="T92" s="41">
        <v>3200</v>
      </c>
      <c r="AE92" t="s">
        <v>114</v>
      </c>
      <c r="AF92"/>
      <c r="AG92"/>
      <c r="AJ92" s="40" t="s">
        <v>118</v>
      </c>
      <c r="AK92" s="41">
        <v>24</v>
      </c>
      <c r="AN92" s="41" t="s">
        <v>109</v>
      </c>
      <c r="BH92" s="20" t="s">
        <v>100</v>
      </c>
      <c r="BI92" s="20">
        <v>2020</v>
      </c>
      <c r="BJ92" s="20"/>
      <c r="BK92" s="20"/>
      <c r="BL92" s="42"/>
      <c r="BO92" s="22" t="s">
        <v>102</v>
      </c>
      <c r="BZ92" t="s">
        <v>50</v>
      </c>
      <c r="CA92" s="41">
        <v>4</v>
      </c>
      <c r="CD92" s="22" t="s">
        <v>94</v>
      </c>
    </row>
    <row r="93" spans="1:82" s="41" customFormat="1" x14ac:dyDescent="0.2">
      <c r="A93" s="20" t="s">
        <v>75</v>
      </c>
      <c r="B93" s="21" t="s">
        <v>77</v>
      </c>
      <c r="C93" s="21" t="s">
        <v>78</v>
      </c>
      <c r="D93" s="20" t="s">
        <v>76</v>
      </c>
      <c r="F93" s="20" t="s">
        <v>120</v>
      </c>
      <c r="T93" s="41">
        <v>3000</v>
      </c>
      <c r="AE93" t="s">
        <v>114</v>
      </c>
      <c r="AF93"/>
      <c r="AG93"/>
      <c r="AJ93" s="40" t="s">
        <v>118</v>
      </c>
      <c r="AK93" s="41">
        <v>28</v>
      </c>
      <c r="AN93" s="41" t="s">
        <v>109</v>
      </c>
      <c r="BH93" s="20" t="s">
        <v>100</v>
      </c>
      <c r="BI93" s="20">
        <v>2020</v>
      </c>
      <c r="BJ93" s="20"/>
      <c r="BK93" s="20"/>
      <c r="BO93" s="22" t="s">
        <v>102</v>
      </c>
      <c r="BZ93" t="s">
        <v>50</v>
      </c>
      <c r="CA93" s="41">
        <v>4</v>
      </c>
      <c r="CD93" s="22" t="s">
        <v>94</v>
      </c>
    </row>
    <row r="94" spans="1:82" s="41" customFormat="1" x14ac:dyDescent="0.2">
      <c r="A94" s="20" t="s">
        <v>75</v>
      </c>
      <c r="B94" s="21" t="s">
        <v>77</v>
      </c>
      <c r="C94" s="21" t="s">
        <v>78</v>
      </c>
      <c r="D94" s="20" t="s">
        <v>76</v>
      </c>
      <c r="F94" s="20" t="s">
        <v>120</v>
      </c>
      <c r="T94" s="41">
        <v>3300</v>
      </c>
      <c r="AE94" t="s">
        <v>114</v>
      </c>
      <c r="AF94"/>
      <c r="AG94"/>
      <c r="AJ94" s="40" t="s">
        <v>118</v>
      </c>
      <c r="AK94" s="41">
        <v>32</v>
      </c>
      <c r="AN94" s="41" t="s">
        <v>109</v>
      </c>
      <c r="BH94" s="20" t="s">
        <v>100</v>
      </c>
      <c r="BI94" s="20">
        <v>2020</v>
      </c>
      <c r="BJ94" s="20"/>
      <c r="BK94" s="20"/>
      <c r="BO94" s="22" t="s">
        <v>102</v>
      </c>
      <c r="BZ94" t="s">
        <v>50</v>
      </c>
      <c r="CA94" s="41">
        <v>4</v>
      </c>
      <c r="CD94" s="22" t="s">
        <v>94</v>
      </c>
    </row>
    <row r="95" spans="1:82" s="41" customFormat="1" x14ac:dyDescent="0.2">
      <c r="A95" s="20" t="s">
        <v>75</v>
      </c>
      <c r="B95" s="21" t="s">
        <v>77</v>
      </c>
      <c r="C95" s="21" t="s">
        <v>78</v>
      </c>
      <c r="D95" s="20" t="s">
        <v>76</v>
      </c>
      <c r="F95" s="20" t="s">
        <v>120</v>
      </c>
      <c r="T95" s="41">
        <v>3300</v>
      </c>
      <c r="AE95" t="s">
        <v>114</v>
      </c>
      <c r="AF95"/>
      <c r="AG95"/>
      <c r="AJ95" s="40" t="s">
        <v>118</v>
      </c>
      <c r="AK95" s="41">
        <v>36</v>
      </c>
      <c r="AN95" s="41" t="s">
        <v>109</v>
      </c>
      <c r="BH95" s="20" t="s">
        <v>100</v>
      </c>
      <c r="BI95" s="20">
        <v>2020</v>
      </c>
      <c r="BJ95" s="20"/>
      <c r="BK95" s="20"/>
      <c r="BO95" s="22" t="s">
        <v>102</v>
      </c>
      <c r="BZ95" t="s">
        <v>50</v>
      </c>
      <c r="CA95" s="41">
        <v>4</v>
      </c>
      <c r="CD95" s="22" t="s">
        <v>94</v>
      </c>
    </row>
    <row r="96" spans="1:82" s="41" customFormat="1" x14ac:dyDescent="0.2">
      <c r="A96" s="20" t="s">
        <v>75</v>
      </c>
      <c r="B96" s="21" t="s">
        <v>77</v>
      </c>
      <c r="C96" s="21" t="s">
        <v>78</v>
      </c>
      <c r="D96" s="20" t="s">
        <v>76</v>
      </c>
      <c r="F96" s="20" t="s">
        <v>120</v>
      </c>
      <c r="J96" s="41">
        <v>3</v>
      </c>
      <c r="AE96" t="s">
        <v>114</v>
      </c>
      <c r="AF96"/>
      <c r="AG96"/>
      <c r="AJ96" s="40" t="s">
        <v>118</v>
      </c>
      <c r="AK96" s="41">
        <v>12</v>
      </c>
      <c r="AN96" s="41" t="s">
        <v>109</v>
      </c>
      <c r="BH96" s="20" t="s">
        <v>100</v>
      </c>
      <c r="BI96" s="20">
        <v>2020</v>
      </c>
      <c r="BJ96" s="20"/>
      <c r="BK96" s="20"/>
      <c r="BO96" s="22" t="s">
        <v>102</v>
      </c>
      <c r="BZ96" t="s">
        <v>50</v>
      </c>
      <c r="CA96" s="41">
        <v>5</v>
      </c>
      <c r="CD96" s="22" t="s">
        <v>94</v>
      </c>
    </row>
    <row r="97" spans="1:82" s="41" customFormat="1" x14ac:dyDescent="0.2">
      <c r="A97" s="20" t="s">
        <v>75</v>
      </c>
      <c r="B97" s="21" t="s">
        <v>77</v>
      </c>
      <c r="C97" s="21" t="s">
        <v>78</v>
      </c>
      <c r="D97" s="20" t="s">
        <v>76</v>
      </c>
      <c r="F97" s="20" t="s">
        <v>120</v>
      </c>
      <c r="J97" s="41">
        <v>3</v>
      </c>
      <c r="AE97" t="s">
        <v>114</v>
      </c>
      <c r="AF97"/>
      <c r="AG97"/>
      <c r="AJ97" s="40" t="s">
        <v>118</v>
      </c>
      <c r="AK97" s="41">
        <v>16</v>
      </c>
      <c r="AN97" s="41" t="s">
        <v>109</v>
      </c>
      <c r="BH97" s="20" t="s">
        <v>100</v>
      </c>
      <c r="BI97" s="20">
        <v>2020</v>
      </c>
      <c r="BJ97" s="20"/>
      <c r="BK97" s="20"/>
      <c r="BO97" s="22" t="s">
        <v>102</v>
      </c>
      <c r="BZ97" t="s">
        <v>50</v>
      </c>
      <c r="CA97" s="41">
        <v>5</v>
      </c>
      <c r="CD97" s="22" t="s">
        <v>94</v>
      </c>
    </row>
    <row r="98" spans="1:82" s="41" customFormat="1" x14ac:dyDescent="0.2">
      <c r="A98" s="20" t="s">
        <v>75</v>
      </c>
      <c r="B98" s="21" t="s">
        <v>77</v>
      </c>
      <c r="C98" s="21" t="s">
        <v>78</v>
      </c>
      <c r="D98" s="20" t="s">
        <v>76</v>
      </c>
      <c r="F98" s="20" t="s">
        <v>120</v>
      </c>
      <c r="J98" s="41">
        <v>2.2000000000000002</v>
      </c>
      <c r="AE98" t="s">
        <v>114</v>
      </c>
      <c r="AF98"/>
      <c r="AG98"/>
      <c r="AJ98" s="40" t="s">
        <v>118</v>
      </c>
      <c r="AK98" s="41">
        <v>20</v>
      </c>
      <c r="AN98" s="41" t="s">
        <v>109</v>
      </c>
      <c r="BH98" s="20" t="s">
        <v>100</v>
      </c>
      <c r="BI98" s="20">
        <v>2020</v>
      </c>
      <c r="BJ98" s="20"/>
      <c r="BK98" s="20"/>
      <c r="BO98" s="22" t="s">
        <v>102</v>
      </c>
      <c r="BZ98" t="s">
        <v>50</v>
      </c>
      <c r="CA98" s="41">
        <v>5</v>
      </c>
      <c r="CD98" s="22" t="s">
        <v>94</v>
      </c>
    </row>
    <row r="99" spans="1:82" s="41" customFormat="1" x14ac:dyDescent="0.2">
      <c r="A99" s="20" t="s">
        <v>75</v>
      </c>
      <c r="B99" s="21" t="s">
        <v>77</v>
      </c>
      <c r="C99" s="21" t="s">
        <v>78</v>
      </c>
      <c r="D99" s="20" t="s">
        <v>76</v>
      </c>
      <c r="F99" s="20" t="s">
        <v>120</v>
      </c>
      <c r="J99" s="41">
        <v>2</v>
      </c>
      <c r="AE99" t="s">
        <v>114</v>
      </c>
      <c r="AF99"/>
      <c r="AG99"/>
      <c r="AJ99" s="40" t="s">
        <v>118</v>
      </c>
      <c r="AK99" s="41">
        <v>24</v>
      </c>
      <c r="AN99" s="41" t="s">
        <v>109</v>
      </c>
      <c r="BH99" s="20" t="s">
        <v>100</v>
      </c>
      <c r="BI99" s="20">
        <v>2020</v>
      </c>
      <c r="BJ99" s="20"/>
      <c r="BK99" s="20"/>
      <c r="BO99" s="22" t="s">
        <v>102</v>
      </c>
      <c r="BZ99" t="s">
        <v>50</v>
      </c>
      <c r="CA99" s="41">
        <v>5</v>
      </c>
      <c r="CD99" s="22" t="s">
        <v>94</v>
      </c>
    </row>
    <row r="100" spans="1:82" s="41" customFormat="1" x14ac:dyDescent="0.2">
      <c r="A100" s="20" t="s">
        <v>75</v>
      </c>
      <c r="B100" s="21" t="s">
        <v>77</v>
      </c>
      <c r="C100" s="21" t="s">
        <v>78</v>
      </c>
      <c r="D100" s="20" t="s">
        <v>76</v>
      </c>
      <c r="F100" s="20" t="s">
        <v>120</v>
      </c>
      <c r="J100" s="41">
        <v>2</v>
      </c>
      <c r="AE100" t="s">
        <v>114</v>
      </c>
      <c r="AF100"/>
      <c r="AG100"/>
      <c r="AJ100" s="40" t="s">
        <v>118</v>
      </c>
      <c r="AK100" s="41">
        <v>28</v>
      </c>
      <c r="AN100" s="41" t="s">
        <v>109</v>
      </c>
      <c r="BH100" s="20" t="s">
        <v>100</v>
      </c>
      <c r="BI100" s="20">
        <v>2020</v>
      </c>
      <c r="BJ100" s="20"/>
      <c r="BK100" s="20"/>
      <c r="BO100" s="22" t="s">
        <v>102</v>
      </c>
      <c r="BZ100" t="s">
        <v>50</v>
      </c>
      <c r="CA100" s="41">
        <v>5</v>
      </c>
      <c r="CD100" s="22" t="s">
        <v>94</v>
      </c>
    </row>
    <row r="101" spans="1:82" s="41" customFormat="1" x14ac:dyDescent="0.2">
      <c r="A101" s="20" t="s">
        <v>75</v>
      </c>
      <c r="B101" s="21" t="s">
        <v>77</v>
      </c>
      <c r="C101" s="21" t="s">
        <v>78</v>
      </c>
      <c r="D101" s="20" t="s">
        <v>76</v>
      </c>
      <c r="F101" s="20" t="s">
        <v>120</v>
      </c>
      <c r="J101" s="41">
        <v>1.5</v>
      </c>
      <c r="AE101" t="s">
        <v>114</v>
      </c>
      <c r="AF101"/>
      <c r="AG101"/>
      <c r="AJ101" s="40" t="s">
        <v>118</v>
      </c>
      <c r="AK101" s="41">
        <v>32</v>
      </c>
      <c r="AN101" s="41" t="s">
        <v>109</v>
      </c>
      <c r="BH101" s="20" t="s">
        <v>100</v>
      </c>
      <c r="BI101" s="20">
        <v>2020</v>
      </c>
      <c r="BJ101" s="20"/>
      <c r="BK101" s="20"/>
      <c r="BO101" s="22" t="s">
        <v>102</v>
      </c>
      <c r="BZ101" t="s">
        <v>50</v>
      </c>
      <c r="CA101" s="41">
        <v>5</v>
      </c>
      <c r="CD101" s="22" t="s">
        <v>94</v>
      </c>
    </row>
    <row r="102" spans="1:82" s="41" customFormat="1" x14ac:dyDescent="0.2">
      <c r="A102" s="20" t="s">
        <v>75</v>
      </c>
      <c r="B102" s="21" t="s">
        <v>77</v>
      </c>
      <c r="C102" s="21" t="s">
        <v>78</v>
      </c>
      <c r="D102" s="20" t="s">
        <v>76</v>
      </c>
      <c r="F102" s="20" t="s">
        <v>120</v>
      </c>
      <c r="J102" s="41">
        <v>3</v>
      </c>
      <c r="AE102" t="s">
        <v>114</v>
      </c>
      <c r="AF102"/>
      <c r="AG102"/>
      <c r="AJ102" s="40" t="s">
        <v>118</v>
      </c>
      <c r="AK102" s="41">
        <v>36</v>
      </c>
      <c r="AN102" s="41" t="s">
        <v>109</v>
      </c>
      <c r="BH102" s="20" t="s">
        <v>100</v>
      </c>
      <c r="BI102" s="20">
        <v>2020</v>
      </c>
      <c r="BJ102" s="20"/>
      <c r="BK102" s="20"/>
      <c r="BO102" s="22" t="s">
        <v>102</v>
      </c>
      <c r="BZ102" t="s">
        <v>50</v>
      </c>
      <c r="CA102" s="41">
        <v>5</v>
      </c>
      <c r="CD102" s="22" t="s">
        <v>94</v>
      </c>
    </row>
    <row r="103" spans="1:82" s="41" customFormat="1" x14ac:dyDescent="0.2">
      <c r="A103" s="20" t="s">
        <v>75</v>
      </c>
      <c r="B103" s="21" t="s">
        <v>77</v>
      </c>
      <c r="C103" s="21" t="s">
        <v>78</v>
      </c>
      <c r="D103" s="20" t="s">
        <v>76</v>
      </c>
      <c r="F103" s="20" t="s">
        <v>120</v>
      </c>
      <c r="J103" s="41">
        <v>2.75</v>
      </c>
      <c r="AE103" t="s">
        <v>114</v>
      </c>
      <c r="AF103"/>
      <c r="AG103"/>
      <c r="AH103" s="41" t="s">
        <v>39</v>
      </c>
      <c r="AI103" s="41" t="s">
        <v>122</v>
      </c>
      <c r="AJ103" s="40" t="s">
        <v>118</v>
      </c>
      <c r="AN103" t="s">
        <v>109</v>
      </c>
      <c r="AO103"/>
      <c r="AP103"/>
      <c r="AQ103"/>
      <c r="AR103"/>
      <c r="AS103"/>
      <c r="AT103"/>
      <c r="AU103"/>
      <c r="AV103"/>
      <c r="AW103"/>
      <c r="AX103"/>
      <c r="AY103"/>
      <c r="BH103" s="20" t="s">
        <v>100</v>
      </c>
      <c r="BI103" s="20">
        <v>2020</v>
      </c>
      <c r="BJ103" s="20"/>
      <c r="BK103" s="20"/>
      <c r="BO103" s="22" t="s">
        <v>102</v>
      </c>
      <c r="BZ103" t="s">
        <v>50</v>
      </c>
      <c r="CA103" s="41">
        <v>5</v>
      </c>
      <c r="CD103" s="22" t="s">
        <v>94</v>
      </c>
    </row>
    <row r="104" spans="1:82" s="41" customFormat="1" x14ac:dyDescent="0.2">
      <c r="A104" s="20" t="s">
        <v>75</v>
      </c>
      <c r="B104" s="21" t="s">
        <v>77</v>
      </c>
      <c r="C104" s="21" t="s">
        <v>78</v>
      </c>
      <c r="D104" s="20" t="s">
        <v>76</v>
      </c>
      <c r="F104" s="20" t="s">
        <v>120</v>
      </c>
      <c r="J104" s="41">
        <v>2.5</v>
      </c>
      <c r="AE104" t="s">
        <v>114</v>
      </c>
      <c r="AF104"/>
      <c r="AG104"/>
      <c r="AH104" s="41" t="s">
        <v>40</v>
      </c>
      <c r="AI104" s="41" t="s">
        <v>122</v>
      </c>
      <c r="AJ104" s="40" t="s">
        <v>118</v>
      </c>
      <c r="AN104" t="s">
        <v>109</v>
      </c>
      <c r="AO104"/>
      <c r="AP104"/>
      <c r="AQ104"/>
      <c r="AR104"/>
      <c r="AS104"/>
      <c r="AT104"/>
      <c r="AU104"/>
      <c r="AV104"/>
      <c r="AW104"/>
      <c r="AX104"/>
      <c r="AY104"/>
      <c r="BH104" s="20" t="s">
        <v>100</v>
      </c>
      <c r="BI104" s="20">
        <v>2020</v>
      </c>
      <c r="BJ104" s="20"/>
      <c r="BK104" s="20"/>
      <c r="BO104" s="22" t="s">
        <v>102</v>
      </c>
      <c r="BZ104" t="s">
        <v>50</v>
      </c>
      <c r="CA104" s="41">
        <v>5</v>
      </c>
      <c r="CD104" s="22" t="s">
        <v>94</v>
      </c>
    </row>
    <row r="105" spans="1:82" s="41" customFormat="1" x14ac:dyDescent="0.2">
      <c r="A105" s="20" t="s">
        <v>75</v>
      </c>
      <c r="B105" s="21" t="s">
        <v>77</v>
      </c>
      <c r="C105" s="21" t="s">
        <v>78</v>
      </c>
      <c r="D105" s="20" t="s">
        <v>76</v>
      </c>
      <c r="F105" s="20" t="s">
        <v>120</v>
      </c>
      <c r="J105" s="41">
        <v>2</v>
      </c>
      <c r="AE105" t="s">
        <v>114</v>
      </c>
      <c r="AF105"/>
      <c r="AG105"/>
      <c r="AH105" s="41" t="s">
        <v>39</v>
      </c>
      <c r="AI105" s="41" t="s">
        <v>89</v>
      </c>
      <c r="AJ105" s="40" t="s">
        <v>118</v>
      </c>
      <c r="AN105" t="s">
        <v>109</v>
      </c>
      <c r="AO105"/>
      <c r="AP105"/>
      <c r="AQ105"/>
      <c r="AR105"/>
      <c r="AS105"/>
      <c r="AT105"/>
      <c r="AU105"/>
      <c r="AV105"/>
      <c r="AW105"/>
      <c r="AX105"/>
      <c r="AY105"/>
      <c r="BH105" s="20" t="s">
        <v>100</v>
      </c>
      <c r="BI105" s="20">
        <v>2020</v>
      </c>
      <c r="BJ105" s="20"/>
      <c r="BK105" s="20"/>
      <c r="BO105" s="22" t="s">
        <v>102</v>
      </c>
      <c r="BZ105" t="s">
        <v>50</v>
      </c>
      <c r="CA105" s="41">
        <v>5</v>
      </c>
      <c r="CD105" s="22" t="s">
        <v>94</v>
      </c>
    </row>
    <row r="106" spans="1:82" s="41" customFormat="1" x14ac:dyDescent="0.2">
      <c r="A106" s="20" t="s">
        <v>75</v>
      </c>
      <c r="B106" s="21" t="s">
        <v>77</v>
      </c>
      <c r="C106" s="21" t="s">
        <v>78</v>
      </c>
      <c r="D106" s="20" t="s">
        <v>76</v>
      </c>
      <c r="F106" s="20" t="s">
        <v>120</v>
      </c>
      <c r="J106" s="41">
        <v>2.5</v>
      </c>
      <c r="AE106" t="s">
        <v>114</v>
      </c>
      <c r="AF106"/>
      <c r="AG106"/>
      <c r="AH106" s="41" t="s">
        <v>40</v>
      </c>
      <c r="AI106" s="41" t="s">
        <v>89</v>
      </c>
      <c r="AJ106" s="40" t="s">
        <v>118</v>
      </c>
      <c r="AN106" t="s">
        <v>109</v>
      </c>
      <c r="AO106"/>
      <c r="AP106"/>
      <c r="AQ106"/>
      <c r="AR106"/>
      <c r="AS106"/>
      <c r="AT106"/>
      <c r="AU106"/>
      <c r="AV106"/>
      <c r="AW106"/>
      <c r="AX106"/>
      <c r="AY106"/>
      <c r="BH106" s="20" t="s">
        <v>100</v>
      </c>
      <c r="BI106" s="20">
        <v>2020</v>
      </c>
      <c r="BJ106" s="20"/>
      <c r="BK106" s="20"/>
      <c r="BO106" s="22" t="s">
        <v>102</v>
      </c>
      <c r="BZ106" t="s">
        <v>50</v>
      </c>
      <c r="CA106" s="41">
        <v>5</v>
      </c>
      <c r="CD106" s="22" t="s">
        <v>94</v>
      </c>
    </row>
    <row r="107" spans="1:82" s="41" customFormat="1" x14ac:dyDescent="0.2">
      <c r="A107" s="20" t="s">
        <v>75</v>
      </c>
      <c r="B107" s="21" t="s">
        <v>77</v>
      </c>
      <c r="C107" s="21" t="s">
        <v>78</v>
      </c>
      <c r="D107" s="20" t="s">
        <v>76</v>
      </c>
      <c r="F107" s="20" t="s">
        <v>120</v>
      </c>
      <c r="J107" s="41">
        <v>3</v>
      </c>
      <c r="AE107" t="s">
        <v>114</v>
      </c>
      <c r="AF107"/>
      <c r="AG107"/>
      <c r="AH107" s="41" t="s">
        <v>39</v>
      </c>
      <c r="AI107" s="41" t="s">
        <v>123</v>
      </c>
      <c r="AJ107" s="40" t="s">
        <v>118</v>
      </c>
      <c r="AN107" t="s">
        <v>109</v>
      </c>
      <c r="AO107"/>
      <c r="AP107"/>
      <c r="AQ107"/>
      <c r="AR107"/>
      <c r="AS107"/>
      <c r="AT107"/>
      <c r="AU107"/>
      <c r="AV107"/>
      <c r="AW107"/>
      <c r="AX107"/>
      <c r="AY107"/>
      <c r="BH107" s="20" t="s">
        <v>100</v>
      </c>
      <c r="BI107" s="20">
        <v>2020</v>
      </c>
      <c r="BJ107" s="20"/>
      <c r="BK107" s="20"/>
      <c r="BO107" s="22" t="s">
        <v>102</v>
      </c>
      <c r="BZ107" t="s">
        <v>50</v>
      </c>
      <c r="CA107" s="41">
        <v>5</v>
      </c>
      <c r="CD107" s="22" t="s">
        <v>94</v>
      </c>
    </row>
    <row r="108" spans="1:82" s="41" customFormat="1" x14ac:dyDescent="0.2">
      <c r="A108" s="20" t="s">
        <v>75</v>
      </c>
      <c r="B108" s="21" t="s">
        <v>77</v>
      </c>
      <c r="C108" s="21" t="s">
        <v>78</v>
      </c>
      <c r="D108" s="20" t="s">
        <v>76</v>
      </c>
      <c r="F108" s="20" t="s">
        <v>120</v>
      </c>
      <c r="J108" s="41">
        <v>1.6</v>
      </c>
      <c r="AE108" t="s">
        <v>114</v>
      </c>
      <c r="AF108"/>
      <c r="AG108"/>
      <c r="AH108" s="41" t="s">
        <v>40</v>
      </c>
      <c r="AI108" s="41" t="s">
        <v>123</v>
      </c>
      <c r="AJ108" s="40" t="s">
        <v>118</v>
      </c>
      <c r="AN108" t="s">
        <v>109</v>
      </c>
      <c r="AO108"/>
      <c r="AP108"/>
      <c r="AQ108"/>
      <c r="AR108"/>
      <c r="AS108"/>
      <c r="AT108"/>
      <c r="AU108"/>
      <c r="AV108"/>
      <c r="AW108"/>
      <c r="AX108"/>
      <c r="AY108"/>
      <c r="BH108" s="20" t="s">
        <v>100</v>
      </c>
      <c r="BI108" s="20">
        <v>2020</v>
      </c>
      <c r="BJ108" s="20"/>
      <c r="BK108" s="20"/>
      <c r="BO108" s="22" t="s">
        <v>102</v>
      </c>
      <c r="BZ108" t="s">
        <v>50</v>
      </c>
      <c r="CA108" s="41">
        <v>5</v>
      </c>
      <c r="CD108" s="22" t="s">
        <v>94</v>
      </c>
    </row>
    <row r="109" spans="1:82" s="41" customFormat="1" x14ac:dyDescent="0.2">
      <c r="A109" s="20" t="s">
        <v>75</v>
      </c>
      <c r="B109" s="21" t="s">
        <v>77</v>
      </c>
      <c r="C109" s="21" t="s">
        <v>78</v>
      </c>
      <c r="D109" s="20" t="s">
        <v>76</v>
      </c>
      <c r="F109" s="20" t="s">
        <v>120</v>
      </c>
      <c r="V109" s="43">
        <f>400/60</f>
        <v>6.666666666666667</v>
      </c>
      <c r="AE109" t="s">
        <v>114</v>
      </c>
      <c r="AF109"/>
      <c r="AG109"/>
      <c r="AI109" s="41" t="s">
        <v>122</v>
      </c>
      <c r="AJ109" s="40" t="s">
        <v>118</v>
      </c>
      <c r="AK109" s="41">
        <v>12</v>
      </c>
      <c r="AN109" t="s">
        <v>109</v>
      </c>
      <c r="AO109"/>
      <c r="AP109"/>
      <c r="AQ109"/>
      <c r="AR109"/>
      <c r="AS109"/>
      <c r="AT109"/>
      <c r="AU109"/>
      <c r="AV109"/>
      <c r="AW109"/>
      <c r="AX109"/>
      <c r="AY109"/>
      <c r="BH109" s="20" t="s">
        <v>100</v>
      </c>
      <c r="BI109" s="20">
        <v>2020</v>
      </c>
      <c r="BJ109" s="20"/>
      <c r="BK109" s="20"/>
      <c r="BO109" s="22" t="s">
        <v>102</v>
      </c>
      <c r="BZ109" t="s">
        <v>50</v>
      </c>
      <c r="CA109" s="41">
        <v>4</v>
      </c>
      <c r="CD109" s="22" t="s">
        <v>94</v>
      </c>
    </row>
    <row r="110" spans="1:82" s="41" customFormat="1" x14ac:dyDescent="0.2">
      <c r="A110" s="20" t="s">
        <v>75</v>
      </c>
      <c r="B110" s="21" t="s">
        <v>77</v>
      </c>
      <c r="C110" s="21" t="s">
        <v>78</v>
      </c>
      <c r="D110" s="20" t="s">
        <v>76</v>
      </c>
      <c r="F110" s="20" t="s">
        <v>120</v>
      </c>
      <c r="V110" s="43">
        <f>700/600</f>
        <v>1.1666666666666667</v>
      </c>
      <c r="AE110" t="s">
        <v>114</v>
      </c>
      <c r="AF110"/>
      <c r="AG110"/>
      <c r="AI110" s="41" t="s">
        <v>89</v>
      </c>
      <c r="AJ110" s="40" t="s">
        <v>118</v>
      </c>
      <c r="AK110" s="41">
        <v>12</v>
      </c>
      <c r="AN110" t="s">
        <v>109</v>
      </c>
      <c r="AO110"/>
      <c r="AP110"/>
      <c r="AQ110"/>
      <c r="AR110"/>
      <c r="AS110"/>
      <c r="AT110"/>
      <c r="AU110"/>
      <c r="AV110"/>
      <c r="AW110"/>
      <c r="AX110"/>
      <c r="AY110"/>
      <c r="BH110" s="20" t="s">
        <v>100</v>
      </c>
      <c r="BI110" s="20">
        <v>2020</v>
      </c>
      <c r="BJ110" s="20"/>
      <c r="BK110" s="20"/>
      <c r="BO110" s="22" t="s">
        <v>102</v>
      </c>
      <c r="BZ110" t="s">
        <v>50</v>
      </c>
      <c r="CA110" s="41">
        <v>4</v>
      </c>
      <c r="CD110" s="22" t="s">
        <v>94</v>
      </c>
    </row>
    <row r="111" spans="1:82" s="41" customFormat="1" x14ac:dyDescent="0.2">
      <c r="A111" s="20" t="s">
        <v>75</v>
      </c>
      <c r="B111" s="21" t="s">
        <v>77</v>
      </c>
      <c r="C111" s="21" t="s">
        <v>78</v>
      </c>
      <c r="D111" s="20" t="s">
        <v>76</v>
      </c>
      <c r="F111" s="20" t="s">
        <v>120</v>
      </c>
      <c r="V111" s="43">
        <f>400/60</f>
        <v>6.666666666666667</v>
      </c>
      <c r="AE111" s="16" t="s">
        <v>114</v>
      </c>
      <c r="AF111" s="16"/>
      <c r="AG111" s="16"/>
      <c r="AI111" s="41" t="s">
        <v>123</v>
      </c>
      <c r="AJ111" s="40" t="s">
        <v>118</v>
      </c>
      <c r="AK111" s="41">
        <v>12</v>
      </c>
      <c r="AN111" t="s">
        <v>109</v>
      </c>
      <c r="AO111"/>
      <c r="AP111"/>
      <c r="AQ111"/>
      <c r="AR111"/>
      <c r="AS111"/>
      <c r="AT111"/>
      <c r="AU111"/>
      <c r="AV111"/>
      <c r="AW111"/>
      <c r="AX111"/>
      <c r="AY111"/>
      <c r="BH111" s="20" t="s">
        <v>100</v>
      </c>
      <c r="BI111" s="20">
        <v>2020</v>
      </c>
      <c r="BJ111" s="20"/>
      <c r="BK111" s="20"/>
      <c r="BO111" s="22" t="s">
        <v>102</v>
      </c>
      <c r="BZ111" t="s">
        <v>50</v>
      </c>
      <c r="CA111" s="41">
        <v>4</v>
      </c>
      <c r="CD111" s="22" t="s">
        <v>94</v>
      </c>
    </row>
    <row r="112" spans="1:82" s="41" customFormat="1" x14ac:dyDescent="0.2">
      <c r="A112" s="20" t="s">
        <v>75</v>
      </c>
      <c r="B112" s="21" t="s">
        <v>77</v>
      </c>
      <c r="C112" s="21" t="s">
        <v>78</v>
      </c>
      <c r="D112" s="20" t="s">
        <v>76</v>
      </c>
      <c r="F112" s="20" t="s">
        <v>120</v>
      </c>
      <c r="V112" s="41">
        <f>600/60</f>
        <v>10</v>
      </c>
      <c r="AE112" s="16" t="s">
        <v>114</v>
      </c>
      <c r="AF112" s="16"/>
      <c r="AG112" s="16"/>
      <c r="AI112" s="41" t="s">
        <v>122</v>
      </c>
      <c r="AJ112" s="40" t="s">
        <v>118</v>
      </c>
      <c r="AK112" s="41">
        <v>16</v>
      </c>
      <c r="AN112" t="s">
        <v>109</v>
      </c>
      <c r="AO112"/>
      <c r="AP112"/>
      <c r="AQ112"/>
      <c r="AR112"/>
      <c r="AS112"/>
      <c r="AT112"/>
      <c r="AU112"/>
      <c r="AV112"/>
      <c r="AW112"/>
      <c r="AX112"/>
      <c r="AY112"/>
      <c r="BH112" s="20" t="s">
        <v>100</v>
      </c>
      <c r="BI112" s="20">
        <v>2020</v>
      </c>
      <c r="BJ112" s="20"/>
      <c r="BK112" s="20"/>
      <c r="BO112" s="22" t="s">
        <v>102</v>
      </c>
      <c r="BZ112" t="s">
        <v>50</v>
      </c>
      <c r="CA112" s="41">
        <v>4</v>
      </c>
      <c r="CD112" s="22" t="s">
        <v>94</v>
      </c>
    </row>
    <row r="113" spans="1:82" s="41" customFormat="1" x14ac:dyDescent="0.2">
      <c r="A113" s="20" t="s">
        <v>75</v>
      </c>
      <c r="B113" s="21" t="s">
        <v>77</v>
      </c>
      <c r="C113" s="21" t="s">
        <v>78</v>
      </c>
      <c r="D113" s="20" t="s">
        <v>76</v>
      </c>
      <c r="F113" s="20" t="s">
        <v>120</v>
      </c>
      <c r="V113" s="41">
        <f>1700/60</f>
        <v>28.333333333333332</v>
      </c>
      <c r="AE113" s="16" t="s">
        <v>114</v>
      </c>
      <c r="AF113" s="16"/>
      <c r="AG113" s="16"/>
      <c r="AI113" s="41" t="s">
        <v>89</v>
      </c>
      <c r="AJ113" s="40" t="s">
        <v>118</v>
      </c>
      <c r="AK113" s="41">
        <v>16</v>
      </c>
      <c r="AN113" t="s">
        <v>109</v>
      </c>
      <c r="AO113"/>
      <c r="AP113"/>
      <c r="AQ113"/>
      <c r="AR113"/>
      <c r="AS113"/>
      <c r="AT113"/>
      <c r="AU113"/>
      <c r="AV113"/>
      <c r="AW113"/>
      <c r="AX113"/>
      <c r="AY113"/>
      <c r="BH113" s="20" t="s">
        <v>100</v>
      </c>
      <c r="BI113" s="20">
        <v>2020</v>
      </c>
      <c r="BJ113" s="20"/>
      <c r="BK113" s="20"/>
      <c r="BO113" s="22" t="s">
        <v>102</v>
      </c>
      <c r="BZ113" t="s">
        <v>50</v>
      </c>
      <c r="CA113" s="41">
        <v>4</v>
      </c>
      <c r="CD113" s="22" t="s">
        <v>94</v>
      </c>
    </row>
    <row r="114" spans="1:82" s="41" customFormat="1" x14ac:dyDescent="0.2">
      <c r="A114" s="20" t="s">
        <v>75</v>
      </c>
      <c r="B114" s="21" t="s">
        <v>77</v>
      </c>
      <c r="C114" s="21" t="s">
        <v>78</v>
      </c>
      <c r="D114" s="20" t="s">
        <v>76</v>
      </c>
      <c r="F114" s="20" t="s">
        <v>120</v>
      </c>
      <c r="V114" s="41">
        <f>900/60</f>
        <v>15</v>
      </c>
      <c r="AE114" s="16" t="s">
        <v>114</v>
      </c>
      <c r="AF114" s="16"/>
      <c r="AG114" s="16"/>
      <c r="AI114" s="41" t="s">
        <v>123</v>
      </c>
      <c r="AJ114" s="40" t="s">
        <v>118</v>
      </c>
      <c r="AK114" s="41">
        <v>16</v>
      </c>
      <c r="AN114" t="s">
        <v>109</v>
      </c>
      <c r="AO114"/>
      <c r="AP114"/>
      <c r="AQ114"/>
      <c r="AR114"/>
      <c r="AS114"/>
      <c r="AT114"/>
      <c r="AU114"/>
      <c r="AV114"/>
      <c r="AW114"/>
      <c r="AX114"/>
      <c r="AY114"/>
      <c r="BH114" s="20" t="s">
        <v>100</v>
      </c>
      <c r="BI114" s="20">
        <v>2020</v>
      </c>
      <c r="BJ114" s="20"/>
      <c r="BK114" s="20"/>
      <c r="BO114" s="22" t="s">
        <v>102</v>
      </c>
      <c r="BZ114" t="s">
        <v>50</v>
      </c>
      <c r="CA114" s="41">
        <v>4</v>
      </c>
      <c r="CD114" s="22" t="s">
        <v>94</v>
      </c>
    </row>
    <row r="115" spans="1:82" s="41" customFormat="1" x14ac:dyDescent="0.2">
      <c r="A115" s="20" t="s">
        <v>75</v>
      </c>
      <c r="B115" s="21" t="s">
        <v>77</v>
      </c>
      <c r="C115" s="21" t="s">
        <v>78</v>
      </c>
      <c r="D115" s="20" t="s">
        <v>76</v>
      </c>
      <c r="F115" s="20" t="s">
        <v>120</v>
      </c>
      <c r="V115" s="43">
        <f>1400/60</f>
        <v>23.333333333333332</v>
      </c>
      <c r="AE115" s="16" t="s">
        <v>114</v>
      </c>
      <c r="AF115" s="16"/>
      <c r="AG115" s="16"/>
      <c r="AI115" s="41" t="s">
        <v>122</v>
      </c>
      <c r="AJ115" s="40" t="s">
        <v>118</v>
      </c>
      <c r="AK115" s="41">
        <v>20</v>
      </c>
      <c r="AN115" t="s">
        <v>109</v>
      </c>
      <c r="AO115"/>
      <c r="AP115"/>
      <c r="AQ115"/>
      <c r="AR115"/>
      <c r="AS115"/>
      <c r="AT115"/>
      <c r="AU115"/>
      <c r="AV115"/>
      <c r="AW115"/>
      <c r="AX115"/>
      <c r="AY115"/>
      <c r="BH115" s="20" t="s">
        <v>100</v>
      </c>
      <c r="BI115" s="20">
        <v>2020</v>
      </c>
      <c r="BJ115" s="20"/>
      <c r="BK115" s="20"/>
      <c r="BO115" s="22" t="s">
        <v>102</v>
      </c>
      <c r="BZ115" t="s">
        <v>50</v>
      </c>
      <c r="CA115" s="41">
        <v>4</v>
      </c>
      <c r="CD115" s="22" t="s">
        <v>94</v>
      </c>
    </row>
    <row r="116" spans="1:82" s="41" customFormat="1" x14ac:dyDescent="0.2">
      <c r="A116" s="20" t="s">
        <v>75</v>
      </c>
      <c r="B116" s="21" t="s">
        <v>77</v>
      </c>
      <c r="C116" s="21" t="s">
        <v>78</v>
      </c>
      <c r="D116" s="20" t="s">
        <v>76</v>
      </c>
      <c r="F116" s="20" t="s">
        <v>120</v>
      </c>
      <c r="V116" s="43">
        <f>1800/60</f>
        <v>30</v>
      </c>
      <c r="AE116" s="16" t="s">
        <v>114</v>
      </c>
      <c r="AF116" s="16"/>
      <c r="AG116" s="16"/>
      <c r="AI116" s="41" t="s">
        <v>89</v>
      </c>
      <c r="AJ116" s="40" t="s">
        <v>118</v>
      </c>
      <c r="AK116" s="41">
        <v>20</v>
      </c>
      <c r="AN116" t="s">
        <v>109</v>
      </c>
      <c r="AO116"/>
      <c r="AP116"/>
      <c r="AQ116"/>
      <c r="AR116"/>
      <c r="AS116"/>
      <c r="AT116"/>
      <c r="AU116"/>
      <c r="AV116"/>
      <c r="AW116"/>
      <c r="AX116"/>
      <c r="AY116"/>
      <c r="BH116" s="20" t="s">
        <v>100</v>
      </c>
      <c r="BI116" s="20">
        <v>2020</v>
      </c>
      <c r="BJ116" s="20"/>
      <c r="BK116" s="20"/>
      <c r="BO116" s="22" t="s">
        <v>102</v>
      </c>
      <c r="BZ116" t="s">
        <v>50</v>
      </c>
      <c r="CA116" s="41">
        <v>4</v>
      </c>
      <c r="CD116" s="22" t="s">
        <v>94</v>
      </c>
    </row>
    <row r="117" spans="1:82" s="41" customFormat="1" x14ac:dyDescent="0.2">
      <c r="A117" s="20" t="s">
        <v>75</v>
      </c>
      <c r="B117" s="21" t="s">
        <v>77</v>
      </c>
      <c r="C117" s="21" t="s">
        <v>78</v>
      </c>
      <c r="D117" s="20" t="s">
        <v>76</v>
      </c>
      <c r="F117" s="20" t="s">
        <v>120</v>
      </c>
      <c r="V117" s="43">
        <f>900/60</f>
        <v>15</v>
      </c>
      <c r="AE117" s="16" t="s">
        <v>114</v>
      </c>
      <c r="AF117" s="16"/>
      <c r="AG117" s="16"/>
      <c r="AI117" s="41" t="s">
        <v>123</v>
      </c>
      <c r="AJ117" s="40" t="s">
        <v>118</v>
      </c>
      <c r="AK117" s="41">
        <v>20</v>
      </c>
      <c r="AN117" t="s">
        <v>109</v>
      </c>
      <c r="AO117"/>
      <c r="AP117"/>
      <c r="AQ117"/>
      <c r="AR117"/>
      <c r="AS117"/>
      <c r="AT117"/>
      <c r="AU117"/>
      <c r="AV117"/>
      <c r="AW117"/>
      <c r="AX117"/>
      <c r="AY117"/>
      <c r="BH117" s="20" t="s">
        <v>100</v>
      </c>
      <c r="BI117" s="20">
        <v>2020</v>
      </c>
      <c r="BJ117" s="20"/>
      <c r="BK117" s="20"/>
      <c r="BO117" s="22" t="s">
        <v>102</v>
      </c>
      <c r="BZ117" t="s">
        <v>50</v>
      </c>
      <c r="CA117" s="41">
        <v>4</v>
      </c>
      <c r="CD117" s="22" t="s">
        <v>94</v>
      </c>
    </row>
    <row r="118" spans="1:82" s="41" customFormat="1" x14ac:dyDescent="0.2">
      <c r="A118" s="20" t="s">
        <v>75</v>
      </c>
      <c r="B118" s="21" t="s">
        <v>77</v>
      </c>
      <c r="C118" s="21" t="s">
        <v>78</v>
      </c>
      <c r="D118" s="20" t="s">
        <v>76</v>
      </c>
      <c r="F118" s="20" t="s">
        <v>120</v>
      </c>
      <c r="V118" s="41">
        <f>1500/60</f>
        <v>25</v>
      </c>
      <c r="AE118" s="16" t="s">
        <v>114</v>
      </c>
      <c r="AF118" s="16"/>
      <c r="AG118" s="16"/>
      <c r="AI118" s="41" t="s">
        <v>122</v>
      </c>
      <c r="AJ118" s="40" t="s">
        <v>118</v>
      </c>
      <c r="AK118" s="41">
        <v>24</v>
      </c>
      <c r="AN118" t="s">
        <v>109</v>
      </c>
      <c r="AO118"/>
      <c r="AP118"/>
      <c r="AQ118"/>
      <c r="AR118"/>
      <c r="AS118"/>
      <c r="AT118"/>
      <c r="AU118"/>
      <c r="AV118"/>
      <c r="AW118"/>
      <c r="AX118"/>
      <c r="AY118"/>
      <c r="BH118" s="20" t="s">
        <v>100</v>
      </c>
      <c r="BI118" s="20">
        <v>2020</v>
      </c>
      <c r="BJ118" s="20"/>
      <c r="BK118" s="20"/>
      <c r="BO118" s="22" t="s">
        <v>102</v>
      </c>
      <c r="BZ118" t="s">
        <v>50</v>
      </c>
      <c r="CA118" s="41">
        <v>4</v>
      </c>
      <c r="CD118" s="22" t="s">
        <v>94</v>
      </c>
    </row>
    <row r="119" spans="1:82" s="41" customFormat="1" x14ac:dyDescent="0.2">
      <c r="A119" s="20" t="s">
        <v>75</v>
      </c>
      <c r="B119" s="21" t="s">
        <v>77</v>
      </c>
      <c r="C119" s="21" t="s">
        <v>78</v>
      </c>
      <c r="D119" s="20" t="s">
        <v>76</v>
      </c>
      <c r="F119" s="20" t="s">
        <v>120</v>
      </c>
      <c r="V119" s="41">
        <f>2000/60</f>
        <v>33.333333333333336</v>
      </c>
      <c r="AE119" s="16" t="s">
        <v>114</v>
      </c>
      <c r="AF119" s="16"/>
      <c r="AG119" s="16"/>
      <c r="AI119" s="41" t="s">
        <v>89</v>
      </c>
      <c r="AJ119" s="40" t="s">
        <v>118</v>
      </c>
      <c r="AK119" s="41">
        <v>24</v>
      </c>
      <c r="AN119" t="s">
        <v>109</v>
      </c>
      <c r="AO119"/>
      <c r="AP119"/>
      <c r="AQ119"/>
      <c r="AR119"/>
      <c r="AS119"/>
      <c r="AT119"/>
      <c r="AU119"/>
      <c r="AV119"/>
      <c r="AW119"/>
      <c r="AX119"/>
      <c r="AY119"/>
      <c r="BH119" s="20" t="s">
        <v>100</v>
      </c>
      <c r="BI119" s="20">
        <v>2020</v>
      </c>
      <c r="BJ119" s="20"/>
      <c r="BK119" s="20"/>
      <c r="BO119" s="22" t="s">
        <v>102</v>
      </c>
      <c r="BZ119" t="s">
        <v>50</v>
      </c>
      <c r="CA119" s="41">
        <v>4</v>
      </c>
      <c r="CD119" s="22" t="s">
        <v>94</v>
      </c>
    </row>
    <row r="120" spans="1:82" s="41" customFormat="1" x14ac:dyDescent="0.2">
      <c r="A120" s="20" t="s">
        <v>75</v>
      </c>
      <c r="B120" s="21" t="s">
        <v>77</v>
      </c>
      <c r="C120" s="21" t="s">
        <v>78</v>
      </c>
      <c r="D120" s="20" t="s">
        <v>76</v>
      </c>
      <c r="F120" s="20" t="s">
        <v>120</v>
      </c>
      <c r="V120" s="41">
        <f>2800/60</f>
        <v>46.666666666666664</v>
      </c>
      <c r="AE120" s="16" t="s">
        <v>114</v>
      </c>
      <c r="AF120" s="16"/>
      <c r="AG120" s="16"/>
      <c r="AI120" s="41" t="s">
        <v>123</v>
      </c>
      <c r="AJ120" s="40" t="s">
        <v>118</v>
      </c>
      <c r="AK120" s="41">
        <v>24</v>
      </c>
      <c r="AN120" t="s">
        <v>109</v>
      </c>
      <c r="AO120"/>
      <c r="AP120"/>
      <c r="AQ120"/>
      <c r="AR120"/>
      <c r="AS120"/>
      <c r="AT120"/>
      <c r="AU120"/>
      <c r="AV120"/>
      <c r="AW120"/>
      <c r="AX120"/>
      <c r="AY120"/>
      <c r="BH120" s="20" t="s">
        <v>100</v>
      </c>
      <c r="BI120" s="20">
        <v>2020</v>
      </c>
      <c r="BJ120" s="20"/>
      <c r="BK120" s="20"/>
      <c r="BO120" s="22" t="s">
        <v>102</v>
      </c>
      <c r="BZ120" t="s">
        <v>50</v>
      </c>
      <c r="CA120" s="41">
        <v>4</v>
      </c>
      <c r="CD120" s="22" t="s">
        <v>94</v>
      </c>
    </row>
    <row r="121" spans="1:82" s="41" customFormat="1" x14ac:dyDescent="0.2">
      <c r="A121" s="20" t="s">
        <v>75</v>
      </c>
      <c r="B121" s="21" t="s">
        <v>77</v>
      </c>
      <c r="C121" s="21" t="s">
        <v>78</v>
      </c>
      <c r="D121" s="20" t="s">
        <v>76</v>
      </c>
      <c r="F121" s="20" t="s">
        <v>120</v>
      </c>
      <c r="V121" s="43">
        <f>900/60</f>
        <v>15</v>
      </c>
      <c r="AE121" s="16" t="s">
        <v>114</v>
      </c>
      <c r="AF121" s="16"/>
      <c r="AG121" s="16"/>
      <c r="AI121" s="41" t="s">
        <v>122</v>
      </c>
      <c r="AJ121" s="40" t="s">
        <v>118</v>
      </c>
      <c r="AK121" s="41">
        <v>28</v>
      </c>
      <c r="AN121" t="s">
        <v>109</v>
      </c>
      <c r="AO121"/>
      <c r="AP121"/>
      <c r="AQ121"/>
      <c r="AR121"/>
      <c r="AS121"/>
      <c r="AT121"/>
      <c r="AU121"/>
      <c r="AV121"/>
      <c r="AW121"/>
      <c r="AX121"/>
      <c r="AY121"/>
      <c r="BH121" s="20" t="s">
        <v>100</v>
      </c>
      <c r="BI121" s="20">
        <v>2020</v>
      </c>
      <c r="BJ121" s="20"/>
      <c r="BK121" s="20"/>
      <c r="BO121" s="22" t="s">
        <v>102</v>
      </c>
      <c r="BZ121" t="s">
        <v>50</v>
      </c>
      <c r="CA121" s="41">
        <v>4</v>
      </c>
      <c r="CD121" s="22" t="s">
        <v>94</v>
      </c>
    </row>
    <row r="122" spans="1:82" s="41" customFormat="1" x14ac:dyDescent="0.2">
      <c r="A122" s="20" t="s">
        <v>75</v>
      </c>
      <c r="B122" s="21" t="s">
        <v>77</v>
      </c>
      <c r="C122" s="21" t="s">
        <v>78</v>
      </c>
      <c r="D122" s="20" t="s">
        <v>76</v>
      </c>
      <c r="F122" s="20" t="s">
        <v>120</v>
      </c>
      <c r="V122" s="43">
        <f>1700/60</f>
        <v>28.333333333333332</v>
      </c>
      <c r="AE122" s="16" t="s">
        <v>114</v>
      </c>
      <c r="AF122" s="16"/>
      <c r="AG122" s="16"/>
      <c r="AI122" s="41" t="s">
        <v>89</v>
      </c>
      <c r="AJ122" s="40" t="s">
        <v>118</v>
      </c>
      <c r="AK122" s="41">
        <v>28</v>
      </c>
      <c r="AN122" t="s">
        <v>109</v>
      </c>
      <c r="AO122"/>
      <c r="AP122"/>
      <c r="AQ122"/>
      <c r="AR122"/>
      <c r="AS122"/>
      <c r="AT122"/>
      <c r="AU122"/>
      <c r="AV122"/>
      <c r="AW122"/>
      <c r="AX122"/>
      <c r="AY122"/>
      <c r="BH122" s="20" t="s">
        <v>100</v>
      </c>
      <c r="BI122" s="20">
        <v>2020</v>
      </c>
      <c r="BJ122" s="20"/>
      <c r="BK122" s="20"/>
      <c r="BO122" s="22" t="s">
        <v>102</v>
      </c>
      <c r="BZ122" t="s">
        <v>50</v>
      </c>
      <c r="CA122" s="41">
        <v>4</v>
      </c>
      <c r="CD122" s="22" t="s">
        <v>94</v>
      </c>
    </row>
    <row r="123" spans="1:82" s="41" customFormat="1" x14ac:dyDescent="0.2">
      <c r="A123" s="20" t="s">
        <v>75</v>
      </c>
      <c r="B123" s="21" t="s">
        <v>77</v>
      </c>
      <c r="C123" s="21" t="s">
        <v>78</v>
      </c>
      <c r="D123" s="20" t="s">
        <v>76</v>
      </c>
      <c r="F123" s="20" t="s">
        <v>120</v>
      </c>
      <c r="V123" s="43">
        <f>2100/60</f>
        <v>35</v>
      </c>
      <c r="AE123" s="16" t="s">
        <v>114</v>
      </c>
      <c r="AF123" s="16"/>
      <c r="AG123" s="16"/>
      <c r="AI123" s="41" t="s">
        <v>123</v>
      </c>
      <c r="AJ123" s="40" t="s">
        <v>118</v>
      </c>
      <c r="AK123" s="41">
        <v>28</v>
      </c>
      <c r="AN123" t="s">
        <v>109</v>
      </c>
      <c r="AO123"/>
      <c r="AP123"/>
      <c r="AQ123"/>
      <c r="AR123"/>
      <c r="AS123"/>
      <c r="AT123"/>
      <c r="AU123"/>
      <c r="AV123"/>
      <c r="AW123"/>
      <c r="AX123"/>
      <c r="AY123"/>
      <c r="BH123" s="20" t="s">
        <v>100</v>
      </c>
      <c r="BI123" s="20">
        <v>2020</v>
      </c>
      <c r="BJ123" s="20"/>
      <c r="BK123" s="20"/>
      <c r="BO123" s="22" t="s">
        <v>102</v>
      </c>
      <c r="BZ123" t="s">
        <v>50</v>
      </c>
      <c r="CA123" s="41">
        <v>4</v>
      </c>
      <c r="CD123" s="22" t="s">
        <v>94</v>
      </c>
    </row>
    <row r="124" spans="1:82" s="41" customFormat="1" x14ac:dyDescent="0.2">
      <c r="A124" s="20" t="s">
        <v>75</v>
      </c>
      <c r="B124" s="21" t="s">
        <v>77</v>
      </c>
      <c r="C124" s="21" t="s">
        <v>78</v>
      </c>
      <c r="D124" s="20" t="s">
        <v>76</v>
      </c>
      <c r="F124" s="20" t="s">
        <v>120</v>
      </c>
      <c r="V124" s="41">
        <f>1200/60</f>
        <v>20</v>
      </c>
      <c r="AE124" s="16" t="s">
        <v>114</v>
      </c>
      <c r="AF124" s="16"/>
      <c r="AG124" s="16"/>
      <c r="AI124" s="41" t="s">
        <v>122</v>
      </c>
      <c r="AJ124" s="40" t="s">
        <v>118</v>
      </c>
      <c r="AK124" s="41">
        <v>32</v>
      </c>
      <c r="AN124" t="s">
        <v>109</v>
      </c>
      <c r="AO124"/>
      <c r="AP124"/>
      <c r="AQ124"/>
      <c r="AR124"/>
      <c r="AS124"/>
      <c r="AT124"/>
      <c r="AU124"/>
      <c r="AV124"/>
      <c r="AW124"/>
      <c r="AX124"/>
      <c r="AY124"/>
      <c r="BH124" s="20" t="s">
        <v>100</v>
      </c>
      <c r="BI124" s="20">
        <v>2020</v>
      </c>
      <c r="BJ124" s="20"/>
      <c r="BK124" s="20"/>
      <c r="BO124" s="22" t="s">
        <v>102</v>
      </c>
      <c r="BZ124" t="s">
        <v>50</v>
      </c>
      <c r="CA124" s="41">
        <v>4</v>
      </c>
      <c r="CD124" s="22" t="s">
        <v>94</v>
      </c>
    </row>
    <row r="125" spans="1:82" s="41" customFormat="1" x14ac:dyDescent="0.2">
      <c r="A125" s="20" t="s">
        <v>75</v>
      </c>
      <c r="B125" s="21" t="s">
        <v>77</v>
      </c>
      <c r="C125" s="21" t="s">
        <v>78</v>
      </c>
      <c r="D125" s="20" t="s">
        <v>76</v>
      </c>
      <c r="F125" s="20" t="s">
        <v>120</v>
      </c>
      <c r="V125" s="41">
        <f>1000/60</f>
        <v>16.666666666666668</v>
      </c>
      <c r="AE125" s="16" t="s">
        <v>114</v>
      </c>
      <c r="AF125" s="16"/>
      <c r="AG125" s="16"/>
      <c r="AI125" s="41" t="s">
        <v>89</v>
      </c>
      <c r="AJ125" s="40" t="s">
        <v>118</v>
      </c>
      <c r="AK125" s="41">
        <v>32</v>
      </c>
      <c r="AN125" t="s">
        <v>109</v>
      </c>
      <c r="AO125"/>
      <c r="AP125"/>
      <c r="AQ125"/>
      <c r="AR125"/>
      <c r="AS125"/>
      <c r="AT125"/>
      <c r="AU125"/>
      <c r="AV125"/>
      <c r="AW125"/>
      <c r="AX125"/>
      <c r="AY125"/>
      <c r="BH125" s="20" t="s">
        <v>100</v>
      </c>
      <c r="BI125" s="20">
        <v>2020</v>
      </c>
      <c r="BJ125" s="20"/>
      <c r="BK125" s="20"/>
      <c r="BO125" s="22" t="s">
        <v>102</v>
      </c>
      <c r="BZ125" t="s">
        <v>50</v>
      </c>
      <c r="CA125" s="41">
        <v>4</v>
      </c>
      <c r="CD125" s="22" t="s">
        <v>94</v>
      </c>
    </row>
    <row r="126" spans="1:82" s="41" customFormat="1" x14ac:dyDescent="0.2">
      <c r="A126" s="20" t="s">
        <v>75</v>
      </c>
      <c r="B126" s="21" t="s">
        <v>77</v>
      </c>
      <c r="C126" s="21" t="s">
        <v>78</v>
      </c>
      <c r="D126" s="20" t="s">
        <v>76</v>
      </c>
      <c r="F126" s="20" t="s">
        <v>120</v>
      </c>
      <c r="V126" s="41">
        <f>1200/60</f>
        <v>20</v>
      </c>
      <c r="AE126" s="16" t="s">
        <v>114</v>
      </c>
      <c r="AF126" s="16"/>
      <c r="AG126" s="16"/>
      <c r="AI126" s="41" t="s">
        <v>123</v>
      </c>
      <c r="AJ126" s="40" t="s">
        <v>118</v>
      </c>
      <c r="AK126" s="41">
        <v>32</v>
      </c>
      <c r="AN126" t="s">
        <v>109</v>
      </c>
      <c r="AO126"/>
      <c r="AP126"/>
      <c r="AQ126"/>
      <c r="AR126"/>
      <c r="AS126"/>
      <c r="AT126"/>
      <c r="AU126"/>
      <c r="AV126"/>
      <c r="AW126"/>
      <c r="AX126"/>
      <c r="AY126"/>
      <c r="BH126" s="20" t="s">
        <v>100</v>
      </c>
      <c r="BI126" s="20">
        <v>2020</v>
      </c>
      <c r="BJ126" s="20"/>
      <c r="BK126" s="20"/>
      <c r="BO126" s="22" t="s">
        <v>102</v>
      </c>
      <c r="BZ126" t="s">
        <v>50</v>
      </c>
      <c r="CA126" s="41">
        <v>4</v>
      </c>
      <c r="CD126" s="22" t="s">
        <v>94</v>
      </c>
    </row>
    <row r="127" spans="1:82" s="41" customFormat="1" x14ac:dyDescent="0.2">
      <c r="A127" s="20" t="s">
        <v>75</v>
      </c>
      <c r="B127" s="21" t="s">
        <v>77</v>
      </c>
      <c r="C127" s="21" t="s">
        <v>78</v>
      </c>
      <c r="D127" s="20" t="s">
        <v>76</v>
      </c>
      <c r="F127" s="20" t="s">
        <v>120</v>
      </c>
      <c r="V127" s="41">
        <f>200/6</f>
        <v>33.333333333333336</v>
      </c>
      <c r="AE127" s="16" t="s">
        <v>114</v>
      </c>
      <c r="AF127" s="16"/>
      <c r="AG127" s="16"/>
      <c r="AI127" s="41" t="s">
        <v>122</v>
      </c>
      <c r="AJ127" s="40" t="s">
        <v>118</v>
      </c>
      <c r="AK127" s="41">
        <v>36</v>
      </c>
      <c r="AN127" t="s">
        <v>109</v>
      </c>
      <c r="AO127"/>
      <c r="AP127"/>
      <c r="AQ127"/>
      <c r="AR127"/>
      <c r="AS127"/>
      <c r="AT127"/>
      <c r="AU127"/>
      <c r="AV127"/>
      <c r="AW127"/>
      <c r="AX127"/>
      <c r="AY127"/>
      <c r="BH127" s="20" t="s">
        <v>100</v>
      </c>
      <c r="BI127" s="20">
        <v>2020</v>
      </c>
      <c r="BJ127" s="20"/>
      <c r="BK127" s="20"/>
      <c r="BO127" s="22" t="s">
        <v>102</v>
      </c>
      <c r="BZ127" t="s">
        <v>50</v>
      </c>
      <c r="CA127" s="41">
        <v>4</v>
      </c>
      <c r="CD127" s="22" t="s">
        <v>94</v>
      </c>
    </row>
    <row r="128" spans="1:82" s="41" customFormat="1" x14ac:dyDescent="0.2">
      <c r="A128" s="20" t="s">
        <v>75</v>
      </c>
      <c r="B128" s="21" t="s">
        <v>77</v>
      </c>
      <c r="C128" s="21" t="s">
        <v>78</v>
      </c>
      <c r="D128" s="20" t="s">
        <v>76</v>
      </c>
      <c r="F128" s="20" t="s">
        <v>120</v>
      </c>
      <c r="V128" s="41">
        <f>500/6</f>
        <v>83.333333333333329</v>
      </c>
      <c r="AE128" s="16" t="s">
        <v>114</v>
      </c>
      <c r="AF128" s="16"/>
      <c r="AG128" s="16"/>
      <c r="AI128" s="41" t="s">
        <v>89</v>
      </c>
      <c r="AJ128" s="40" t="s">
        <v>118</v>
      </c>
      <c r="AK128" s="41">
        <v>36</v>
      </c>
      <c r="AN128" t="s">
        <v>109</v>
      </c>
      <c r="AO128"/>
      <c r="AP128"/>
      <c r="AQ128"/>
      <c r="AR128"/>
      <c r="AS128"/>
      <c r="AT128"/>
      <c r="AU128"/>
      <c r="AV128"/>
      <c r="AW128"/>
      <c r="AX128"/>
      <c r="AY128"/>
      <c r="BH128" s="20" t="s">
        <v>100</v>
      </c>
      <c r="BI128" s="20">
        <v>2020</v>
      </c>
      <c r="BJ128" s="20"/>
      <c r="BK128" s="20"/>
      <c r="BO128" s="22" t="s">
        <v>102</v>
      </c>
      <c r="BZ128" t="s">
        <v>50</v>
      </c>
      <c r="CA128" s="41">
        <v>4</v>
      </c>
      <c r="CD128" s="22" t="s">
        <v>94</v>
      </c>
    </row>
    <row r="129" spans="1:82" s="46" customFormat="1" x14ac:dyDescent="0.2">
      <c r="A129" s="44" t="s">
        <v>75</v>
      </c>
      <c r="B129" s="45" t="s">
        <v>77</v>
      </c>
      <c r="C129" s="45" t="s">
        <v>78</v>
      </c>
      <c r="D129" s="44" t="s">
        <v>76</v>
      </c>
      <c r="F129" s="44" t="s">
        <v>120</v>
      </c>
      <c r="V129" s="46">
        <f>400/6</f>
        <v>66.666666666666671</v>
      </c>
      <c r="AE129" s="48" t="s">
        <v>114</v>
      </c>
      <c r="AF129" s="48"/>
      <c r="AG129" s="48"/>
      <c r="AI129" s="46" t="s">
        <v>123</v>
      </c>
      <c r="AJ129" s="49" t="s">
        <v>118</v>
      </c>
      <c r="AK129" s="46">
        <v>36</v>
      </c>
      <c r="AN129" s="48" t="s">
        <v>109</v>
      </c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BH129" s="44" t="s">
        <v>100</v>
      </c>
      <c r="BI129" s="44">
        <v>2020</v>
      </c>
      <c r="BJ129" s="44"/>
      <c r="BK129" s="44"/>
      <c r="BO129" s="47" t="s">
        <v>102</v>
      </c>
      <c r="BZ129" s="48" t="s">
        <v>50</v>
      </c>
      <c r="CA129" s="46">
        <v>4</v>
      </c>
      <c r="CD129" s="47" t="s">
        <v>94</v>
      </c>
    </row>
    <row r="130" spans="1:82" s="15" customFormat="1" x14ac:dyDescent="0.2">
      <c r="A130" s="20" t="s">
        <v>75</v>
      </c>
      <c r="B130" s="21" t="s">
        <v>77</v>
      </c>
      <c r="C130" s="21" t="s">
        <v>78</v>
      </c>
      <c r="D130" s="20" t="s">
        <v>76</v>
      </c>
      <c r="F130" s="20">
        <v>1</v>
      </c>
      <c r="I130" s="15" t="s">
        <v>250</v>
      </c>
      <c r="P130" s="15">
        <f>37*1000</f>
        <v>37000</v>
      </c>
      <c r="AE130" s="15" t="s">
        <v>120</v>
      </c>
      <c r="AJ130" s="40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BH130" s="20" t="s">
        <v>83</v>
      </c>
      <c r="BI130" s="20">
        <v>2015</v>
      </c>
      <c r="BJ130" s="20"/>
      <c r="BK130" s="20"/>
      <c r="BL130" s="15" t="s">
        <v>252</v>
      </c>
      <c r="BO130" s="79"/>
      <c r="BZ130" s="16"/>
      <c r="CD130" s="79"/>
    </row>
    <row r="131" spans="1:82" s="15" customFormat="1" x14ac:dyDescent="0.2">
      <c r="A131" s="20" t="s">
        <v>75</v>
      </c>
      <c r="B131" s="21" t="s">
        <v>77</v>
      </c>
      <c r="C131" s="21" t="s">
        <v>78</v>
      </c>
      <c r="D131" s="20" t="s">
        <v>76</v>
      </c>
      <c r="F131" s="20">
        <v>1</v>
      </c>
      <c r="I131" s="15" t="s">
        <v>250</v>
      </c>
      <c r="P131" s="15">
        <f>50*1000</f>
        <v>50000</v>
      </c>
      <c r="AE131" s="15" t="s">
        <v>120</v>
      </c>
      <c r="AJ131" s="40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BH131" s="20" t="s">
        <v>83</v>
      </c>
      <c r="BI131" s="20">
        <v>2015</v>
      </c>
      <c r="BJ131" s="20"/>
      <c r="BK131" s="20"/>
      <c r="BL131" s="15" t="s">
        <v>253</v>
      </c>
      <c r="BO131" s="79"/>
      <c r="BZ131" s="16"/>
      <c r="CD131" s="79"/>
    </row>
    <row r="132" spans="1:82" s="46" customFormat="1" x14ac:dyDescent="0.2">
      <c r="A132" s="44" t="s">
        <v>75</v>
      </c>
      <c r="B132" s="45" t="s">
        <v>77</v>
      </c>
      <c r="C132" s="45" t="s">
        <v>78</v>
      </c>
      <c r="D132" s="44" t="s">
        <v>76</v>
      </c>
      <c r="F132" s="44">
        <v>1</v>
      </c>
      <c r="I132" s="46" t="s">
        <v>250</v>
      </c>
      <c r="P132" s="46">
        <f xml:space="preserve"> 27 *1000</f>
        <v>27000</v>
      </c>
      <c r="AE132" s="46" t="s">
        <v>251</v>
      </c>
      <c r="AJ132" s="49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BH132" s="44" t="s">
        <v>83</v>
      </c>
      <c r="BI132" s="44">
        <v>205</v>
      </c>
      <c r="BJ132" s="44"/>
      <c r="BK132" s="44"/>
      <c r="BL132" s="46" t="s">
        <v>254</v>
      </c>
      <c r="BO132" s="47"/>
      <c r="BZ132" s="48"/>
      <c r="CD132" s="47"/>
    </row>
    <row r="133" spans="1:82" s="41" customFormat="1" x14ac:dyDescent="0.2">
      <c r="A133" s="20" t="s">
        <v>191</v>
      </c>
      <c r="B133" s="21" t="s">
        <v>192</v>
      </c>
      <c r="C133" s="21" t="s">
        <v>126</v>
      </c>
      <c r="D133" s="20" t="s">
        <v>125</v>
      </c>
      <c r="F133" s="41" t="s">
        <v>127</v>
      </c>
      <c r="J133" s="41">
        <v>0.74</v>
      </c>
      <c r="K133" s="41">
        <v>0.42</v>
      </c>
      <c r="L133" s="41">
        <v>0.34</v>
      </c>
      <c r="M133" s="41">
        <v>0.22</v>
      </c>
      <c r="P133" s="41">
        <v>208</v>
      </c>
      <c r="Q133" s="41">
        <v>134</v>
      </c>
      <c r="V133" s="41">
        <v>9</v>
      </c>
      <c r="W133" s="41">
        <v>2</v>
      </c>
      <c r="AE133" s="16" t="s">
        <v>114</v>
      </c>
      <c r="AF133" s="16"/>
      <c r="AG133" s="16"/>
      <c r="AI133" s="15" t="s">
        <v>129</v>
      </c>
      <c r="AJ133" s="40" t="s">
        <v>128</v>
      </c>
      <c r="AN133" t="s">
        <v>109</v>
      </c>
      <c r="AO133"/>
      <c r="AP133"/>
      <c r="AQ133"/>
      <c r="AR133"/>
      <c r="AS133"/>
      <c r="AT133"/>
      <c r="AU133"/>
      <c r="AV133"/>
      <c r="AW133"/>
      <c r="AX133"/>
      <c r="AY133"/>
      <c r="BH133" s="20" t="s">
        <v>133</v>
      </c>
      <c r="BI133" s="20">
        <v>2020</v>
      </c>
      <c r="BJ133" s="20"/>
      <c r="BK133" s="20"/>
      <c r="BL133" s="41" t="s">
        <v>131</v>
      </c>
      <c r="BT133" s="41" t="s">
        <v>24</v>
      </c>
      <c r="BY133" s="41" t="s">
        <v>132</v>
      </c>
      <c r="BZ133" s="15" t="s">
        <v>50</v>
      </c>
      <c r="CB133" s="41">
        <v>3</v>
      </c>
      <c r="CC133" s="41">
        <v>7</v>
      </c>
      <c r="CD133" s="20" t="s">
        <v>130</v>
      </c>
    </row>
    <row r="134" spans="1:82" x14ac:dyDescent="0.2">
      <c r="A134" s="20" t="s">
        <v>191</v>
      </c>
      <c r="B134" s="21" t="s">
        <v>192</v>
      </c>
      <c r="C134" s="21" t="s">
        <v>126</v>
      </c>
      <c r="D134" s="20" t="s">
        <v>125</v>
      </c>
      <c r="F134" s="41" t="s">
        <v>127</v>
      </c>
      <c r="J134">
        <v>0.7</v>
      </c>
      <c r="K134">
        <v>0.28000000000000003</v>
      </c>
      <c r="L134">
        <v>0.35</v>
      </c>
      <c r="M134">
        <v>0.19</v>
      </c>
      <c r="P134">
        <v>211</v>
      </c>
      <c r="Q134">
        <v>117</v>
      </c>
      <c r="V134">
        <v>9</v>
      </c>
      <c r="W134">
        <v>3</v>
      </c>
      <c r="AE134" s="16" t="s">
        <v>114</v>
      </c>
      <c r="AF134" s="16"/>
      <c r="AG134" s="16"/>
      <c r="AI134" s="15" t="s">
        <v>129</v>
      </c>
      <c r="AJ134" s="40" t="s">
        <v>128</v>
      </c>
      <c r="AN134" t="s">
        <v>109</v>
      </c>
      <c r="BH134" s="20" t="s">
        <v>133</v>
      </c>
      <c r="BI134" s="20">
        <v>2020</v>
      </c>
      <c r="BJ134" s="20"/>
      <c r="BK134" s="20"/>
      <c r="BL134" s="41" t="s">
        <v>131</v>
      </c>
      <c r="BT134" s="41" t="s">
        <v>24</v>
      </c>
      <c r="BY134" s="41" t="s">
        <v>132</v>
      </c>
      <c r="BZ134" s="15" t="s">
        <v>50</v>
      </c>
      <c r="CB134">
        <v>3</v>
      </c>
      <c r="CC134">
        <v>7</v>
      </c>
      <c r="CD134" s="50" t="s">
        <v>130</v>
      </c>
    </row>
    <row r="135" spans="1:82" x14ac:dyDescent="0.2">
      <c r="A135" s="20" t="s">
        <v>191</v>
      </c>
      <c r="B135" s="21" t="s">
        <v>192</v>
      </c>
      <c r="C135" s="21" t="s">
        <v>126</v>
      </c>
      <c r="D135" s="20" t="s">
        <v>125</v>
      </c>
      <c r="F135" s="41" t="s">
        <v>127</v>
      </c>
      <c r="J135">
        <v>0.52</v>
      </c>
      <c r="K135">
        <v>0.19</v>
      </c>
      <c r="L135">
        <v>0.34</v>
      </c>
      <c r="M135">
        <v>0.16</v>
      </c>
      <c r="P135">
        <v>206</v>
      </c>
      <c r="Q135">
        <v>97</v>
      </c>
      <c r="V135">
        <v>10</v>
      </c>
      <c r="W135">
        <v>0</v>
      </c>
      <c r="AE135" s="16" t="s">
        <v>114</v>
      </c>
      <c r="AF135" s="16"/>
      <c r="AG135" s="16"/>
      <c r="AI135" s="15" t="s">
        <v>129</v>
      </c>
      <c r="AJ135" s="40" t="s">
        <v>128</v>
      </c>
      <c r="AN135" t="s">
        <v>109</v>
      </c>
      <c r="BH135" s="20" t="s">
        <v>133</v>
      </c>
      <c r="BI135" s="20">
        <v>2020</v>
      </c>
      <c r="BJ135" s="20"/>
      <c r="BK135" s="20"/>
      <c r="BL135" s="41" t="s">
        <v>131</v>
      </c>
      <c r="BT135" s="41" t="s">
        <v>24</v>
      </c>
      <c r="BY135" s="41" t="s">
        <v>132</v>
      </c>
      <c r="BZ135" s="15" t="s">
        <v>50</v>
      </c>
      <c r="CB135">
        <v>3</v>
      </c>
      <c r="CC135">
        <v>7</v>
      </c>
      <c r="CD135" s="50" t="s">
        <v>130</v>
      </c>
    </row>
    <row r="136" spans="1:82" x14ac:dyDescent="0.2">
      <c r="A136" s="20" t="s">
        <v>191</v>
      </c>
      <c r="B136" s="21" t="s">
        <v>192</v>
      </c>
      <c r="C136" s="21" t="s">
        <v>126</v>
      </c>
      <c r="D136" s="20" t="s">
        <v>125</v>
      </c>
      <c r="F136">
        <v>1</v>
      </c>
      <c r="J136">
        <v>0.28000000000000003</v>
      </c>
      <c r="AE136" s="16" t="s">
        <v>114</v>
      </c>
      <c r="AF136" s="16"/>
      <c r="AG136" s="16"/>
      <c r="AI136" s="15" t="s">
        <v>129</v>
      </c>
      <c r="AJ136" s="40" t="s">
        <v>128</v>
      </c>
      <c r="AN136" t="s">
        <v>109</v>
      </c>
      <c r="BH136" s="20" t="s">
        <v>133</v>
      </c>
      <c r="BI136" s="20">
        <v>2020</v>
      </c>
      <c r="BJ136" s="20"/>
      <c r="BK136" s="20"/>
      <c r="BL136" s="41" t="s">
        <v>131</v>
      </c>
      <c r="BT136" s="41" t="s">
        <v>24</v>
      </c>
      <c r="BY136" s="41" t="s">
        <v>132</v>
      </c>
      <c r="BZ136" s="15" t="s">
        <v>50</v>
      </c>
      <c r="CB136">
        <v>3</v>
      </c>
      <c r="CC136">
        <v>7</v>
      </c>
      <c r="CD136" s="50" t="s">
        <v>130</v>
      </c>
    </row>
    <row r="137" spans="1:82" x14ac:dyDescent="0.2">
      <c r="A137" s="20" t="s">
        <v>191</v>
      </c>
      <c r="B137" s="21" t="s">
        <v>192</v>
      </c>
      <c r="C137" s="21" t="s">
        <v>126</v>
      </c>
      <c r="D137" s="20" t="s">
        <v>125</v>
      </c>
      <c r="F137">
        <v>1</v>
      </c>
      <c r="J137">
        <v>1.2</v>
      </c>
      <c r="AE137" s="16" t="s">
        <v>114</v>
      </c>
      <c r="AF137" s="16"/>
      <c r="AG137" s="16"/>
      <c r="AI137" s="15" t="s">
        <v>129</v>
      </c>
      <c r="AJ137" s="40" t="s">
        <v>128</v>
      </c>
      <c r="AN137" t="s">
        <v>109</v>
      </c>
      <c r="BH137" s="20" t="s">
        <v>133</v>
      </c>
      <c r="BI137" s="20">
        <v>2020</v>
      </c>
      <c r="BJ137" s="20"/>
      <c r="BK137" s="20"/>
      <c r="BL137" s="41" t="s">
        <v>131</v>
      </c>
      <c r="BT137" s="41" t="s">
        <v>24</v>
      </c>
      <c r="BY137" s="41" t="s">
        <v>132</v>
      </c>
      <c r="BZ137" s="15" t="s">
        <v>50</v>
      </c>
      <c r="CB137">
        <v>3</v>
      </c>
      <c r="CC137">
        <v>7</v>
      </c>
      <c r="CD137" s="50" t="s">
        <v>130</v>
      </c>
    </row>
    <row r="138" spans="1:82" x14ac:dyDescent="0.2">
      <c r="A138" s="20" t="s">
        <v>191</v>
      </c>
      <c r="B138" s="21" t="s">
        <v>192</v>
      </c>
      <c r="C138" s="21" t="s">
        <v>126</v>
      </c>
      <c r="D138" s="20" t="s">
        <v>125</v>
      </c>
      <c r="F138">
        <v>1</v>
      </c>
      <c r="J138">
        <v>0.06</v>
      </c>
      <c r="AE138" s="16" t="s">
        <v>114</v>
      </c>
      <c r="AF138" s="16"/>
      <c r="AG138" s="16"/>
      <c r="AI138" s="15" t="s">
        <v>129</v>
      </c>
      <c r="AJ138" s="40" t="s">
        <v>128</v>
      </c>
      <c r="AN138" t="s">
        <v>109</v>
      </c>
      <c r="BH138" s="20" t="s">
        <v>133</v>
      </c>
      <c r="BI138" s="20">
        <v>2020</v>
      </c>
      <c r="BJ138" s="20"/>
      <c r="BK138" s="20"/>
      <c r="BL138" s="41" t="s">
        <v>131</v>
      </c>
      <c r="BT138" s="41" t="s">
        <v>24</v>
      </c>
      <c r="BY138" s="41" t="s">
        <v>132</v>
      </c>
      <c r="BZ138" s="15" t="s">
        <v>50</v>
      </c>
      <c r="CB138">
        <v>3</v>
      </c>
      <c r="CC138">
        <v>7</v>
      </c>
      <c r="CD138" s="50" t="s">
        <v>130</v>
      </c>
    </row>
    <row r="139" spans="1:82" x14ac:dyDescent="0.2">
      <c r="A139" s="20" t="s">
        <v>191</v>
      </c>
      <c r="B139" s="21" t="s">
        <v>192</v>
      </c>
      <c r="C139" s="21" t="s">
        <v>126</v>
      </c>
      <c r="D139" s="20" t="s">
        <v>125</v>
      </c>
      <c r="F139">
        <v>1</v>
      </c>
      <c r="J139">
        <v>1.7</v>
      </c>
      <c r="AE139" s="16" t="s">
        <v>114</v>
      </c>
      <c r="AF139" s="16"/>
      <c r="AG139" s="16"/>
      <c r="AI139" s="15" t="s">
        <v>129</v>
      </c>
      <c r="AJ139" s="40" t="s">
        <v>128</v>
      </c>
      <c r="AN139" t="s">
        <v>109</v>
      </c>
      <c r="BH139" s="20" t="s">
        <v>133</v>
      </c>
      <c r="BI139" s="20">
        <v>2020</v>
      </c>
      <c r="BJ139" s="20"/>
      <c r="BK139" s="20"/>
      <c r="BL139" s="41" t="s">
        <v>131</v>
      </c>
      <c r="BT139" s="41" t="s">
        <v>24</v>
      </c>
      <c r="BY139" s="41" t="s">
        <v>132</v>
      </c>
      <c r="BZ139" s="15" t="s">
        <v>50</v>
      </c>
      <c r="CB139">
        <v>3</v>
      </c>
      <c r="CC139">
        <v>7</v>
      </c>
      <c r="CD139" s="50" t="s">
        <v>130</v>
      </c>
    </row>
    <row r="140" spans="1:82" x14ac:dyDescent="0.2">
      <c r="A140" s="20" t="s">
        <v>191</v>
      </c>
      <c r="B140" s="21" t="s">
        <v>192</v>
      </c>
      <c r="C140" s="21" t="s">
        <v>126</v>
      </c>
      <c r="D140" s="20" t="s">
        <v>125</v>
      </c>
      <c r="F140">
        <v>1</v>
      </c>
      <c r="J140">
        <v>0.18</v>
      </c>
      <c r="AE140" s="16" t="s">
        <v>114</v>
      </c>
      <c r="AF140" s="16"/>
      <c r="AG140" s="16"/>
      <c r="AI140" s="15" t="s">
        <v>129</v>
      </c>
      <c r="AJ140" s="40" t="s">
        <v>128</v>
      </c>
      <c r="AN140" t="s">
        <v>109</v>
      </c>
      <c r="BH140" s="20" t="s">
        <v>133</v>
      </c>
      <c r="BI140" s="20">
        <v>2020</v>
      </c>
      <c r="BJ140" s="20"/>
      <c r="BK140" s="20"/>
      <c r="BL140" s="41" t="s">
        <v>131</v>
      </c>
      <c r="BT140" s="41" t="s">
        <v>24</v>
      </c>
      <c r="BY140" s="41" t="s">
        <v>132</v>
      </c>
      <c r="BZ140" s="15" t="s">
        <v>50</v>
      </c>
      <c r="CB140">
        <v>3</v>
      </c>
      <c r="CC140">
        <v>7</v>
      </c>
      <c r="CD140" s="50" t="s">
        <v>130</v>
      </c>
    </row>
    <row r="141" spans="1:82" x14ac:dyDescent="0.2">
      <c r="A141" s="20" t="s">
        <v>191</v>
      </c>
      <c r="B141" s="21" t="s">
        <v>192</v>
      </c>
      <c r="C141" s="21" t="s">
        <v>126</v>
      </c>
      <c r="D141" s="20" t="s">
        <v>125</v>
      </c>
      <c r="F141">
        <v>1</v>
      </c>
      <c r="J141">
        <v>0.88</v>
      </c>
      <c r="AE141" s="16" t="s">
        <v>114</v>
      </c>
      <c r="AF141" s="16"/>
      <c r="AG141" s="16"/>
      <c r="AI141" s="15" t="s">
        <v>129</v>
      </c>
      <c r="AJ141" s="40" t="s">
        <v>128</v>
      </c>
      <c r="AN141" t="s">
        <v>109</v>
      </c>
      <c r="BH141" s="20" t="s">
        <v>133</v>
      </c>
      <c r="BI141" s="20">
        <v>2020</v>
      </c>
      <c r="BJ141" s="20"/>
      <c r="BK141" s="20"/>
      <c r="BL141" s="41" t="s">
        <v>131</v>
      </c>
      <c r="BT141" s="41" t="s">
        <v>24</v>
      </c>
      <c r="BY141" s="41" t="s">
        <v>132</v>
      </c>
      <c r="BZ141" s="15" t="s">
        <v>50</v>
      </c>
      <c r="CB141">
        <v>3</v>
      </c>
      <c r="CC141">
        <v>7</v>
      </c>
      <c r="CD141" s="50" t="s">
        <v>130</v>
      </c>
    </row>
    <row r="142" spans="1:82" x14ac:dyDescent="0.2">
      <c r="A142" s="20" t="s">
        <v>191</v>
      </c>
      <c r="B142" s="21" t="s">
        <v>192</v>
      </c>
      <c r="C142" s="21" t="s">
        <v>126</v>
      </c>
      <c r="D142" s="20" t="s">
        <v>125</v>
      </c>
      <c r="F142">
        <v>1</v>
      </c>
      <c r="L142">
        <v>0.06</v>
      </c>
      <c r="AE142" s="16" t="s">
        <v>114</v>
      </c>
      <c r="AF142" s="16"/>
      <c r="AG142" s="16"/>
      <c r="AI142" s="15" t="s">
        <v>129</v>
      </c>
      <c r="AJ142" s="40" t="s">
        <v>128</v>
      </c>
      <c r="AN142" t="s">
        <v>109</v>
      </c>
      <c r="BH142" s="20" t="s">
        <v>133</v>
      </c>
      <c r="BI142" s="20">
        <v>2020</v>
      </c>
      <c r="BJ142" s="20"/>
      <c r="BK142" s="20"/>
      <c r="BL142" s="41" t="s">
        <v>131</v>
      </c>
      <c r="BT142" s="41" t="s">
        <v>24</v>
      </c>
      <c r="BY142" s="41" t="s">
        <v>132</v>
      </c>
      <c r="BZ142" s="15" t="s">
        <v>50</v>
      </c>
      <c r="CB142">
        <v>3</v>
      </c>
      <c r="CC142">
        <v>7</v>
      </c>
      <c r="CD142" s="50" t="s">
        <v>130</v>
      </c>
    </row>
    <row r="143" spans="1:82" x14ac:dyDescent="0.2">
      <c r="A143" s="20" t="s">
        <v>191</v>
      </c>
      <c r="B143" s="21" t="s">
        <v>192</v>
      </c>
      <c r="C143" s="21" t="s">
        <v>126</v>
      </c>
      <c r="D143" s="20" t="s">
        <v>125</v>
      </c>
      <c r="F143">
        <v>1</v>
      </c>
      <c r="L143">
        <v>0.73</v>
      </c>
      <c r="AE143" s="16" t="s">
        <v>114</v>
      </c>
      <c r="AF143" s="16"/>
      <c r="AG143" s="16"/>
      <c r="AI143" s="15" t="s">
        <v>129</v>
      </c>
      <c r="AJ143" s="40" t="s">
        <v>128</v>
      </c>
      <c r="AN143" t="s">
        <v>109</v>
      </c>
      <c r="BH143" s="20" t="s">
        <v>133</v>
      </c>
      <c r="BI143" s="20">
        <v>2020</v>
      </c>
      <c r="BJ143" s="20"/>
      <c r="BK143" s="20"/>
      <c r="BL143" s="41" t="s">
        <v>131</v>
      </c>
      <c r="BT143" s="41" t="s">
        <v>24</v>
      </c>
      <c r="BY143" s="41" t="s">
        <v>132</v>
      </c>
      <c r="BZ143" s="15" t="s">
        <v>50</v>
      </c>
      <c r="CB143">
        <v>3</v>
      </c>
      <c r="CC143">
        <v>7</v>
      </c>
      <c r="CD143" s="50" t="s">
        <v>130</v>
      </c>
    </row>
    <row r="144" spans="1:82" x14ac:dyDescent="0.2">
      <c r="A144" s="20" t="s">
        <v>191</v>
      </c>
      <c r="B144" s="21" t="s">
        <v>192</v>
      </c>
      <c r="C144" s="21" t="s">
        <v>126</v>
      </c>
      <c r="D144" s="20" t="s">
        <v>125</v>
      </c>
      <c r="F144">
        <v>1</v>
      </c>
      <c r="L144">
        <v>0.01</v>
      </c>
      <c r="AE144" s="16" t="s">
        <v>114</v>
      </c>
      <c r="AF144" s="16"/>
      <c r="AG144" s="16"/>
      <c r="AI144" s="15" t="s">
        <v>129</v>
      </c>
      <c r="AJ144" s="40" t="s">
        <v>128</v>
      </c>
      <c r="AN144" t="s">
        <v>109</v>
      </c>
      <c r="BH144" s="20" t="s">
        <v>133</v>
      </c>
      <c r="BI144" s="20">
        <v>2020</v>
      </c>
      <c r="BJ144" s="20"/>
      <c r="BK144" s="20"/>
      <c r="BL144" s="41" t="s">
        <v>131</v>
      </c>
      <c r="BT144" s="41" t="s">
        <v>24</v>
      </c>
      <c r="BY144" s="41" t="s">
        <v>132</v>
      </c>
      <c r="BZ144" s="15" t="s">
        <v>50</v>
      </c>
      <c r="CB144">
        <v>3</v>
      </c>
      <c r="CC144">
        <v>7</v>
      </c>
      <c r="CD144" s="50" t="s">
        <v>130</v>
      </c>
    </row>
    <row r="145" spans="1:82" x14ac:dyDescent="0.2">
      <c r="A145" s="20" t="s">
        <v>191</v>
      </c>
      <c r="B145" s="21" t="s">
        <v>192</v>
      </c>
      <c r="C145" s="21" t="s">
        <v>126</v>
      </c>
      <c r="D145" s="20" t="s">
        <v>125</v>
      </c>
      <c r="F145">
        <v>1</v>
      </c>
      <c r="L145">
        <v>0.68</v>
      </c>
      <c r="AE145" s="16" t="s">
        <v>114</v>
      </c>
      <c r="AF145" s="16"/>
      <c r="AG145" s="16"/>
      <c r="AI145" s="15" t="s">
        <v>129</v>
      </c>
      <c r="AJ145" s="40" t="s">
        <v>128</v>
      </c>
      <c r="AN145" t="s">
        <v>109</v>
      </c>
      <c r="BH145" s="20" t="s">
        <v>133</v>
      </c>
      <c r="BI145" s="20">
        <v>2020</v>
      </c>
      <c r="BJ145" s="20"/>
      <c r="BK145" s="20"/>
      <c r="BL145" s="41" t="s">
        <v>131</v>
      </c>
      <c r="BT145" s="41" t="s">
        <v>24</v>
      </c>
      <c r="BY145" s="41" t="s">
        <v>132</v>
      </c>
      <c r="BZ145" s="15" t="s">
        <v>50</v>
      </c>
      <c r="CB145">
        <v>3</v>
      </c>
      <c r="CC145">
        <v>7</v>
      </c>
      <c r="CD145" s="50" t="s">
        <v>130</v>
      </c>
    </row>
    <row r="146" spans="1:82" x14ac:dyDescent="0.2">
      <c r="A146" s="20" t="s">
        <v>191</v>
      </c>
      <c r="B146" s="21" t="s">
        <v>192</v>
      </c>
      <c r="C146" s="21" t="s">
        <v>126</v>
      </c>
      <c r="D146" s="20" t="s">
        <v>125</v>
      </c>
      <c r="F146">
        <v>1</v>
      </c>
      <c r="L146">
        <v>0.12</v>
      </c>
      <c r="AE146" s="16" t="s">
        <v>114</v>
      </c>
      <c r="AF146" s="16"/>
      <c r="AG146" s="16"/>
      <c r="AI146" s="15" t="s">
        <v>129</v>
      </c>
      <c r="AJ146" s="40" t="s">
        <v>128</v>
      </c>
      <c r="AN146" t="s">
        <v>109</v>
      </c>
      <c r="BH146" s="20" t="s">
        <v>133</v>
      </c>
      <c r="BI146" s="20">
        <v>2020</v>
      </c>
      <c r="BJ146" s="20"/>
      <c r="BK146" s="20"/>
      <c r="BL146" s="41" t="s">
        <v>131</v>
      </c>
      <c r="BT146" s="41" t="s">
        <v>24</v>
      </c>
      <c r="BY146" s="41" t="s">
        <v>132</v>
      </c>
      <c r="BZ146" s="15" t="s">
        <v>50</v>
      </c>
      <c r="CB146">
        <v>3</v>
      </c>
      <c r="CC146">
        <v>7</v>
      </c>
      <c r="CD146" s="50" t="s">
        <v>130</v>
      </c>
    </row>
    <row r="147" spans="1:82" x14ac:dyDescent="0.2">
      <c r="A147" s="20" t="s">
        <v>191</v>
      </c>
      <c r="B147" s="21" t="s">
        <v>192</v>
      </c>
      <c r="C147" s="21" t="s">
        <v>126</v>
      </c>
      <c r="D147" s="20" t="s">
        <v>125</v>
      </c>
      <c r="F147">
        <v>1</v>
      </c>
      <c r="L147">
        <v>0.66</v>
      </c>
      <c r="AE147" s="16" t="s">
        <v>114</v>
      </c>
      <c r="AF147" s="16"/>
      <c r="AG147" s="16"/>
      <c r="AI147" s="15" t="s">
        <v>129</v>
      </c>
      <c r="AJ147" s="40" t="s">
        <v>128</v>
      </c>
      <c r="AN147" t="s">
        <v>109</v>
      </c>
      <c r="BH147" s="20" t="s">
        <v>133</v>
      </c>
      <c r="BI147" s="20">
        <v>2020</v>
      </c>
      <c r="BJ147" s="20"/>
      <c r="BK147" s="20"/>
      <c r="BL147" s="41" t="s">
        <v>131</v>
      </c>
      <c r="BT147" s="41" t="s">
        <v>24</v>
      </c>
      <c r="BY147" s="41" t="s">
        <v>132</v>
      </c>
      <c r="BZ147" s="15" t="s">
        <v>50</v>
      </c>
      <c r="CB147">
        <v>3</v>
      </c>
      <c r="CC147">
        <v>7</v>
      </c>
      <c r="CD147" s="50" t="s">
        <v>130</v>
      </c>
    </row>
    <row r="148" spans="1:82" x14ac:dyDescent="0.2">
      <c r="A148" s="20" t="s">
        <v>191</v>
      </c>
      <c r="B148" s="21" t="s">
        <v>192</v>
      </c>
      <c r="C148" s="21" t="s">
        <v>126</v>
      </c>
      <c r="D148" s="20" t="s">
        <v>125</v>
      </c>
      <c r="F148" s="2">
        <v>1</v>
      </c>
      <c r="N148">
        <v>35</v>
      </c>
      <c r="AE148" s="16" t="s">
        <v>114</v>
      </c>
      <c r="AF148" s="16"/>
      <c r="AG148" s="16"/>
      <c r="AI148" s="15" t="s">
        <v>129</v>
      </c>
      <c r="AJ148" s="40" t="s">
        <v>128</v>
      </c>
      <c r="AN148" t="s">
        <v>109</v>
      </c>
      <c r="BH148" s="20" t="s">
        <v>133</v>
      </c>
      <c r="BI148" s="20">
        <v>2020</v>
      </c>
      <c r="BJ148" s="20"/>
      <c r="BK148" s="20"/>
      <c r="BL148" s="41" t="s">
        <v>131</v>
      </c>
      <c r="BT148" s="41" t="s">
        <v>24</v>
      </c>
      <c r="BY148" s="41" t="s">
        <v>132</v>
      </c>
      <c r="BZ148" s="15" t="s">
        <v>50</v>
      </c>
      <c r="CB148">
        <v>3</v>
      </c>
      <c r="CC148">
        <v>7</v>
      </c>
      <c r="CD148" s="50" t="s">
        <v>130</v>
      </c>
    </row>
    <row r="149" spans="1:82" x14ac:dyDescent="0.2">
      <c r="A149" s="20" t="s">
        <v>191</v>
      </c>
      <c r="B149" s="21" t="s">
        <v>192</v>
      </c>
      <c r="C149" s="21" t="s">
        <v>126</v>
      </c>
      <c r="D149" s="20" t="s">
        <v>125</v>
      </c>
      <c r="F149" s="2">
        <v>1</v>
      </c>
      <c r="N149">
        <v>445</v>
      </c>
      <c r="AE149" s="16" t="s">
        <v>114</v>
      </c>
      <c r="AF149" s="16"/>
      <c r="AG149" s="16"/>
      <c r="AI149" s="15" t="s">
        <v>129</v>
      </c>
      <c r="AJ149" s="40" t="s">
        <v>128</v>
      </c>
      <c r="AN149" t="s">
        <v>109</v>
      </c>
      <c r="BH149" s="20" t="s">
        <v>133</v>
      </c>
      <c r="BI149" s="20">
        <v>2020</v>
      </c>
      <c r="BJ149" s="20"/>
      <c r="BK149" s="20"/>
      <c r="BL149" s="41" t="s">
        <v>131</v>
      </c>
      <c r="BT149" s="41" t="s">
        <v>24</v>
      </c>
      <c r="BY149" s="41" t="s">
        <v>132</v>
      </c>
      <c r="BZ149" s="15" t="s">
        <v>50</v>
      </c>
      <c r="CB149">
        <v>3</v>
      </c>
      <c r="CC149">
        <v>7</v>
      </c>
      <c r="CD149" s="50" t="s">
        <v>130</v>
      </c>
    </row>
    <row r="150" spans="1:82" x14ac:dyDescent="0.2">
      <c r="A150" s="20" t="s">
        <v>191</v>
      </c>
      <c r="B150" s="21" t="s">
        <v>192</v>
      </c>
      <c r="C150" s="21" t="s">
        <v>126</v>
      </c>
      <c r="D150" s="20" t="s">
        <v>125</v>
      </c>
      <c r="F150" s="2">
        <v>1</v>
      </c>
      <c r="N150">
        <v>4</v>
      </c>
      <c r="AE150" s="16" t="s">
        <v>114</v>
      </c>
      <c r="AF150" s="16"/>
      <c r="AG150" s="16"/>
      <c r="AI150" s="15" t="s">
        <v>129</v>
      </c>
      <c r="AJ150" s="40" t="s">
        <v>128</v>
      </c>
      <c r="AN150" t="s">
        <v>109</v>
      </c>
      <c r="BH150" s="20" t="s">
        <v>133</v>
      </c>
      <c r="BI150" s="20">
        <v>2020</v>
      </c>
      <c r="BJ150" s="20"/>
      <c r="BK150" s="20"/>
      <c r="BL150" s="41" t="s">
        <v>131</v>
      </c>
      <c r="BT150" s="41" t="s">
        <v>24</v>
      </c>
      <c r="BY150" s="41" t="s">
        <v>132</v>
      </c>
      <c r="BZ150" s="15" t="s">
        <v>50</v>
      </c>
      <c r="CB150">
        <v>3</v>
      </c>
      <c r="CC150">
        <v>7</v>
      </c>
      <c r="CD150" s="50" t="s">
        <v>130</v>
      </c>
    </row>
    <row r="151" spans="1:82" x14ac:dyDescent="0.2">
      <c r="A151" s="20" t="s">
        <v>191</v>
      </c>
      <c r="B151" s="21" t="s">
        <v>192</v>
      </c>
      <c r="C151" s="21" t="s">
        <v>126</v>
      </c>
      <c r="D151" s="20" t="s">
        <v>125</v>
      </c>
      <c r="F151" s="2">
        <v>1</v>
      </c>
      <c r="N151">
        <v>407</v>
      </c>
      <c r="AE151" s="16" t="s">
        <v>114</v>
      </c>
      <c r="AF151" s="16"/>
      <c r="AG151" s="16"/>
      <c r="AI151" s="15" t="s">
        <v>129</v>
      </c>
      <c r="AJ151" s="40" t="s">
        <v>128</v>
      </c>
      <c r="AN151" t="s">
        <v>109</v>
      </c>
      <c r="BH151" s="20" t="s">
        <v>133</v>
      </c>
      <c r="BI151" s="20">
        <v>2020</v>
      </c>
      <c r="BJ151" s="20"/>
      <c r="BK151" s="20"/>
      <c r="BL151" s="41" t="s">
        <v>131</v>
      </c>
      <c r="BT151" s="41" t="s">
        <v>24</v>
      </c>
      <c r="BY151" s="41" t="s">
        <v>132</v>
      </c>
      <c r="BZ151" s="15" t="s">
        <v>50</v>
      </c>
      <c r="CB151">
        <v>3</v>
      </c>
      <c r="CC151">
        <v>7</v>
      </c>
      <c r="CD151" s="50" t="s">
        <v>130</v>
      </c>
    </row>
    <row r="152" spans="1:82" x14ac:dyDescent="0.2">
      <c r="A152" s="20" t="s">
        <v>191</v>
      </c>
      <c r="B152" s="21" t="s">
        <v>192</v>
      </c>
      <c r="C152" s="21" t="s">
        <v>126</v>
      </c>
      <c r="D152" s="20" t="s">
        <v>125</v>
      </c>
      <c r="F152" s="2">
        <v>1</v>
      </c>
      <c r="N152">
        <v>66</v>
      </c>
      <c r="AE152" s="16" t="s">
        <v>114</v>
      </c>
      <c r="AF152" s="16"/>
      <c r="AG152" s="16"/>
      <c r="AI152" s="15" t="s">
        <v>129</v>
      </c>
      <c r="AJ152" s="40" t="s">
        <v>128</v>
      </c>
      <c r="AN152" t="s">
        <v>109</v>
      </c>
      <c r="BH152" s="20" t="s">
        <v>133</v>
      </c>
      <c r="BI152" s="20">
        <v>2020</v>
      </c>
      <c r="BJ152" s="20"/>
      <c r="BK152" s="20"/>
      <c r="BL152" s="41" t="s">
        <v>131</v>
      </c>
      <c r="BT152" s="41" t="s">
        <v>24</v>
      </c>
      <c r="BY152" s="41" t="s">
        <v>132</v>
      </c>
      <c r="BZ152" s="15" t="s">
        <v>50</v>
      </c>
      <c r="CB152">
        <v>3</v>
      </c>
      <c r="CC152">
        <v>7</v>
      </c>
      <c r="CD152" s="50" t="s">
        <v>130</v>
      </c>
    </row>
    <row r="153" spans="1:82" x14ac:dyDescent="0.2">
      <c r="A153" s="20" t="s">
        <v>191</v>
      </c>
      <c r="B153" s="21" t="s">
        <v>192</v>
      </c>
      <c r="C153" s="21" t="s">
        <v>126</v>
      </c>
      <c r="D153" s="20" t="s">
        <v>125</v>
      </c>
      <c r="F153" s="2">
        <v>1</v>
      </c>
      <c r="N153">
        <v>401</v>
      </c>
      <c r="AE153" s="16" t="s">
        <v>114</v>
      </c>
      <c r="AF153" s="16"/>
      <c r="AG153" s="16"/>
      <c r="AI153" s="15" t="s">
        <v>129</v>
      </c>
      <c r="AJ153" s="40" t="s">
        <v>128</v>
      </c>
      <c r="AN153" t="s">
        <v>109</v>
      </c>
      <c r="BH153" s="20" t="s">
        <v>133</v>
      </c>
      <c r="BI153" s="20">
        <v>2020</v>
      </c>
      <c r="BJ153" s="20"/>
      <c r="BK153" s="20"/>
      <c r="BL153" s="41" t="s">
        <v>131</v>
      </c>
      <c r="BT153" s="41" t="s">
        <v>24</v>
      </c>
      <c r="BY153" s="41" t="s">
        <v>132</v>
      </c>
      <c r="BZ153" s="15" t="s">
        <v>50</v>
      </c>
      <c r="CB153">
        <v>3</v>
      </c>
      <c r="CC153">
        <v>7</v>
      </c>
      <c r="CD153" s="50" t="s">
        <v>130</v>
      </c>
    </row>
    <row r="154" spans="1:82" x14ac:dyDescent="0.2">
      <c r="A154" s="20" t="s">
        <v>191</v>
      </c>
      <c r="B154" s="21" t="s">
        <v>192</v>
      </c>
      <c r="C154" s="21" t="s">
        <v>126</v>
      </c>
      <c r="D154" s="20" t="s">
        <v>125</v>
      </c>
      <c r="F154" s="2">
        <v>1</v>
      </c>
      <c r="V154">
        <v>4</v>
      </c>
      <c r="AE154" s="16" t="s">
        <v>114</v>
      </c>
      <c r="AF154" s="16"/>
      <c r="AG154" s="16"/>
      <c r="AI154" s="15" t="s">
        <v>129</v>
      </c>
      <c r="AJ154" s="40" t="s">
        <v>128</v>
      </c>
      <c r="AN154" t="s">
        <v>109</v>
      </c>
      <c r="BH154" s="20" t="s">
        <v>133</v>
      </c>
      <c r="BI154" s="20">
        <v>2020</v>
      </c>
      <c r="BJ154" s="20"/>
      <c r="BK154" s="20"/>
      <c r="BL154" s="41" t="s">
        <v>131</v>
      </c>
      <c r="BT154" s="41" t="s">
        <v>24</v>
      </c>
      <c r="BY154" s="41" t="s">
        <v>132</v>
      </c>
      <c r="BZ154" s="15" t="s">
        <v>50</v>
      </c>
      <c r="CB154">
        <v>3</v>
      </c>
      <c r="CC154">
        <v>7</v>
      </c>
      <c r="CD154" s="50" t="s">
        <v>130</v>
      </c>
    </row>
    <row r="155" spans="1:82" x14ac:dyDescent="0.2">
      <c r="A155" s="20" t="s">
        <v>191</v>
      </c>
      <c r="B155" s="21" t="s">
        <v>192</v>
      </c>
      <c r="C155" s="21" t="s">
        <v>126</v>
      </c>
      <c r="D155" s="20" t="s">
        <v>125</v>
      </c>
      <c r="F155" s="2">
        <v>1</v>
      </c>
      <c r="V155">
        <v>10</v>
      </c>
      <c r="AE155" s="16" t="s">
        <v>114</v>
      </c>
      <c r="AF155" s="16"/>
      <c r="AG155" s="16"/>
      <c r="AI155" s="15" t="s">
        <v>129</v>
      </c>
      <c r="AJ155" s="40" t="s">
        <v>128</v>
      </c>
      <c r="AN155" t="s">
        <v>109</v>
      </c>
      <c r="BH155" s="20" t="s">
        <v>133</v>
      </c>
      <c r="BI155" s="20">
        <v>2020</v>
      </c>
      <c r="BJ155" s="20"/>
      <c r="BK155" s="20"/>
      <c r="BL155" s="41" t="s">
        <v>131</v>
      </c>
      <c r="BT155" s="41" t="s">
        <v>24</v>
      </c>
      <c r="BY155" s="41" t="s">
        <v>132</v>
      </c>
      <c r="BZ155" s="15" t="s">
        <v>50</v>
      </c>
      <c r="CB155">
        <v>3</v>
      </c>
      <c r="CC155">
        <v>7</v>
      </c>
      <c r="CD155" s="50" t="s">
        <v>130</v>
      </c>
    </row>
    <row r="156" spans="1:82" x14ac:dyDescent="0.2">
      <c r="A156" s="20" t="s">
        <v>191</v>
      </c>
      <c r="B156" s="21" t="s">
        <v>192</v>
      </c>
      <c r="C156" s="21" t="s">
        <v>126</v>
      </c>
      <c r="D156" s="20" t="s">
        <v>125</v>
      </c>
      <c r="F156" s="2">
        <v>1</v>
      </c>
      <c r="V156">
        <v>1</v>
      </c>
      <c r="AE156" s="16" t="s">
        <v>114</v>
      </c>
      <c r="AF156" s="16"/>
      <c r="AG156" s="16"/>
      <c r="AI156" s="15" t="s">
        <v>129</v>
      </c>
      <c r="AJ156" s="40" t="s">
        <v>128</v>
      </c>
      <c r="AN156" t="s">
        <v>109</v>
      </c>
      <c r="BH156" s="20" t="s">
        <v>133</v>
      </c>
      <c r="BI156" s="20">
        <v>2020</v>
      </c>
      <c r="BJ156" s="20"/>
      <c r="BK156" s="20"/>
      <c r="BL156" s="41" t="s">
        <v>131</v>
      </c>
      <c r="BT156" s="41" t="s">
        <v>24</v>
      </c>
      <c r="BY156" s="41" t="s">
        <v>132</v>
      </c>
      <c r="BZ156" s="15" t="s">
        <v>50</v>
      </c>
      <c r="CB156">
        <v>3</v>
      </c>
      <c r="CC156">
        <v>7</v>
      </c>
      <c r="CD156" s="50" t="s">
        <v>130</v>
      </c>
    </row>
    <row r="157" spans="1:82" x14ac:dyDescent="0.2">
      <c r="A157" s="20" t="s">
        <v>191</v>
      </c>
      <c r="B157" s="21" t="s">
        <v>192</v>
      </c>
      <c r="C157" s="21" t="s">
        <v>126</v>
      </c>
      <c r="D157" s="20" t="s">
        <v>125</v>
      </c>
      <c r="F157" s="2">
        <v>1</v>
      </c>
      <c r="V157">
        <v>10</v>
      </c>
      <c r="AE157" s="16" t="s">
        <v>114</v>
      </c>
      <c r="AF157" s="16"/>
      <c r="AG157" s="16"/>
      <c r="AI157" s="15" t="s">
        <v>129</v>
      </c>
      <c r="AJ157" s="40" t="s">
        <v>128</v>
      </c>
      <c r="AN157" t="s">
        <v>109</v>
      </c>
      <c r="BH157" s="20" t="s">
        <v>133</v>
      </c>
      <c r="BI157" s="20">
        <v>2020</v>
      </c>
      <c r="BJ157" s="20"/>
      <c r="BK157" s="20"/>
      <c r="BL157" s="41" t="s">
        <v>131</v>
      </c>
      <c r="BT157" s="41" t="s">
        <v>24</v>
      </c>
      <c r="BY157" s="41" t="s">
        <v>132</v>
      </c>
      <c r="BZ157" s="15" t="s">
        <v>50</v>
      </c>
      <c r="CB157">
        <v>3</v>
      </c>
      <c r="CC157">
        <v>7</v>
      </c>
      <c r="CD157" s="50" t="s">
        <v>130</v>
      </c>
    </row>
    <row r="158" spans="1:82" x14ac:dyDescent="0.2">
      <c r="A158" s="20" t="s">
        <v>191</v>
      </c>
      <c r="B158" s="21" t="s">
        <v>192</v>
      </c>
      <c r="C158" s="21" t="s">
        <v>126</v>
      </c>
      <c r="D158" s="20" t="s">
        <v>125</v>
      </c>
      <c r="F158" s="2">
        <v>1</v>
      </c>
      <c r="V158">
        <v>9</v>
      </c>
      <c r="AE158" s="16" t="s">
        <v>114</v>
      </c>
      <c r="AF158" s="16"/>
      <c r="AG158" s="16"/>
      <c r="AI158" s="15" t="s">
        <v>129</v>
      </c>
      <c r="AJ158" s="40" t="s">
        <v>128</v>
      </c>
      <c r="AN158" t="s">
        <v>109</v>
      </c>
      <c r="BH158" s="20" t="s">
        <v>133</v>
      </c>
      <c r="BI158" s="20">
        <v>2020</v>
      </c>
      <c r="BJ158" s="20"/>
      <c r="BK158" s="20"/>
      <c r="BL158" s="41" t="s">
        <v>131</v>
      </c>
      <c r="BT158" s="41" t="s">
        <v>24</v>
      </c>
      <c r="BY158" s="41" t="s">
        <v>132</v>
      </c>
      <c r="BZ158" s="15" t="s">
        <v>50</v>
      </c>
      <c r="CB158">
        <v>3</v>
      </c>
      <c r="CC158">
        <v>7</v>
      </c>
      <c r="CD158" s="50" t="s">
        <v>130</v>
      </c>
    </row>
    <row r="159" spans="1:82" s="48" customFormat="1" x14ac:dyDescent="0.2">
      <c r="A159" s="20" t="s">
        <v>191</v>
      </c>
      <c r="B159" s="45" t="s">
        <v>192</v>
      </c>
      <c r="C159" s="45" t="s">
        <v>126</v>
      </c>
      <c r="D159" s="44" t="s">
        <v>125</v>
      </c>
      <c r="F159" s="51">
        <v>1</v>
      </c>
      <c r="V159" s="48">
        <v>10</v>
      </c>
      <c r="AE159" s="48" t="s">
        <v>114</v>
      </c>
      <c r="AI159" s="46" t="s">
        <v>129</v>
      </c>
      <c r="AJ159" s="49" t="s">
        <v>128</v>
      </c>
      <c r="AN159" s="48" t="s">
        <v>109</v>
      </c>
      <c r="BH159" s="44" t="s">
        <v>133</v>
      </c>
      <c r="BI159" s="44">
        <v>2020</v>
      </c>
      <c r="BJ159" s="44"/>
      <c r="BK159" s="44"/>
      <c r="BL159" s="46" t="s">
        <v>131</v>
      </c>
      <c r="BT159" s="46" t="s">
        <v>24</v>
      </c>
      <c r="BY159" s="46" t="s">
        <v>132</v>
      </c>
      <c r="BZ159" s="46" t="s">
        <v>50</v>
      </c>
      <c r="CB159" s="48">
        <v>3</v>
      </c>
      <c r="CC159" s="48">
        <v>7</v>
      </c>
      <c r="CD159" s="52" t="s">
        <v>130</v>
      </c>
    </row>
    <row r="160" spans="1:82" s="56" customFormat="1" x14ac:dyDescent="0.2">
      <c r="A160" s="53" t="s">
        <v>189</v>
      </c>
      <c r="B160" s="54" t="s">
        <v>190</v>
      </c>
      <c r="C160" s="54" t="s">
        <v>78</v>
      </c>
      <c r="D160" s="53" t="s">
        <v>134</v>
      </c>
      <c r="E160" s="53"/>
      <c r="F160" s="55">
        <v>120</v>
      </c>
      <c r="L160" s="56">
        <v>0.27</v>
      </c>
      <c r="AE160" s="57" t="s">
        <v>114</v>
      </c>
      <c r="AF160" s="57"/>
      <c r="AG160" s="57"/>
      <c r="AJ160" s="58" t="s">
        <v>99</v>
      </c>
      <c r="AN160" s="57" t="s">
        <v>109</v>
      </c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BF160" s="56">
        <v>1.67</v>
      </c>
      <c r="BG160" s="56">
        <v>0.51</v>
      </c>
      <c r="BH160" s="53" t="s">
        <v>135</v>
      </c>
      <c r="BI160" s="53">
        <v>2020</v>
      </c>
      <c r="BJ160" s="53"/>
      <c r="BK160" s="53"/>
      <c r="BT160" s="56" t="s">
        <v>24</v>
      </c>
      <c r="BY160" s="57"/>
      <c r="BZ160" s="56" t="s">
        <v>50</v>
      </c>
      <c r="CC160" s="56">
        <v>5</v>
      </c>
    </row>
    <row r="161" spans="1:82" x14ac:dyDescent="0.2">
      <c r="A161" s="20" t="s">
        <v>185</v>
      </c>
      <c r="B161" s="21" t="s">
        <v>186</v>
      </c>
      <c r="C161" s="21" t="s">
        <v>126</v>
      </c>
      <c r="D161" s="20" t="s">
        <v>138</v>
      </c>
      <c r="E161" s="66">
        <v>34</v>
      </c>
      <c r="F161" s="63" t="s">
        <v>164</v>
      </c>
      <c r="G161" s="64" t="s">
        <v>168</v>
      </c>
      <c r="H161" s="20">
        <v>39</v>
      </c>
      <c r="I161" s="20" t="s">
        <v>151</v>
      </c>
      <c r="L161" s="66">
        <v>0.75</v>
      </c>
      <c r="N161">
        <v>8151</v>
      </c>
      <c r="P161" s="66">
        <v>10500</v>
      </c>
      <c r="V161" s="66">
        <v>184</v>
      </c>
      <c r="X161" s="66">
        <v>12500</v>
      </c>
      <c r="Y161" s="15"/>
      <c r="AA161" s="68">
        <v>1.3</v>
      </c>
      <c r="AC161" s="66">
        <v>1900</v>
      </c>
      <c r="AD161" s="66">
        <v>3000</v>
      </c>
      <c r="AE161" s="15" t="s">
        <v>114</v>
      </c>
      <c r="AF161" s="15"/>
      <c r="AG161" s="15"/>
      <c r="AH161" t="s">
        <v>39</v>
      </c>
      <c r="AJ161" t="s">
        <v>142</v>
      </c>
      <c r="AK161">
        <v>25</v>
      </c>
      <c r="AL161" s="60">
        <v>0.6</v>
      </c>
      <c r="AM161" s="59">
        <v>0.59027777777777779</v>
      </c>
      <c r="AN161" s="15" t="s">
        <v>109</v>
      </c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BF161">
        <v>152</v>
      </c>
      <c r="BG161">
        <v>10</v>
      </c>
      <c r="BH161" s="20" t="s">
        <v>143</v>
      </c>
      <c r="BI161" s="20">
        <v>2020</v>
      </c>
      <c r="BJ161" s="20"/>
      <c r="BK161" s="20"/>
      <c r="BL161" s="15" t="s">
        <v>139</v>
      </c>
      <c r="BT161" s="15" t="s">
        <v>24</v>
      </c>
      <c r="BX161" t="s">
        <v>193</v>
      </c>
      <c r="BY161" s="15" t="s">
        <v>155</v>
      </c>
      <c r="BZ161" s="15" t="s">
        <v>50</v>
      </c>
      <c r="CA161" t="s">
        <v>157</v>
      </c>
      <c r="CB161" s="15">
        <v>4</v>
      </c>
      <c r="CC161" s="15" t="s">
        <v>160</v>
      </c>
      <c r="CD161" s="61" t="s">
        <v>94</v>
      </c>
    </row>
    <row r="162" spans="1:82" x14ac:dyDescent="0.2">
      <c r="A162" s="20" t="s">
        <v>185</v>
      </c>
      <c r="B162" s="21" t="s">
        <v>186</v>
      </c>
      <c r="C162" s="21" t="s">
        <v>126</v>
      </c>
      <c r="D162" s="20" t="s">
        <v>138</v>
      </c>
      <c r="E162" s="66">
        <v>33</v>
      </c>
      <c r="F162" s="63" t="s">
        <v>165</v>
      </c>
      <c r="G162" s="64" t="s">
        <v>169</v>
      </c>
      <c r="H162" s="20">
        <v>45</v>
      </c>
      <c r="I162" s="20" t="s">
        <v>151</v>
      </c>
      <c r="L162" s="66">
        <v>0.75</v>
      </c>
      <c r="N162">
        <v>9311</v>
      </c>
      <c r="P162" s="66">
        <v>10500</v>
      </c>
      <c r="V162" s="66">
        <v>184</v>
      </c>
      <c r="X162" s="66">
        <v>15000</v>
      </c>
      <c r="Y162" s="15"/>
      <c r="AA162" s="68">
        <v>1.3</v>
      </c>
      <c r="AC162" s="66">
        <v>3000</v>
      </c>
      <c r="AD162" s="66">
        <v>3250</v>
      </c>
      <c r="AE162" s="15" t="s">
        <v>114</v>
      </c>
      <c r="AF162" s="15"/>
      <c r="AG162" s="15"/>
      <c r="AH162" t="s">
        <v>40</v>
      </c>
      <c r="AJ162" t="s">
        <v>142</v>
      </c>
      <c r="AK162">
        <v>25</v>
      </c>
      <c r="AL162" s="60">
        <v>0.6</v>
      </c>
      <c r="AM162" s="59">
        <v>0.59027777777777779</v>
      </c>
      <c r="AN162" s="15" t="s">
        <v>109</v>
      </c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BF162">
        <v>142</v>
      </c>
      <c r="BG162">
        <v>10</v>
      </c>
      <c r="BH162" s="20" t="s">
        <v>143</v>
      </c>
      <c r="BI162" s="20">
        <v>2020</v>
      </c>
      <c r="BJ162" s="20"/>
      <c r="BK162" s="20"/>
      <c r="BL162" s="15" t="s">
        <v>139</v>
      </c>
      <c r="BT162" s="15" t="s">
        <v>24</v>
      </c>
      <c r="BX162" t="s">
        <v>193</v>
      </c>
      <c r="BY162" s="15" t="s">
        <v>155</v>
      </c>
      <c r="BZ162" s="15" t="s">
        <v>50</v>
      </c>
      <c r="CA162" t="s">
        <v>158</v>
      </c>
      <c r="CB162" s="15">
        <v>4</v>
      </c>
      <c r="CC162" t="s">
        <v>160</v>
      </c>
      <c r="CD162" s="61" t="s">
        <v>94</v>
      </c>
    </row>
    <row r="163" spans="1:82" x14ac:dyDescent="0.2">
      <c r="A163" s="20" t="s">
        <v>185</v>
      </c>
      <c r="B163" s="21" t="s">
        <v>186</v>
      </c>
      <c r="C163" s="21" t="s">
        <v>126</v>
      </c>
      <c r="D163" s="20" t="s">
        <v>138</v>
      </c>
      <c r="E163" s="67" t="s">
        <v>154</v>
      </c>
      <c r="F163" s="63" t="s">
        <v>166</v>
      </c>
      <c r="G163" s="64" t="s">
        <v>170</v>
      </c>
      <c r="H163" s="20">
        <v>79</v>
      </c>
      <c r="I163" t="s">
        <v>152</v>
      </c>
      <c r="L163" s="66">
        <v>0.5</v>
      </c>
      <c r="N163" s="66">
        <v>80</v>
      </c>
      <c r="P163" s="66">
        <v>1600</v>
      </c>
      <c r="V163" s="66">
        <f>125/60</f>
        <v>2.0833333333333335</v>
      </c>
      <c r="X163" s="66">
        <v>2800</v>
      </c>
      <c r="Y163" s="15"/>
      <c r="AA163" s="68">
        <v>30</v>
      </c>
      <c r="AC163" s="66">
        <v>600</v>
      </c>
      <c r="AD163" s="66">
        <v>10000</v>
      </c>
      <c r="AE163" s="15" t="s">
        <v>114</v>
      </c>
      <c r="AF163" s="15"/>
      <c r="AG163" s="15"/>
      <c r="AH163" t="s">
        <v>39</v>
      </c>
      <c r="AJ163" t="s">
        <v>142</v>
      </c>
      <c r="AK163">
        <v>25</v>
      </c>
      <c r="AL163" s="60">
        <v>0.6</v>
      </c>
      <c r="AM163" s="59">
        <v>0.59027777777777779</v>
      </c>
      <c r="AN163" s="15" t="s">
        <v>109</v>
      </c>
      <c r="BF163">
        <v>152</v>
      </c>
      <c r="BG163">
        <v>10</v>
      </c>
      <c r="BH163" s="20" t="s">
        <v>143</v>
      </c>
      <c r="BI163" s="20">
        <v>2020</v>
      </c>
      <c r="BJ163" s="20"/>
      <c r="BK163" s="20"/>
      <c r="BL163" s="15" t="s">
        <v>139</v>
      </c>
      <c r="BT163" s="15" t="s">
        <v>24</v>
      </c>
      <c r="BX163" t="s">
        <v>193</v>
      </c>
      <c r="BY163" s="15" t="s">
        <v>155</v>
      </c>
      <c r="BZ163" s="15" t="s">
        <v>50</v>
      </c>
      <c r="CA163" t="s">
        <v>159</v>
      </c>
      <c r="CB163" s="15">
        <v>4</v>
      </c>
      <c r="CC163" s="15" t="s">
        <v>161</v>
      </c>
      <c r="CD163" s="61" t="s">
        <v>94</v>
      </c>
    </row>
    <row r="164" spans="1:82" x14ac:dyDescent="0.2">
      <c r="A164" s="20" t="s">
        <v>185</v>
      </c>
      <c r="B164" s="21" t="s">
        <v>186</v>
      </c>
      <c r="C164" s="21" t="s">
        <v>126</v>
      </c>
      <c r="D164" s="20" t="s">
        <v>138</v>
      </c>
      <c r="E164" s="67" t="s">
        <v>154</v>
      </c>
      <c r="F164" s="63" t="s">
        <v>167</v>
      </c>
      <c r="G164" s="64" t="s">
        <v>171</v>
      </c>
      <c r="H164" s="20">
        <v>90</v>
      </c>
      <c r="I164" t="s">
        <v>152</v>
      </c>
      <c r="L164" s="66">
        <v>0.55000000000000004</v>
      </c>
      <c r="N164" s="66">
        <v>150</v>
      </c>
      <c r="P164" s="66">
        <v>2000</v>
      </c>
      <c r="V164" s="66">
        <f>200/60</f>
        <v>3.3333333333333335</v>
      </c>
      <c r="X164" s="66">
        <v>3500</v>
      </c>
      <c r="Y164" s="15"/>
      <c r="AA164" s="68">
        <v>31</v>
      </c>
      <c r="AC164" s="66">
        <v>900</v>
      </c>
      <c r="AD164" s="66">
        <v>12000</v>
      </c>
      <c r="AE164" s="15" t="s">
        <v>114</v>
      </c>
      <c r="AF164" s="15"/>
      <c r="AG164" s="15"/>
      <c r="AH164" t="s">
        <v>40</v>
      </c>
      <c r="AJ164" t="s">
        <v>142</v>
      </c>
      <c r="AK164">
        <v>25</v>
      </c>
      <c r="AL164" s="60">
        <v>0.6</v>
      </c>
      <c r="AM164" s="59">
        <v>0.59027777777777779</v>
      </c>
      <c r="AN164" s="15" t="s">
        <v>109</v>
      </c>
      <c r="BF164">
        <v>142</v>
      </c>
      <c r="BG164">
        <v>10</v>
      </c>
      <c r="BH164" s="20" t="s">
        <v>143</v>
      </c>
      <c r="BI164" s="20">
        <v>2020</v>
      </c>
      <c r="BJ164" s="20"/>
      <c r="BK164" s="20"/>
      <c r="BL164" s="15" t="s">
        <v>139</v>
      </c>
      <c r="BT164" s="15" t="s">
        <v>24</v>
      </c>
      <c r="BX164" t="s">
        <v>193</v>
      </c>
      <c r="BY164" s="15" t="s">
        <v>155</v>
      </c>
      <c r="BZ164" s="15" t="s">
        <v>50</v>
      </c>
      <c r="CA164" t="s">
        <v>159</v>
      </c>
      <c r="CB164" s="15">
        <v>4</v>
      </c>
      <c r="CC164" s="15" t="s">
        <v>161</v>
      </c>
      <c r="CD164" s="61" t="s">
        <v>94</v>
      </c>
    </row>
    <row r="165" spans="1:82" x14ac:dyDescent="0.2">
      <c r="A165" s="20" t="s">
        <v>185</v>
      </c>
      <c r="B165" s="21" t="s">
        <v>186</v>
      </c>
      <c r="C165" s="21" t="s">
        <v>126</v>
      </c>
      <c r="D165" s="20" t="s">
        <v>138</v>
      </c>
      <c r="E165" s="66">
        <v>34</v>
      </c>
      <c r="F165" s="65" t="s">
        <v>172</v>
      </c>
      <c r="G165" s="64" t="s">
        <v>173</v>
      </c>
      <c r="H165" s="20">
        <v>30</v>
      </c>
      <c r="I165" s="20" t="s">
        <v>151</v>
      </c>
      <c r="L165" s="66">
        <v>0.6</v>
      </c>
      <c r="N165" s="66">
        <v>7500</v>
      </c>
      <c r="P165" s="66">
        <v>9000</v>
      </c>
      <c r="V165" s="66">
        <f>14000/60</f>
        <v>233.33333333333334</v>
      </c>
      <c r="X165" s="66">
        <v>16000</v>
      </c>
      <c r="Y165" s="15"/>
      <c r="AA165" s="68">
        <v>1.2</v>
      </c>
      <c r="AC165" s="66">
        <v>2500</v>
      </c>
      <c r="AD165" s="66">
        <v>2700</v>
      </c>
      <c r="AE165" s="15" t="s">
        <v>114</v>
      </c>
      <c r="AF165" s="15"/>
      <c r="AG165" s="15"/>
      <c r="AH165" t="s">
        <v>39</v>
      </c>
      <c r="AJ165" t="s">
        <v>142</v>
      </c>
      <c r="AK165">
        <v>25</v>
      </c>
      <c r="AL165" s="60">
        <v>0.6</v>
      </c>
      <c r="AM165" s="59">
        <v>0.59027777777777779</v>
      </c>
      <c r="AN165" s="15" t="s">
        <v>109</v>
      </c>
      <c r="AO165" t="s">
        <v>177</v>
      </c>
      <c r="BF165">
        <v>141</v>
      </c>
      <c r="BG165">
        <v>30</v>
      </c>
      <c r="BH165" s="20" t="s">
        <v>143</v>
      </c>
      <c r="BI165" s="20">
        <v>2020</v>
      </c>
      <c r="BJ165" s="20"/>
      <c r="BK165" s="20"/>
      <c r="BL165" s="15" t="s">
        <v>139</v>
      </c>
      <c r="BT165" s="15" t="s">
        <v>24</v>
      </c>
      <c r="BX165" t="s">
        <v>193</v>
      </c>
      <c r="BY165" s="15" t="s">
        <v>155</v>
      </c>
      <c r="BZ165" s="15" t="s">
        <v>50</v>
      </c>
      <c r="CA165" t="s">
        <v>157</v>
      </c>
      <c r="CB165" s="15">
        <v>4</v>
      </c>
      <c r="CC165" s="15" t="s">
        <v>160</v>
      </c>
      <c r="CD165" s="61" t="s">
        <v>94</v>
      </c>
    </row>
    <row r="166" spans="1:82" x14ac:dyDescent="0.2">
      <c r="A166" s="20" t="s">
        <v>185</v>
      </c>
      <c r="B166" s="21" t="s">
        <v>186</v>
      </c>
      <c r="C166" s="21" t="s">
        <v>126</v>
      </c>
      <c r="D166" s="20" t="s">
        <v>138</v>
      </c>
      <c r="E166" s="66">
        <v>33</v>
      </c>
      <c r="F166" s="65" t="s">
        <v>172</v>
      </c>
      <c r="G166" s="63" t="s">
        <v>174</v>
      </c>
      <c r="H166" s="20">
        <v>31</v>
      </c>
      <c r="I166" s="20" t="s">
        <v>151</v>
      </c>
      <c r="L166" s="66">
        <v>0.6</v>
      </c>
      <c r="N166" s="66">
        <v>8000</v>
      </c>
      <c r="P166" s="66">
        <v>11500</v>
      </c>
      <c r="V166" s="66">
        <f>14000/60</f>
        <v>233.33333333333334</v>
      </c>
      <c r="X166" s="66">
        <v>18000</v>
      </c>
      <c r="Y166" s="15"/>
      <c r="AA166" s="68">
        <v>1.5</v>
      </c>
      <c r="AC166" s="66">
        <v>1800</v>
      </c>
      <c r="AD166" s="66">
        <v>2000</v>
      </c>
      <c r="AE166" s="15" t="s">
        <v>114</v>
      </c>
      <c r="AF166" s="15"/>
      <c r="AG166" s="15"/>
      <c r="AH166" t="s">
        <v>40</v>
      </c>
      <c r="AJ166" t="s">
        <v>142</v>
      </c>
      <c r="AK166">
        <v>25</v>
      </c>
      <c r="AL166" s="60">
        <v>0.6</v>
      </c>
      <c r="AM166" s="59">
        <v>0.59027777777777779</v>
      </c>
      <c r="AN166" s="15" t="s">
        <v>109</v>
      </c>
      <c r="AO166" t="s">
        <v>177</v>
      </c>
      <c r="BF166">
        <v>124</v>
      </c>
      <c r="BG166">
        <v>10</v>
      </c>
      <c r="BH166" s="20" t="s">
        <v>143</v>
      </c>
      <c r="BI166" s="20">
        <v>2020</v>
      </c>
      <c r="BJ166" s="20"/>
      <c r="BK166" s="20"/>
      <c r="BL166" s="15" t="s">
        <v>139</v>
      </c>
      <c r="BT166" s="15" t="s">
        <v>24</v>
      </c>
      <c r="BX166" t="s">
        <v>193</v>
      </c>
      <c r="BY166" s="15" t="s">
        <v>155</v>
      </c>
      <c r="BZ166" s="15" t="s">
        <v>50</v>
      </c>
      <c r="CA166" t="s">
        <v>158</v>
      </c>
      <c r="CB166" s="15">
        <v>4</v>
      </c>
      <c r="CC166" t="s">
        <v>160</v>
      </c>
      <c r="CD166" s="61" t="s">
        <v>94</v>
      </c>
    </row>
    <row r="167" spans="1:82" x14ac:dyDescent="0.2">
      <c r="A167" s="20" t="s">
        <v>185</v>
      </c>
      <c r="B167" s="21" t="s">
        <v>186</v>
      </c>
      <c r="C167" s="21" t="s">
        <v>126</v>
      </c>
      <c r="D167" s="20" t="s">
        <v>138</v>
      </c>
      <c r="E167" s="67" t="s">
        <v>154</v>
      </c>
      <c r="F167" s="63" t="s">
        <v>175</v>
      </c>
      <c r="G167" s="63" t="s">
        <v>176</v>
      </c>
      <c r="H167" s="20">
        <v>65</v>
      </c>
      <c r="I167" t="s">
        <v>152</v>
      </c>
      <c r="L167" s="66">
        <v>0.5</v>
      </c>
      <c r="N167" s="66">
        <v>75</v>
      </c>
      <c r="P167" s="66">
        <v>1250</v>
      </c>
      <c r="V167" s="66">
        <f>145/60</f>
        <v>2.4166666666666665</v>
      </c>
      <c r="X167" s="66">
        <v>2000</v>
      </c>
      <c r="Y167" s="15"/>
      <c r="AA167" s="68">
        <v>25</v>
      </c>
      <c r="AC167" s="66">
        <v>600</v>
      </c>
      <c r="AD167" s="66">
        <v>8000</v>
      </c>
      <c r="AE167" s="15" t="s">
        <v>114</v>
      </c>
      <c r="AF167" s="15"/>
      <c r="AG167" s="15"/>
      <c r="AH167" t="s">
        <v>39</v>
      </c>
      <c r="AJ167" t="s">
        <v>142</v>
      </c>
      <c r="AK167">
        <v>25</v>
      </c>
      <c r="AL167" s="60">
        <v>0.6</v>
      </c>
      <c r="AM167" s="59">
        <v>0.59027777777777779</v>
      </c>
      <c r="AN167" s="15" t="s">
        <v>109</v>
      </c>
      <c r="AO167" t="s">
        <v>177</v>
      </c>
      <c r="BF167">
        <v>141</v>
      </c>
      <c r="BG167">
        <v>30</v>
      </c>
      <c r="BH167" s="20" t="s">
        <v>143</v>
      </c>
      <c r="BI167" s="20">
        <v>2020</v>
      </c>
      <c r="BJ167" s="20"/>
      <c r="BK167" s="20"/>
      <c r="BL167" s="15" t="s">
        <v>139</v>
      </c>
      <c r="BT167" s="15" t="s">
        <v>24</v>
      </c>
      <c r="BX167" t="s">
        <v>193</v>
      </c>
      <c r="BY167" s="15" t="s">
        <v>155</v>
      </c>
      <c r="BZ167" s="15" t="s">
        <v>50</v>
      </c>
      <c r="CA167" t="s">
        <v>159</v>
      </c>
      <c r="CB167" s="15">
        <v>4</v>
      </c>
      <c r="CC167" s="15" t="s">
        <v>161</v>
      </c>
      <c r="CD167" s="61" t="s">
        <v>94</v>
      </c>
    </row>
    <row r="168" spans="1:82" x14ac:dyDescent="0.2">
      <c r="A168" s="20" t="s">
        <v>185</v>
      </c>
      <c r="B168" s="21" t="s">
        <v>186</v>
      </c>
      <c r="C168" s="21" t="s">
        <v>126</v>
      </c>
      <c r="D168" s="20" t="s">
        <v>138</v>
      </c>
      <c r="E168" s="67" t="s">
        <v>154</v>
      </c>
      <c r="F168" s="63" t="s">
        <v>175</v>
      </c>
      <c r="G168" s="63" t="s">
        <v>176</v>
      </c>
      <c r="H168" s="20">
        <v>65</v>
      </c>
      <c r="I168" t="s">
        <v>152</v>
      </c>
      <c r="L168" s="66">
        <v>0.45</v>
      </c>
      <c r="N168" s="66">
        <v>75</v>
      </c>
      <c r="P168" s="66">
        <v>1250</v>
      </c>
      <c r="V168" s="66">
        <f>140/60</f>
        <v>2.3333333333333335</v>
      </c>
      <c r="X168" s="66">
        <v>2500</v>
      </c>
      <c r="Y168" s="15"/>
      <c r="AA168" s="68">
        <v>29</v>
      </c>
      <c r="AC168" s="66">
        <v>650</v>
      </c>
      <c r="AD168" s="66">
        <v>10000</v>
      </c>
      <c r="AE168" s="15" t="s">
        <v>114</v>
      </c>
      <c r="AF168" s="15"/>
      <c r="AG168" s="15"/>
      <c r="AH168" t="s">
        <v>40</v>
      </c>
      <c r="AJ168" t="s">
        <v>142</v>
      </c>
      <c r="AK168">
        <v>25</v>
      </c>
      <c r="AL168" s="60">
        <v>0.6</v>
      </c>
      <c r="AM168" s="59">
        <v>0.59027777777777779</v>
      </c>
      <c r="AN168" s="15" t="s">
        <v>109</v>
      </c>
      <c r="AO168" t="s">
        <v>177</v>
      </c>
      <c r="BF168">
        <v>124</v>
      </c>
      <c r="BG168">
        <v>10</v>
      </c>
      <c r="BH168" s="20" t="s">
        <v>143</v>
      </c>
      <c r="BI168" s="20">
        <v>2020</v>
      </c>
      <c r="BJ168" s="20"/>
      <c r="BK168" s="20"/>
      <c r="BL168" s="15" t="s">
        <v>139</v>
      </c>
      <c r="BT168" s="15" t="s">
        <v>24</v>
      </c>
      <c r="BX168" t="s">
        <v>193</v>
      </c>
      <c r="BY168" s="15" t="s">
        <v>155</v>
      </c>
      <c r="BZ168" s="15" t="s">
        <v>50</v>
      </c>
      <c r="CA168" t="s">
        <v>159</v>
      </c>
      <c r="CB168" s="15">
        <v>4</v>
      </c>
      <c r="CC168" s="15" t="s">
        <v>161</v>
      </c>
      <c r="CD168" s="61" t="s">
        <v>94</v>
      </c>
    </row>
    <row r="169" spans="1:82" x14ac:dyDescent="0.2">
      <c r="A169" s="20" t="s">
        <v>185</v>
      </c>
      <c r="B169" s="21" t="s">
        <v>186</v>
      </c>
      <c r="C169" s="21" t="s">
        <v>126</v>
      </c>
      <c r="D169" s="20" t="s">
        <v>138</v>
      </c>
      <c r="E169" s="66">
        <v>34</v>
      </c>
      <c r="F169" s="65" t="s">
        <v>172</v>
      </c>
      <c r="G169" s="64" t="s">
        <v>173</v>
      </c>
      <c r="H169" s="20">
        <v>31</v>
      </c>
      <c r="I169" s="20" t="s">
        <v>151</v>
      </c>
      <c r="L169" s="66">
        <v>0.8</v>
      </c>
      <c r="N169" s="66">
        <v>6000</v>
      </c>
      <c r="P169" s="66">
        <v>8000</v>
      </c>
      <c r="V169" s="66">
        <f>10000/60</f>
        <v>166.66666666666666</v>
      </c>
      <c r="X169" s="66">
        <v>12500</v>
      </c>
      <c r="Y169" s="15"/>
      <c r="AA169" s="68">
        <v>1.3</v>
      </c>
      <c r="AC169" s="66">
        <v>2100</v>
      </c>
      <c r="AD169" s="66">
        <v>3100</v>
      </c>
      <c r="AE169" s="15" t="s">
        <v>114</v>
      </c>
      <c r="AF169" s="15"/>
      <c r="AG169" s="15"/>
      <c r="AH169" t="s">
        <v>39</v>
      </c>
      <c r="AJ169" t="s">
        <v>142</v>
      </c>
      <c r="AK169">
        <v>25</v>
      </c>
      <c r="AL169" s="60">
        <v>0.6</v>
      </c>
      <c r="AM169" s="59">
        <v>0.59027777777777779</v>
      </c>
      <c r="AN169" s="15" t="s">
        <v>109</v>
      </c>
      <c r="AO169" t="s">
        <v>183</v>
      </c>
      <c r="BF169">
        <v>156</v>
      </c>
      <c r="BG169">
        <v>10</v>
      </c>
      <c r="BH169" s="20" t="s">
        <v>143</v>
      </c>
      <c r="BI169" s="20">
        <v>2020</v>
      </c>
      <c r="BJ169" s="20"/>
      <c r="BK169" s="20"/>
      <c r="BL169" s="15" t="s">
        <v>139</v>
      </c>
      <c r="BT169" s="15" t="s">
        <v>24</v>
      </c>
      <c r="BX169" t="s">
        <v>193</v>
      </c>
      <c r="BY169" s="15" t="s">
        <v>155</v>
      </c>
      <c r="BZ169" s="15" t="s">
        <v>50</v>
      </c>
      <c r="CA169" t="s">
        <v>157</v>
      </c>
      <c r="CB169" s="15">
        <v>4</v>
      </c>
      <c r="CC169" s="15" t="s">
        <v>160</v>
      </c>
      <c r="CD169" s="61" t="s">
        <v>94</v>
      </c>
    </row>
    <row r="170" spans="1:82" x14ac:dyDescent="0.2">
      <c r="A170" s="20" t="s">
        <v>185</v>
      </c>
      <c r="B170" s="21" t="s">
        <v>186</v>
      </c>
      <c r="C170" s="21" t="s">
        <v>126</v>
      </c>
      <c r="D170" s="20" t="s">
        <v>138</v>
      </c>
      <c r="E170" s="66">
        <v>33</v>
      </c>
      <c r="F170" s="65" t="s">
        <v>172</v>
      </c>
      <c r="G170" s="63" t="s">
        <v>174</v>
      </c>
      <c r="H170" s="20">
        <v>32</v>
      </c>
      <c r="I170" s="20" t="s">
        <v>151</v>
      </c>
      <c r="L170" s="66">
        <v>0.76</v>
      </c>
      <c r="N170" s="66">
        <v>6000</v>
      </c>
      <c r="P170" s="66">
        <v>7900</v>
      </c>
      <c r="V170" s="66">
        <f>10000/60</f>
        <v>166.66666666666666</v>
      </c>
      <c r="X170" s="66">
        <v>12200</v>
      </c>
      <c r="Y170" s="15"/>
      <c r="AA170" s="68">
        <v>1.4</v>
      </c>
      <c r="AC170" s="66">
        <v>1000</v>
      </c>
      <c r="AD170" s="66">
        <v>1100</v>
      </c>
      <c r="AE170" s="15" t="s">
        <v>114</v>
      </c>
      <c r="AF170" s="15"/>
      <c r="AG170" s="15"/>
      <c r="AH170" t="s">
        <v>40</v>
      </c>
      <c r="AJ170" t="s">
        <v>142</v>
      </c>
      <c r="AK170">
        <v>25</v>
      </c>
      <c r="AL170" s="60">
        <v>0.6</v>
      </c>
      <c r="AM170" s="59">
        <v>0.59027777777777779</v>
      </c>
      <c r="AN170" s="15" t="s">
        <v>109</v>
      </c>
      <c r="AO170" t="s">
        <v>183</v>
      </c>
      <c r="BF170">
        <v>145</v>
      </c>
      <c r="BG170">
        <v>10</v>
      </c>
      <c r="BH170" s="20" t="s">
        <v>143</v>
      </c>
      <c r="BI170" s="20">
        <v>2020</v>
      </c>
      <c r="BJ170" s="20"/>
      <c r="BK170" s="20"/>
      <c r="BL170" s="15" t="s">
        <v>139</v>
      </c>
      <c r="BT170" s="15" t="s">
        <v>24</v>
      </c>
      <c r="BX170" t="s">
        <v>193</v>
      </c>
      <c r="BY170" s="15" t="s">
        <v>155</v>
      </c>
      <c r="BZ170" s="15" t="s">
        <v>50</v>
      </c>
      <c r="CA170" t="s">
        <v>158</v>
      </c>
      <c r="CB170" s="15">
        <v>4</v>
      </c>
      <c r="CC170" t="s">
        <v>160</v>
      </c>
      <c r="CD170" s="61" t="s">
        <v>94</v>
      </c>
    </row>
    <row r="171" spans="1:82" x14ac:dyDescent="0.2">
      <c r="A171" s="20" t="s">
        <v>185</v>
      </c>
      <c r="B171" s="21" t="s">
        <v>186</v>
      </c>
      <c r="C171" s="21" t="s">
        <v>126</v>
      </c>
      <c r="D171" s="20" t="s">
        <v>138</v>
      </c>
      <c r="E171" s="67" t="s">
        <v>154</v>
      </c>
      <c r="F171" s="65" t="s">
        <v>179</v>
      </c>
      <c r="G171" s="63" t="s">
        <v>180</v>
      </c>
      <c r="H171" s="20">
        <v>89</v>
      </c>
      <c r="I171" t="s">
        <v>152</v>
      </c>
      <c r="L171" s="66">
        <v>0.55000000000000004</v>
      </c>
      <c r="N171" s="66">
        <v>110</v>
      </c>
      <c r="P171" s="66">
        <v>1600</v>
      </c>
      <c r="V171" s="66">
        <f>125/60</f>
        <v>2.0833333333333335</v>
      </c>
      <c r="X171" s="66">
        <v>2400</v>
      </c>
      <c r="Y171" s="15"/>
      <c r="AA171" s="68">
        <v>24</v>
      </c>
      <c r="AC171" s="66">
        <v>500</v>
      </c>
      <c r="AD171" s="66">
        <v>10000</v>
      </c>
      <c r="AE171" s="15" t="s">
        <v>114</v>
      </c>
      <c r="AF171" s="15"/>
      <c r="AG171" s="15"/>
      <c r="AH171" t="s">
        <v>39</v>
      </c>
      <c r="AJ171" t="s">
        <v>142</v>
      </c>
      <c r="AK171">
        <v>25</v>
      </c>
      <c r="AL171" s="60">
        <v>0.6</v>
      </c>
      <c r="AM171" s="59">
        <v>0.59027777777777779</v>
      </c>
      <c r="AN171" s="15" t="s">
        <v>109</v>
      </c>
      <c r="AO171" t="s">
        <v>183</v>
      </c>
      <c r="BF171">
        <v>156</v>
      </c>
      <c r="BG171">
        <v>10</v>
      </c>
      <c r="BH171" s="20" t="s">
        <v>143</v>
      </c>
      <c r="BI171" s="20">
        <v>2020</v>
      </c>
      <c r="BJ171" s="20"/>
      <c r="BK171" s="20"/>
      <c r="BL171" s="15" t="s">
        <v>139</v>
      </c>
      <c r="BT171" s="15" t="s">
        <v>24</v>
      </c>
      <c r="BX171" t="s">
        <v>193</v>
      </c>
      <c r="BY171" s="15" t="s">
        <v>155</v>
      </c>
      <c r="BZ171" s="15" t="s">
        <v>50</v>
      </c>
      <c r="CA171" t="s">
        <v>159</v>
      </c>
      <c r="CB171" s="15">
        <v>4</v>
      </c>
      <c r="CC171" s="15" t="s">
        <v>161</v>
      </c>
      <c r="CD171" s="61" t="s">
        <v>94</v>
      </c>
    </row>
    <row r="172" spans="1:82" s="48" customFormat="1" x14ac:dyDescent="0.2">
      <c r="A172" s="44" t="s">
        <v>185</v>
      </c>
      <c r="B172" s="45" t="s">
        <v>186</v>
      </c>
      <c r="C172" s="45" t="s">
        <v>126</v>
      </c>
      <c r="D172" s="44" t="s">
        <v>138</v>
      </c>
      <c r="E172" s="67" t="s">
        <v>154</v>
      </c>
      <c r="F172" s="63" t="s">
        <v>181</v>
      </c>
      <c r="G172" s="65" t="s">
        <v>182</v>
      </c>
      <c r="H172" s="44">
        <v>93</v>
      </c>
      <c r="I172" s="48" t="s">
        <v>152</v>
      </c>
      <c r="L172" s="66">
        <v>0.5</v>
      </c>
      <c r="N172" s="66">
        <v>60</v>
      </c>
      <c r="P172" s="66">
        <v>1750</v>
      </c>
      <c r="V172" s="66">
        <f>110/6</f>
        <v>18.333333333333332</v>
      </c>
      <c r="X172" s="66">
        <v>3000</v>
      </c>
      <c r="Y172" s="46"/>
      <c r="AA172" s="68">
        <v>32</v>
      </c>
      <c r="AC172" s="66">
        <v>600</v>
      </c>
      <c r="AD172" s="66">
        <v>12000</v>
      </c>
      <c r="AE172" s="46" t="s">
        <v>114</v>
      </c>
      <c r="AF172" s="46"/>
      <c r="AG172" s="46"/>
      <c r="AH172" s="48" t="s">
        <v>40</v>
      </c>
      <c r="AJ172" s="48" t="s">
        <v>142</v>
      </c>
      <c r="AK172" s="48">
        <v>25</v>
      </c>
      <c r="AL172" s="69">
        <v>0.6</v>
      </c>
      <c r="AM172" s="70">
        <v>0.59027777777777779</v>
      </c>
      <c r="AN172" s="46" t="s">
        <v>109</v>
      </c>
      <c r="AO172" s="48" t="s">
        <v>183</v>
      </c>
      <c r="BF172" s="48">
        <v>145</v>
      </c>
      <c r="BG172" s="48">
        <v>10</v>
      </c>
      <c r="BH172" s="44" t="s">
        <v>143</v>
      </c>
      <c r="BI172" s="44">
        <v>2020</v>
      </c>
      <c r="BJ172" s="44"/>
      <c r="BK172" s="44"/>
      <c r="BL172" s="46" t="s">
        <v>139</v>
      </c>
      <c r="BT172" s="46" t="s">
        <v>24</v>
      </c>
      <c r="BX172" s="48" t="s">
        <v>193</v>
      </c>
      <c r="BY172" s="46" t="s">
        <v>155</v>
      </c>
      <c r="BZ172" s="46" t="s">
        <v>50</v>
      </c>
      <c r="CA172" s="48" t="s">
        <v>159</v>
      </c>
      <c r="CB172" s="46">
        <v>4</v>
      </c>
      <c r="CC172" s="46" t="s">
        <v>161</v>
      </c>
      <c r="CD172" s="71" t="s">
        <v>94</v>
      </c>
    </row>
    <row r="173" spans="1:82" x14ac:dyDescent="0.2">
      <c r="A173" s="20" t="s">
        <v>187</v>
      </c>
      <c r="B173" s="21" t="s">
        <v>188</v>
      </c>
      <c r="C173" s="20" t="s">
        <v>126</v>
      </c>
      <c r="D173" s="20" t="s">
        <v>184</v>
      </c>
      <c r="E173">
        <v>572</v>
      </c>
      <c r="F173">
        <v>533</v>
      </c>
      <c r="G173">
        <v>93</v>
      </c>
      <c r="K173" s="41"/>
      <c r="L173" s="41"/>
      <c r="M173" s="41"/>
      <c r="N173" s="41"/>
      <c r="O173" s="41"/>
      <c r="P173" s="41"/>
      <c r="Q173" s="41"/>
      <c r="V173" t="s">
        <v>200</v>
      </c>
      <c r="Y173" s="41"/>
      <c r="AE173" s="15" t="s">
        <v>114</v>
      </c>
      <c r="AF173" s="15"/>
      <c r="AG173" s="15"/>
      <c r="AJ173" t="s">
        <v>201</v>
      </c>
      <c r="AK173" s="15">
        <v>26</v>
      </c>
      <c r="AM173" s="59">
        <v>0.59027777777777779</v>
      </c>
      <c r="AN173" s="15" t="s">
        <v>109</v>
      </c>
      <c r="BH173" s="20" t="s">
        <v>195</v>
      </c>
      <c r="BI173" s="20">
        <v>2014</v>
      </c>
      <c r="BL173" s="15" t="s">
        <v>197</v>
      </c>
      <c r="BO173" t="s">
        <v>199</v>
      </c>
      <c r="BP173">
        <v>2012</v>
      </c>
      <c r="BT173" s="15" t="s">
        <v>24</v>
      </c>
      <c r="BU173" t="s">
        <v>198</v>
      </c>
      <c r="BX173" s="15" t="s">
        <v>194</v>
      </c>
      <c r="BY173" s="15" t="s">
        <v>196</v>
      </c>
      <c r="BZ173" s="15" t="s">
        <v>50</v>
      </c>
      <c r="CC173">
        <v>699</v>
      </c>
      <c r="CD173" s="61" t="s">
        <v>94</v>
      </c>
    </row>
    <row r="174" spans="1:82" x14ac:dyDescent="0.2">
      <c r="A174" s="20" t="s">
        <v>187</v>
      </c>
      <c r="B174" s="21" t="s">
        <v>188</v>
      </c>
      <c r="C174" s="20" t="s">
        <v>126</v>
      </c>
      <c r="D174" s="20" t="s">
        <v>184</v>
      </c>
      <c r="E174">
        <v>103</v>
      </c>
      <c r="F174">
        <v>103</v>
      </c>
      <c r="K174" s="41"/>
      <c r="L174" s="15">
        <v>0.72</v>
      </c>
      <c r="M174" s="41">
        <v>0.03</v>
      </c>
      <c r="P174" s="15">
        <f>12.2*1000</f>
        <v>12200</v>
      </c>
      <c r="Q174" s="41">
        <f>0.92*1000</f>
        <v>920</v>
      </c>
      <c r="R174" s="41">
        <f>9.7*1000</f>
        <v>9700</v>
      </c>
      <c r="S174" s="41">
        <f>0.95*1000</f>
        <v>950</v>
      </c>
      <c r="T174">
        <f>220*60</f>
        <v>13200</v>
      </c>
      <c r="U174">
        <f>19*60</f>
        <v>1140</v>
      </c>
      <c r="X174">
        <f>298*60</f>
        <v>17880</v>
      </c>
      <c r="Y174" s="41">
        <f>17*60</f>
        <v>1020</v>
      </c>
      <c r="AE174" s="15" t="s">
        <v>114</v>
      </c>
      <c r="AF174" s="15"/>
      <c r="AG174" s="15"/>
      <c r="AI174">
        <v>1</v>
      </c>
      <c r="AJ174" t="s">
        <v>201</v>
      </c>
      <c r="AK174" s="15">
        <v>26</v>
      </c>
      <c r="AM174" s="59">
        <v>0.59027777777777779</v>
      </c>
      <c r="AN174" s="15" t="s">
        <v>109</v>
      </c>
      <c r="BH174" s="20" t="s">
        <v>195</v>
      </c>
      <c r="BI174" s="20">
        <v>2014</v>
      </c>
      <c r="BJ174" s="20"/>
      <c r="BK174" s="20"/>
      <c r="BL174" s="15" t="s">
        <v>197</v>
      </c>
      <c r="BO174" t="s">
        <v>199</v>
      </c>
      <c r="BP174">
        <v>2012</v>
      </c>
      <c r="BT174" s="15" t="s">
        <v>24</v>
      </c>
      <c r="BU174" t="s">
        <v>198</v>
      </c>
      <c r="BX174" s="15" t="s">
        <v>194</v>
      </c>
      <c r="BZ174" t="s">
        <v>50</v>
      </c>
      <c r="CB174">
        <v>1</v>
      </c>
      <c r="CD174" s="61" t="s">
        <v>94</v>
      </c>
    </row>
    <row r="175" spans="1:82" x14ac:dyDescent="0.2">
      <c r="A175" s="20" t="s">
        <v>187</v>
      </c>
      <c r="B175" s="21" t="s">
        <v>188</v>
      </c>
      <c r="C175" s="20" t="s">
        <v>126</v>
      </c>
      <c r="D175" s="20" t="s">
        <v>184</v>
      </c>
      <c r="E175">
        <v>103</v>
      </c>
      <c r="F175">
        <v>103</v>
      </c>
      <c r="K175" s="41"/>
      <c r="L175" s="15">
        <v>0.66</v>
      </c>
      <c r="M175" s="41">
        <v>0.04</v>
      </c>
      <c r="P175" s="15">
        <f>13.5*1000</f>
        <v>13500</v>
      </c>
      <c r="Q175" s="41">
        <f>1.11*1000</f>
        <v>1110</v>
      </c>
      <c r="R175" s="41">
        <f>11.2*1000</f>
        <v>11200</v>
      </c>
      <c r="S175" s="41">
        <f>1.14*1000</f>
        <v>1140</v>
      </c>
      <c r="T175">
        <f>263*60</f>
        <v>15780</v>
      </c>
      <c r="U175">
        <f>20*60</f>
        <v>1200</v>
      </c>
      <c r="X175">
        <f>357*60</f>
        <v>21420</v>
      </c>
      <c r="Y175" s="41">
        <f>19*60</f>
        <v>1140</v>
      </c>
      <c r="AE175" s="15" t="s">
        <v>114</v>
      </c>
      <c r="AF175" s="15"/>
      <c r="AG175" s="15"/>
      <c r="AI175">
        <v>2</v>
      </c>
      <c r="AJ175" t="s">
        <v>201</v>
      </c>
      <c r="AK175" s="15">
        <v>26</v>
      </c>
      <c r="AM175" s="59">
        <v>0.59027777777777779</v>
      </c>
      <c r="AN175" s="15" t="s">
        <v>109</v>
      </c>
      <c r="BH175" s="20" t="s">
        <v>195</v>
      </c>
      <c r="BI175" s="20">
        <v>2014</v>
      </c>
      <c r="BJ175" s="20"/>
      <c r="BK175" s="20"/>
      <c r="BL175" s="15" t="s">
        <v>197</v>
      </c>
      <c r="BO175" t="s">
        <v>199</v>
      </c>
      <c r="BP175">
        <v>2012</v>
      </c>
      <c r="BT175" s="15" t="s">
        <v>24</v>
      </c>
      <c r="BU175" t="s">
        <v>198</v>
      </c>
      <c r="BX175" s="15" t="s">
        <v>194</v>
      </c>
      <c r="BZ175" t="s">
        <v>50</v>
      </c>
      <c r="CB175">
        <v>1</v>
      </c>
      <c r="CD175" s="61" t="s">
        <v>94</v>
      </c>
    </row>
    <row r="176" spans="1:82" x14ac:dyDescent="0.2">
      <c r="A176" s="20" t="s">
        <v>187</v>
      </c>
      <c r="B176" s="21" t="s">
        <v>188</v>
      </c>
      <c r="C176" s="20" t="s">
        <v>126</v>
      </c>
      <c r="D176" s="20" t="s">
        <v>184</v>
      </c>
      <c r="E176">
        <v>112</v>
      </c>
      <c r="F176">
        <v>112</v>
      </c>
      <c r="K176" s="41"/>
      <c r="L176" s="15">
        <v>0.56000000000000005</v>
      </c>
      <c r="M176" s="41">
        <v>0.03</v>
      </c>
      <c r="P176" s="15">
        <f>10.2*1000</f>
        <v>10200</v>
      </c>
      <c r="Q176" s="41">
        <f>0.93*1000</f>
        <v>930</v>
      </c>
      <c r="R176" s="41">
        <f>8*1000</f>
        <v>8000</v>
      </c>
      <c r="S176" s="41">
        <f>0.93*1000</f>
        <v>930</v>
      </c>
      <c r="T176">
        <f>206*60</f>
        <v>12360</v>
      </c>
      <c r="U176">
        <f>19*60</f>
        <v>1140</v>
      </c>
      <c r="X176">
        <f>314*60</f>
        <v>18840</v>
      </c>
      <c r="Y176">
        <f>18*60</f>
        <v>1080</v>
      </c>
      <c r="AE176" s="15" t="s">
        <v>114</v>
      </c>
      <c r="AF176" s="15"/>
      <c r="AG176" s="15"/>
      <c r="AI176">
        <v>3</v>
      </c>
      <c r="AJ176" t="s">
        <v>201</v>
      </c>
      <c r="AK176" s="15">
        <v>26</v>
      </c>
      <c r="AM176" s="59">
        <v>0.59027777777777779</v>
      </c>
      <c r="AN176" s="15" t="s">
        <v>109</v>
      </c>
      <c r="BH176" s="20" t="s">
        <v>195</v>
      </c>
      <c r="BI176" s="20">
        <v>2014</v>
      </c>
      <c r="BJ176" s="20"/>
      <c r="BK176" s="20"/>
      <c r="BL176" s="15" t="s">
        <v>197</v>
      </c>
      <c r="BO176" t="s">
        <v>199</v>
      </c>
      <c r="BP176">
        <v>2012</v>
      </c>
      <c r="BT176" s="15" t="s">
        <v>24</v>
      </c>
      <c r="BU176" t="s">
        <v>198</v>
      </c>
      <c r="BX176" s="15" t="s">
        <v>194</v>
      </c>
      <c r="BZ176" t="s">
        <v>50</v>
      </c>
      <c r="CB176">
        <v>1</v>
      </c>
      <c r="CD176" s="61" t="s">
        <v>94</v>
      </c>
    </row>
    <row r="177" spans="1:82" x14ac:dyDescent="0.2">
      <c r="A177" s="20" t="s">
        <v>187</v>
      </c>
      <c r="B177" s="21" t="s">
        <v>188</v>
      </c>
      <c r="C177" s="20" t="s">
        <v>126</v>
      </c>
      <c r="D177" s="20" t="s">
        <v>184</v>
      </c>
      <c r="E177">
        <v>105</v>
      </c>
      <c r="F177">
        <v>105</v>
      </c>
      <c r="K177" s="41"/>
      <c r="L177" s="15">
        <v>0.61</v>
      </c>
      <c r="M177" s="15">
        <v>0.04</v>
      </c>
      <c r="P177" s="15">
        <f>11.4*1000</f>
        <v>11400</v>
      </c>
      <c r="Q177" s="15">
        <f>1.05*1000</f>
        <v>1050</v>
      </c>
      <c r="R177" s="15">
        <f>9.2*1000</f>
        <v>9200</v>
      </c>
      <c r="S177" s="15">
        <f>1.05*1000</f>
        <v>1050</v>
      </c>
      <c r="T177">
        <f>229*60</f>
        <v>13740</v>
      </c>
      <c r="U177">
        <f>20*60</f>
        <v>1200</v>
      </c>
      <c r="X177">
        <f>330*60</f>
        <v>19800</v>
      </c>
      <c r="Y177">
        <f>19*60</f>
        <v>1140</v>
      </c>
      <c r="AE177" s="15" t="s">
        <v>114</v>
      </c>
      <c r="AF177" s="15"/>
      <c r="AG177" s="15"/>
      <c r="AI177">
        <v>5</v>
      </c>
      <c r="AJ177" t="s">
        <v>201</v>
      </c>
      <c r="AK177" s="15">
        <v>26</v>
      </c>
      <c r="AM177" s="59">
        <v>0.59027777777777779</v>
      </c>
      <c r="AN177" s="15" t="s">
        <v>109</v>
      </c>
      <c r="BH177" s="20" t="s">
        <v>195</v>
      </c>
      <c r="BI177" s="20">
        <v>2014</v>
      </c>
      <c r="BJ177" s="20"/>
      <c r="BK177" s="20"/>
      <c r="BL177" s="15" t="s">
        <v>197</v>
      </c>
      <c r="BO177" t="s">
        <v>199</v>
      </c>
      <c r="BP177">
        <v>2012</v>
      </c>
      <c r="BT177" s="15" t="s">
        <v>24</v>
      </c>
      <c r="BU177" t="s">
        <v>198</v>
      </c>
      <c r="BX177" s="15" t="s">
        <v>194</v>
      </c>
      <c r="BZ177" t="s">
        <v>50</v>
      </c>
      <c r="CB177">
        <v>1</v>
      </c>
      <c r="CD177" s="61" t="s">
        <v>94</v>
      </c>
    </row>
    <row r="178" spans="1:82" x14ac:dyDescent="0.2">
      <c r="A178" s="20" t="s">
        <v>187</v>
      </c>
      <c r="B178" s="21" t="s">
        <v>188</v>
      </c>
      <c r="C178" s="20" t="s">
        <v>126</v>
      </c>
      <c r="D178" s="20" t="s">
        <v>184</v>
      </c>
      <c r="E178">
        <v>110</v>
      </c>
      <c r="F178">
        <v>110</v>
      </c>
      <c r="K178" s="41"/>
      <c r="L178" s="15">
        <v>0.56999999999999995</v>
      </c>
      <c r="M178" s="15">
        <v>0.04</v>
      </c>
      <c r="P178" s="15">
        <f>8.3*1000</f>
        <v>8300</v>
      </c>
      <c r="Q178" s="15">
        <f>0.93*1000</f>
        <v>930</v>
      </c>
      <c r="R178" s="15">
        <f>6.1*1000</f>
        <v>6100</v>
      </c>
      <c r="S178" s="15">
        <f>0.93*1000</f>
        <v>930</v>
      </c>
      <c r="T178">
        <f>147*60</f>
        <v>8820</v>
      </c>
      <c r="U178">
        <f>16*60</f>
        <v>960</v>
      </c>
      <c r="X178">
        <f>250*60</f>
        <v>15000</v>
      </c>
      <c r="Y178">
        <f>17*60</f>
        <v>1020</v>
      </c>
      <c r="AE178" s="15" t="s">
        <v>114</v>
      </c>
      <c r="AF178" s="15"/>
      <c r="AG178" s="15"/>
      <c r="AI178">
        <v>7</v>
      </c>
      <c r="AJ178" t="s">
        <v>201</v>
      </c>
      <c r="AK178" s="15">
        <v>26</v>
      </c>
      <c r="AM178" s="59">
        <v>0.59027777777777779</v>
      </c>
      <c r="AN178" s="15" t="s">
        <v>109</v>
      </c>
      <c r="BH178" s="20" t="s">
        <v>195</v>
      </c>
      <c r="BI178" s="20">
        <v>2014</v>
      </c>
      <c r="BJ178" s="20"/>
      <c r="BK178" s="20"/>
      <c r="BL178" s="15" t="s">
        <v>197</v>
      </c>
      <c r="BO178" t="s">
        <v>199</v>
      </c>
      <c r="BP178">
        <v>2012</v>
      </c>
      <c r="BT178" s="15" t="s">
        <v>24</v>
      </c>
      <c r="BU178" t="s">
        <v>198</v>
      </c>
      <c r="BX178" s="15" t="s">
        <v>194</v>
      </c>
      <c r="BZ178" t="s">
        <v>50</v>
      </c>
      <c r="CB178">
        <v>1</v>
      </c>
      <c r="CD178" s="61" t="s">
        <v>94</v>
      </c>
    </row>
    <row r="179" spans="1:82" x14ac:dyDescent="0.2">
      <c r="A179" s="20" t="s">
        <v>187</v>
      </c>
      <c r="B179" s="21" t="s">
        <v>188</v>
      </c>
      <c r="C179" s="20" t="s">
        <v>126</v>
      </c>
      <c r="D179" s="20" t="s">
        <v>184</v>
      </c>
      <c r="E179" s="20" t="s">
        <v>120</v>
      </c>
      <c r="F179" s="20">
        <v>270</v>
      </c>
      <c r="K179" s="41"/>
      <c r="L179" s="41"/>
      <c r="M179" s="41"/>
      <c r="N179" s="41"/>
      <c r="O179" s="41"/>
      <c r="P179" s="41">
        <f>12.3*1000</f>
        <v>12300</v>
      </c>
      <c r="Q179" s="41">
        <f>0.71*1000</f>
        <v>710</v>
      </c>
      <c r="X179">
        <f>328.8*60</f>
        <v>19728</v>
      </c>
      <c r="Y179">
        <f>11.54*60</f>
        <v>692.4</v>
      </c>
      <c r="AE179" s="15" t="s">
        <v>114</v>
      </c>
      <c r="AF179" s="15"/>
      <c r="AG179" s="15"/>
      <c r="AH179" t="s">
        <v>39</v>
      </c>
      <c r="AJ179" t="s">
        <v>201</v>
      </c>
      <c r="AK179" s="15">
        <v>26</v>
      </c>
      <c r="AM179" s="59">
        <v>0.59027777777777779</v>
      </c>
      <c r="AN179" s="15" t="s">
        <v>109</v>
      </c>
      <c r="AP179">
        <v>27.5</v>
      </c>
      <c r="AQ179">
        <v>0.28999999999999998</v>
      </c>
      <c r="AR179">
        <v>8.4</v>
      </c>
      <c r="AS179">
        <v>0.04</v>
      </c>
      <c r="AT179">
        <v>29.7</v>
      </c>
      <c r="AU179">
        <v>0.26</v>
      </c>
      <c r="AV179">
        <v>10.1</v>
      </c>
      <c r="AW179">
        <v>0.05</v>
      </c>
      <c r="BH179" s="20" t="s">
        <v>195</v>
      </c>
      <c r="BI179" s="20">
        <v>2014</v>
      </c>
      <c r="BJ179" s="20"/>
      <c r="BK179" s="20"/>
      <c r="BL179" s="15" t="s">
        <v>197</v>
      </c>
      <c r="BO179" t="s">
        <v>199</v>
      </c>
      <c r="BP179">
        <v>2012</v>
      </c>
      <c r="BT179" s="15" t="s">
        <v>24</v>
      </c>
      <c r="BU179" t="s">
        <v>198</v>
      </c>
      <c r="BX179" s="15" t="s">
        <v>194</v>
      </c>
      <c r="BZ179" t="s">
        <v>50</v>
      </c>
      <c r="CB179">
        <v>3</v>
      </c>
      <c r="CC179">
        <v>700</v>
      </c>
      <c r="CD179" s="61" t="s">
        <v>94</v>
      </c>
    </row>
    <row r="180" spans="1:82" x14ac:dyDescent="0.2">
      <c r="A180" s="20" t="s">
        <v>187</v>
      </c>
      <c r="B180" s="21" t="s">
        <v>188</v>
      </c>
      <c r="C180" s="20" t="s">
        <v>126</v>
      </c>
      <c r="D180" s="20" t="s">
        <v>184</v>
      </c>
      <c r="E180" s="20" t="s">
        <v>120</v>
      </c>
      <c r="F180" s="20">
        <v>261</v>
      </c>
      <c r="K180" s="41"/>
      <c r="L180" s="41"/>
      <c r="M180" s="41"/>
      <c r="N180" s="41"/>
      <c r="O180" s="41"/>
      <c r="P180" s="41">
        <f>9.8*1000</f>
        <v>9800</v>
      </c>
      <c r="Q180" s="41">
        <f>0.52*1000</f>
        <v>520</v>
      </c>
      <c r="X180">
        <f>288.5*60</f>
        <v>17310</v>
      </c>
      <c r="Y180">
        <f>11.5*60</f>
        <v>690</v>
      </c>
      <c r="AE180" s="15" t="s">
        <v>114</v>
      </c>
      <c r="AF180" s="15"/>
      <c r="AG180" s="15"/>
      <c r="AH180" t="s">
        <v>40</v>
      </c>
      <c r="AJ180" t="s">
        <v>201</v>
      </c>
      <c r="AK180" s="15">
        <v>26</v>
      </c>
      <c r="AM180" s="59">
        <v>0.59027777777777779</v>
      </c>
      <c r="AN180" s="15" t="s">
        <v>109</v>
      </c>
      <c r="AP180">
        <v>20</v>
      </c>
      <c r="AQ180">
        <v>0.3</v>
      </c>
      <c r="AR180">
        <v>7.5</v>
      </c>
      <c r="AS180">
        <v>0.04</v>
      </c>
      <c r="AT180">
        <v>25.5</v>
      </c>
      <c r="AU180">
        <v>0.28999999999999998</v>
      </c>
      <c r="AV180">
        <v>9.4</v>
      </c>
      <c r="AW180">
        <v>0.05</v>
      </c>
      <c r="BH180" s="20" t="s">
        <v>195</v>
      </c>
      <c r="BI180" s="20">
        <v>2014</v>
      </c>
      <c r="BJ180" s="20"/>
      <c r="BK180" s="20"/>
      <c r="BL180" s="15" t="s">
        <v>197</v>
      </c>
      <c r="BO180" t="s">
        <v>199</v>
      </c>
      <c r="BP180">
        <v>2012</v>
      </c>
      <c r="BT180" s="15" t="s">
        <v>24</v>
      </c>
      <c r="BU180" t="s">
        <v>198</v>
      </c>
      <c r="BX180" s="15" t="s">
        <v>194</v>
      </c>
      <c r="BZ180" t="s">
        <v>50</v>
      </c>
      <c r="CB180">
        <v>3</v>
      </c>
      <c r="CC180">
        <v>700</v>
      </c>
      <c r="CD180" s="61" t="s">
        <v>94</v>
      </c>
    </row>
    <row r="181" spans="1:82" x14ac:dyDescent="0.2">
      <c r="A181" s="20" t="s">
        <v>187</v>
      </c>
      <c r="B181" s="21" t="s">
        <v>188</v>
      </c>
      <c r="C181" s="20" t="s">
        <v>126</v>
      </c>
      <c r="D181" s="20" t="s">
        <v>184</v>
      </c>
      <c r="E181">
        <v>1</v>
      </c>
      <c r="F181">
        <v>1</v>
      </c>
      <c r="I181" s="20" t="s">
        <v>151</v>
      </c>
      <c r="K181" s="41"/>
      <c r="L181" s="41">
        <f>N181/(V181*60)</f>
        <v>1.8994252873563218</v>
      </c>
      <c r="M181" s="41"/>
      <c r="N181" s="41">
        <f>66.1*1000</f>
        <v>66100</v>
      </c>
      <c r="O181" s="41"/>
      <c r="P181" s="41"/>
      <c r="Q181" s="41"/>
      <c r="V181">
        <v>580</v>
      </c>
      <c r="AE181" s="15" t="s">
        <v>114</v>
      </c>
      <c r="AF181" s="15"/>
      <c r="AG181" s="15"/>
      <c r="AH181" t="s">
        <v>39</v>
      </c>
      <c r="AI181">
        <v>5</v>
      </c>
      <c r="AJ181" t="s">
        <v>201</v>
      </c>
      <c r="AK181" s="15">
        <v>26</v>
      </c>
      <c r="AM181" s="59">
        <v>0.59027777777777779</v>
      </c>
      <c r="AN181" s="15" t="s">
        <v>109</v>
      </c>
      <c r="BH181" s="20" t="s">
        <v>195</v>
      </c>
      <c r="BI181" s="20">
        <v>2014</v>
      </c>
      <c r="BJ181" s="20"/>
      <c r="BK181" s="20"/>
      <c r="BL181" s="15" t="s">
        <v>197</v>
      </c>
      <c r="BO181" t="s">
        <v>199</v>
      </c>
      <c r="BP181">
        <v>2012</v>
      </c>
      <c r="BT181" s="15" t="s">
        <v>24</v>
      </c>
      <c r="BU181" t="s">
        <v>198</v>
      </c>
      <c r="BX181" s="15" t="s">
        <v>194</v>
      </c>
      <c r="BZ181" t="s">
        <v>50</v>
      </c>
      <c r="CC181">
        <v>700</v>
      </c>
      <c r="CD181" s="61" t="s">
        <v>94</v>
      </c>
    </row>
    <row r="182" spans="1:82" s="48" customFormat="1" x14ac:dyDescent="0.2">
      <c r="A182" s="44" t="s">
        <v>187</v>
      </c>
      <c r="B182" s="45" t="s">
        <v>188</v>
      </c>
      <c r="C182" s="44" t="s">
        <v>126</v>
      </c>
      <c r="D182" s="44" t="s">
        <v>184</v>
      </c>
      <c r="E182" s="48">
        <v>1</v>
      </c>
      <c r="F182" s="48">
        <v>1</v>
      </c>
      <c r="I182" s="44" t="s">
        <v>151</v>
      </c>
      <c r="L182" s="48">
        <f>N182/(V182*60)</f>
        <v>1.1489237929028504</v>
      </c>
      <c r="N182" s="48">
        <f>39.5*1000</f>
        <v>39500</v>
      </c>
      <c r="V182" s="48">
        <v>573</v>
      </c>
      <c r="AE182" s="46" t="s">
        <v>114</v>
      </c>
      <c r="AF182" s="46"/>
      <c r="AG182" s="46"/>
      <c r="AH182" s="48" t="s">
        <v>40</v>
      </c>
      <c r="AI182" s="48">
        <v>2</v>
      </c>
      <c r="AJ182" s="48" t="s">
        <v>201</v>
      </c>
      <c r="AK182" s="46">
        <v>26</v>
      </c>
      <c r="AM182" s="70">
        <v>0.59027777777777779</v>
      </c>
      <c r="AN182" s="46" t="s">
        <v>109</v>
      </c>
      <c r="BH182" s="44" t="s">
        <v>195</v>
      </c>
      <c r="BI182" s="44">
        <v>2014</v>
      </c>
      <c r="BJ182" s="44"/>
      <c r="BK182" s="44"/>
      <c r="BL182" s="46" t="s">
        <v>197</v>
      </c>
      <c r="BO182" s="48" t="s">
        <v>199</v>
      </c>
      <c r="BP182" s="48">
        <v>2012</v>
      </c>
      <c r="BT182" s="46" t="s">
        <v>24</v>
      </c>
      <c r="BU182" s="48" t="s">
        <v>198</v>
      </c>
      <c r="BX182" s="46" t="s">
        <v>194</v>
      </c>
      <c r="BZ182" s="48" t="s">
        <v>50</v>
      </c>
      <c r="CC182" s="48">
        <v>700</v>
      </c>
      <c r="CD182" s="48" t="s">
        <v>94</v>
      </c>
    </row>
    <row r="183" spans="1:82" x14ac:dyDescent="0.2">
      <c r="A183" s="20" t="s">
        <v>221</v>
      </c>
      <c r="B183" s="21" t="s">
        <v>229</v>
      </c>
      <c r="C183" s="20" t="s">
        <v>126</v>
      </c>
      <c r="D183" s="20" t="s">
        <v>222</v>
      </c>
      <c r="E183" s="20"/>
      <c r="F183" s="20"/>
      <c r="P183" t="s">
        <v>223</v>
      </c>
      <c r="R183" t="s">
        <v>241</v>
      </c>
      <c r="BH183" s="20" t="s">
        <v>195</v>
      </c>
      <c r="BI183" s="20">
        <v>2014</v>
      </c>
      <c r="BJ183" s="20" t="s">
        <v>215</v>
      </c>
      <c r="BK183" s="20">
        <v>1997</v>
      </c>
      <c r="BZ183" s="78" t="s">
        <v>50</v>
      </c>
      <c r="CC183" t="s">
        <v>249</v>
      </c>
    </row>
    <row r="184" spans="1:82" x14ac:dyDescent="0.2">
      <c r="A184" s="20" t="s">
        <v>228</v>
      </c>
      <c r="B184" s="21" t="s">
        <v>230</v>
      </c>
      <c r="C184" s="20" t="s">
        <v>126</v>
      </c>
      <c r="D184" s="20" t="s">
        <v>227</v>
      </c>
      <c r="L184" t="s">
        <v>226</v>
      </c>
      <c r="P184" t="s">
        <v>224</v>
      </c>
      <c r="R184" t="s">
        <v>242</v>
      </c>
      <c r="X184" t="s">
        <v>225</v>
      </c>
      <c r="BH184" s="20" t="s">
        <v>195</v>
      </c>
      <c r="BI184" s="20">
        <v>2014</v>
      </c>
      <c r="BJ184" t="s">
        <v>216</v>
      </c>
      <c r="BK184" t="s">
        <v>217</v>
      </c>
      <c r="BZ184" s="16" t="s">
        <v>50</v>
      </c>
      <c r="CC184" t="s">
        <v>249</v>
      </c>
    </row>
    <row r="185" spans="1:82" x14ac:dyDescent="0.2">
      <c r="A185" s="20" t="s">
        <v>231</v>
      </c>
      <c r="B185" s="21" t="s">
        <v>229</v>
      </c>
      <c r="C185" s="20" t="s">
        <v>126</v>
      </c>
      <c r="D185" s="20" t="s">
        <v>232</v>
      </c>
      <c r="P185" t="s">
        <v>236</v>
      </c>
      <c r="R185" t="s">
        <v>243</v>
      </c>
      <c r="BH185" s="20" t="s">
        <v>195</v>
      </c>
      <c r="BI185" s="20">
        <v>2014</v>
      </c>
      <c r="BJ185" t="s">
        <v>218</v>
      </c>
      <c r="BK185" t="s">
        <v>219</v>
      </c>
      <c r="BZ185" s="16" t="s">
        <v>50</v>
      </c>
      <c r="CC185" t="s">
        <v>249</v>
      </c>
    </row>
    <row r="186" spans="1:82" x14ac:dyDescent="0.2">
      <c r="A186" s="20" t="s">
        <v>234</v>
      </c>
      <c r="B186" s="21" t="s">
        <v>188</v>
      </c>
      <c r="C186" s="20" t="s">
        <v>126</v>
      </c>
      <c r="D186" s="20" t="s">
        <v>233</v>
      </c>
      <c r="P186" t="s">
        <v>237</v>
      </c>
      <c r="R186" t="s">
        <v>244</v>
      </c>
      <c r="BH186" s="20" t="s">
        <v>195</v>
      </c>
      <c r="BI186" s="20">
        <v>2014</v>
      </c>
      <c r="BJ186" t="s">
        <v>235</v>
      </c>
      <c r="BK186">
        <v>2008</v>
      </c>
      <c r="BZ186" s="16" t="s">
        <v>50</v>
      </c>
      <c r="CC186" t="s">
        <v>249</v>
      </c>
    </row>
    <row r="187" spans="1:82" s="48" customFormat="1" x14ac:dyDescent="0.2">
      <c r="A187" s="44" t="s">
        <v>240</v>
      </c>
      <c r="B187" s="45" t="s">
        <v>229</v>
      </c>
      <c r="C187" s="44" t="s">
        <v>126</v>
      </c>
      <c r="D187" s="44" t="s">
        <v>238</v>
      </c>
      <c r="P187" s="48" t="s">
        <v>239</v>
      </c>
      <c r="BH187" s="44" t="s">
        <v>195</v>
      </c>
      <c r="BI187" s="44">
        <v>2014</v>
      </c>
      <c r="BJ187" s="44" t="s">
        <v>220</v>
      </c>
      <c r="BK187" s="48">
        <v>2009</v>
      </c>
      <c r="BZ187" s="48" t="s">
        <v>50</v>
      </c>
      <c r="CC187" s="48" t="s">
        <v>249</v>
      </c>
    </row>
    <row r="188" spans="1:82" x14ac:dyDescent="0.2">
      <c r="A188" s="20" t="s">
        <v>255</v>
      </c>
      <c r="B188" s="21" t="s">
        <v>258</v>
      </c>
      <c r="C188" s="20" t="s">
        <v>21</v>
      </c>
      <c r="D188" s="20" t="s">
        <v>256</v>
      </c>
      <c r="E188">
        <v>1000</v>
      </c>
      <c r="F188">
        <f>E188-G188</f>
        <v>400</v>
      </c>
      <c r="G188">
        <f>E188*0.6</f>
        <v>600</v>
      </c>
      <c r="V188" s="87">
        <v>0.2</v>
      </c>
      <c r="W188" s="15"/>
      <c r="X188" s="88">
        <f>6*60</f>
        <v>360</v>
      </c>
      <c r="Y188" s="15"/>
      <c r="Z188" s="15"/>
      <c r="AA188" s="85">
        <v>30</v>
      </c>
      <c r="AE188" t="s">
        <v>114</v>
      </c>
      <c r="AJ188" t="s">
        <v>263</v>
      </c>
      <c r="AK188" t="s">
        <v>261</v>
      </c>
      <c r="AL188">
        <v>48</v>
      </c>
      <c r="AM188" s="59">
        <v>0.59027777777777779</v>
      </c>
      <c r="BH188" s="20" t="s">
        <v>262</v>
      </c>
      <c r="BI188" s="20">
        <v>2004</v>
      </c>
      <c r="BT188" t="s">
        <v>51</v>
      </c>
      <c r="BW188" s="22" t="s">
        <v>260</v>
      </c>
      <c r="BX188" s="22" t="s">
        <v>259</v>
      </c>
      <c r="BY188" t="s">
        <v>287</v>
      </c>
      <c r="BZ188" s="16" t="s">
        <v>50</v>
      </c>
      <c r="CA188">
        <v>2</v>
      </c>
      <c r="CC188">
        <v>1393</v>
      </c>
    </row>
    <row r="189" spans="1:82" x14ac:dyDescent="0.2">
      <c r="A189" s="20" t="s">
        <v>265</v>
      </c>
      <c r="B189" s="21" t="s">
        <v>258</v>
      </c>
      <c r="C189" s="20" t="s">
        <v>21</v>
      </c>
      <c r="D189" s="20" t="s">
        <v>257</v>
      </c>
      <c r="E189">
        <v>1400</v>
      </c>
      <c r="F189">
        <f>E189-G189</f>
        <v>224</v>
      </c>
      <c r="G189">
        <f>1400*0.84</f>
        <v>1176</v>
      </c>
      <c r="V189" s="84">
        <v>0.2</v>
      </c>
      <c r="W189" s="15"/>
      <c r="X189" s="86">
        <f>8*60</f>
        <v>480</v>
      </c>
      <c r="Y189" s="15"/>
      <c r="Z189" s="15"/>
      <c r="AA189" s="85">
        <v>31</v>
      </c>
      <c r="AE189" t="s">
        <v>114</v>
      </c>
      <c r="AJ189" t="s">
        <v>263</v>
      </c>
      <c r="AK189" t="s">
        <v>261</v>
      </c>
      <c r="AL189">
        <v>48</v>
      </c>
      <c r="AM189" s="59">
        <v>0.59027777777777779</v>
      </c>
      <c r="BH189" s="20" t="s">
        <v>262</v>
      </c>
      <c r="BI189" s="20">
        <v>2004</v>
      </c>
      <c r="BT189" t="s">
        <v>51</v>
      </c>
      <c r="BW189" s="22" t="s">
        <v>260</v>
      </c>
      <c r="BX189" s="22" t="s">
        <v>259</v>
      </c>
      <c r="BY189" t="s">
        <v>287</v>
      </c>
      <c r="BZ189" s="16" t="s">
        <v>50</v>
      </c>
      <c r="CA189">
        <v>2</v>
      </c>
      <c r="CC189">
        <v>1393</v>
      </c>
    </row>
    <row r="190" spans="1:82" x14ac:dyDescent="0.2">
      <c r="A190" s="20" t="s">
        <v>255</v>
      </c>
      <c r="B190" s="21" t="s">
        <v>258</v>
      </c>
      <c r="C190" s="20" t="s">
        <v>21</v>
      </c>
      <c r="D190" s="20" t="s">
        <v>256</v>
      </c>
      <c r="E190">
        <v>1</v>
      </c>
      <c r="I190" t="s">
        <v>264</v>
      </c>
      <c r="V190" s="84">
        <v>700</v>
      </c>
      <c r="W190" s="15"/>
      <c r="X190" s="15"/>
      <c r="Y190" s="15"/>
      <c r="Z190" s="15"/>
      <c r="AA190" s="15"/>
      <c r="AE190" t="s">
        <v>114</v>
      </c>
      <c r="AH190" t="s">
        <v>40</v>
      </c>
      <c r="AJ190" t="s">
        <v>263</v>
      </c>
      <c r="AK190" t="s">
        <v>261</v>
      </c>
      <c r="AL190">
        <v>48</v>
      </c>
      <c r="AM190" s="59">
        <v>0.59027777777777779</v>
      </c>
      <c r="BH190" s="20" t="s">
        <v>262</v>
      </c>
      <c r="BI190" s="20">
        <v>2004</v>
      </c>
      <c r="BT190" t="s">
        <v>51</v>
      </c>
      <c r="BW190" s="22" t="s">
        <v>260</v>
      </c>
      <c r="BX190" s="22" t="s">
        <v>259</v>
      </c>
      <c r="BY190" t="s">
        <v>287</v>
      </c>
      <c r="BZ190" s="16" t="s">
        <v>50</v>
      </c>
      <c r="CA190">
        <v>2</v>
      </c>
      <c r="CC190">
        <v>1393</v>
      </c>
    </row>
    <row r="191" spans="1:82" x14ac:dyDescent="0.2">
      <c r="A191" s="20" t="s">
        <v>255</v>
      </c>
      <c r="B191" s="21" t="s">
        <v>258</v>
      </c>
      <c r="C191" s="20" t="s">
        <v>21</v>
      </c>
      <c r="D191" s="20" t="s">
        <v>256</v>
      </c>
      <c r="E191">
        <v>1</v>
      </c>
      <c r="I191" t="s">
        <v>264</v>
      </c>
      <c r="V191" s="84">
        <v>700</v>
      </c>
      <c r="W191" s="15"/>
      <c r="X191" s="15"/>
      <c r="Y191" s="15"/>
      <c r="Z191" s="15"/>
      <c r="AA191" s="15"/>
      <c r="AE191" t="s">
        <v>114</v>
      </c>
      <c r="AH191" t="s">
        <v>40</v>
      </c>
      <c r="AJ191" t="s">
        <v>263</v>
      </c>
      <c r="AK191" t="s">
        <v>261</v>
      </c>
      <c r="AL191">
        <v>48</v>
      </c>
      <c r="AM191" s="59">
        <v>0.59027777777777779</v>
      </c>
      <c r="BH191" s="20" t="s">
        <v>262</v>
      </c>
      <c r="BI191" s="20">
        <v>2004</v>
      </c>
      <c r="BT191" t="s">
        <v>51</v>
      </c>
      <c r="BW191" s="22" t="s">
        <v>260</v>
      </c>
      <c r="BX191" s="22" t="s">
        <v>259</v>
      </c>
      <c r="BY191" t="s">
        <v>287</v>
      </c>
      <c r="BZ191" s="16" t="s">
        <v>50</v>
      </c>
      <c r="CA191">
        <v>2</v>
      </c>
      <c r="CC191">
        <v>1393</v>
      </c>
    </row>
    <row r="192" spans="1:82" x14ac:dyDescent="0.2">
      <c r="A192" s="20" t="s">
        <v>73</v>
      </c>
      <c r="B192" s="21" t="s">
        <v>258</v>
      </c>
      <c r="C192" s="20" t="s">
        <v>21</v>
      </c>
      <c r="D192" s="20"/>
      <c r="I192" t="s">
        <v>270</v>
      </c>
      <c r="V192" s="84">
        <v>0.22</v>
      </c>
      <c r="W192" s="15"/>
      <c r="X192" s="86">
        <f>9*60</f>
        <v>540</v>
      </c>
      <c r="Y192" s="15"/>
      <c r="Z192" s="15"/>
      <c r="AA192" s="85">
        <v>35</v>
      </c>
      <c r="AE192" t="s">
        <v>114</v>
      </c>
      <c r="AH192" t="s">
        <v>39</v>
      </c>
      <c r="AJ192" t="s">
        <v>263</v>
      </c>
      <c r="AK192" t="s">
        <v>261</v>
      </c>
      <c r="AL192">
        <v>48</v>
      </c>
      <c r="AM192" s="59">
        <v>0.59027777777777779</v>
      </c>
      <c r="BH192" s="20" t="s">
        <v>262</v>
      </c>
      <c r="BI192" s="20">
        <v>2004</v>
      </c>
      <c r="BT192" t="s">
        <v>51</v>
      </c>
      <c r="BW192" s="22" t="s">
        <v>260</v>
      </c>
      <c r="BX192" s="22" t="s">
        <v>259</v>
      </c>
      <c r="BY192" t="s">
        <v>287</v>
      </c>
      <c r="BZ192" s="16" t="s">
        <v>50</v>
      </c>
      <c r="CA192">
        <v>2</v>
      </c>
      <c r="CC192">
        <v>1393</v>
      </c>
    </row>
    <row r="193" spans="1:81" x14ac:dyDescent="0.2">
      <c r="A193" s="20" t="s">
        <v>73</v>
      </c>
      <c r="B193" s="21" t="s">
        <v>258</v>
      </c>
      <c r="C193" s="20" t="s">
        <v>21</v>
      </c>
      <c r="D193" s="20"/>
      <c r="I193" t="s">
        <v>270</v>
      </c>
      <c r="V193" s="84">
        <v>0.16</v>
      </c>
      <c r="W193" s="15"/>
      <c r="X193" s="86">
        <f>6*60</f>
        <v>360</v>
      </c>
      <c r="Y193" s="15"/>
      <c r="Z193" s="15"/>
      <c r="AA193" s="85">
        <v>29</v>
      </c>
      <c r="AE193" t="s">
        <v>114</v>
      </c>
      <c r="AH193" t="s">
        <v>40</v>
      </c>
      <c r="AJ193" t="s">
        <v>263</v>
      </c>
      <c r="AK193" t="s">
        <v>261</v>
      </c>
      <c r="AL193">
        <v>48</v>
      </c>
      <c r="AM193" s="59">
        <v>0.59027777777777779</v>
      </c>
      <c r="BH193" s="20" t="s">
        <v>262</v>
      </c>
      <c r="BI193" s="20">
        <v>2004</v>
      </c>
      <c r="BT193" t="s">
        <v>51</v>
      </c>
      <c r="BW193" s="22" t="s">
        <v>260</v>
      </c>
      <c r="BX193" s="22" t="s">
        <v>259</v>
      </c>
      <c r="BY193" t="s">
        <v>287</v>
      </c>
      <c r="BZ193" s="16" t="s">
        <v>50</v>
      </c>
      <c r="CA193">
        <v>2</v>
      </c>
      <c r="CC193">
        <v>1393</v>
      </c>
    </row>
    <row r="194" spans="1:81" x14ac:dyDescent="0.2">
      <c r="A194" s="20" t="s">
        <v>73</v>
      </c>
      <c r="B194" s="21" t="s">
        <v>258</v>
      </c>
      <c r="C194" s="20" t="s">
        <v>21</v>
      </c>
      <c r="D194" s="20"/>
      <c r="I194" t="s">
        <v>270</v>
      </c>
      <c r="V194" s="84">
        <v>0.25</v>
      </c>
      <c r="W194" s="15"/>
      <c r="X194" s="86">
        <f>60*6</f>
        <v>360</v>
      </c>
      <c r="Y194" s="15"/>
      <c r="Z194" s="15"/>
      <c r="AA194" s="85">
        <v>27</v>
      </c>
      <c r="AE194" t="s">
        <v>114</v>
      </c>
      <c r="AI194" t="s">
        <v>266</v>
      </c>
      <c r="AJ194" t="s">
        <v>263</v>
      </c>
      <c r="AK194" t="s">
        <v>261</v>
      </c>
      <c r="AL194">
        <v>48</v>
      </c>
      <c r="AM194" s="59">
        <v>0.59027777777777779</v>
      </c>
      <c r="BH194" s="20" t="s">
        <v>262</v>
      </c>
      <c r="BI194" s="20">
        <v>2004</v>
      </c>
      <c r="BT194" t="s">
        <v>51</v>
      </c>
      <c r="BW194" s="22" t="s">
        <v>260</v>
      </c>
      <c r="BX194" s="22" t="s">
        <v>259</v>
      </c>
      <c r="BY194" t="s">
        <v>287</v>
      </c>
      <c r="BZ194" s="16" t="s">
        <v>50</v>
      </c>
      <c r="CA194">
        <v>2</v>
      </c>
      <c r="CC194">
        <v>1393</v>
      </c>
    </row>
    <row r="195" spans="1:81" x14ac:dyDescent="0.2">
      <c r="A195" s="20" t="s">
        <v>73</v>
      </c>
      <c r="B195" s="21" t="s">
        <v>258</v>
      </c>
      <c r="C195" s="20" t="s">
        <v>21</v>
      </c>
      <c r="D195" s="20"/>
      <c r="I195" t="s">
        <v>270</v>
      </c>
      <c r="V195" s="84">
        <v>0.16</v>
      </c>
      <c r="W195" s="15"/>
      <c r="X195" s="86">
        <f>7*60</f>
        <v>420</v>
      </c>
      <c r="Y195" s="15"/>
      <c r="Z195" s="15"/>
      <c r="AA195" s="85">
        <v>27</v>
      </c>
      <c r="AE195" t="s">
        <v>114</v>
      </c>
      <c r="AI195" t="s">
        <v>267</v>
      </c>
      <c r="AJ195" t="s">
        <v>263</v>
      </c>
      <c r="AK195" t="s">
        <v>261</v>
      </c>
      <c r="AL195">
        <v>48</v>
      </c>
      <c r="AM195" s="59">
        <v>0.59027777777777779</v>
      </c>
      <c r="BH195" s="20" t="s">
        <v>262</v>
      </c>
      <c r="BI195" s="20">
        <v>2004</v>
      </c>
      <c r="BT195" t="s">
        <v>51</v>
      </c>
      <c r="BW195" s="22" t="s">
        <v>260</v>
      </c>
      <c r="BX195" s="22" t="s">
        <v>259</v>
      </c>
      <c r="BY195" t="s">
        <v>287</v>
      </c>
      <c r="BZ195" s="16" t="s">
        <v>50</v>
      </c>
      <c r="CA195">
        <v>2</v>
      </c>
      <c r="CC195">
        <v>1393</v>
      </c>
    </row>
    <row r="196" spans="1:81" x14ac:dyDescent="0.2">
      <c r="A196" s="20" t="s">
        <v>73</v>
      </c>
      <c r="B196" s="21" t="s">
        <v>258</v>
      </c>
      <c r="C196" s="20" t="s">
        <v>21</v>
      </c>
      <c r="D196" s="20"/>
      <c r="I196" t="s">
        <v>270</v>
      </c>
      <c r="V196" s="84">
        <v>0.21</v>
      </c>
      <c r="W196" s="15"/>
      <c r="X196" s="86">
        <f>8*60</f>
        <v>480</v>
      </c>
      <c r="Y196" s="15"/>
      <c r="Z196" s="15"/>
      <c r="AA196" s="85">
        <v>33</v>
      </c>
      <c r="AE196" t="s">
        <v>114</v>
      </c>
      <c r="AI196" t="s">
        <v>268</v>
      </c>
      <c r="AJ196" t="s">
        <v>263</v>
      </c>
      <c r="AK196" t="s">
        <v>261</v>
      </c>
      <c r="AL196">
        <v>48</v>
      </c>
      <c r="AM196" s="59">
        <v>0.59027777777777779</v>
      </c>
      <c r="BH196" s="20" t="s">
        <v>262</v>
      </c>
      <c r="BI196" s="20">
        <v>2004</v>
      </c>
      <c r="BT196" t="s">
        <v>51</v>
      </c>
      <c r="BW196" s="22" t="s">
        <v>260</v>
      </c>
      <c r="BX196" s="22" t="s">
        <v>259</v>
      </c>
      <c r="BY196" t="s">
        <v>287</v>
      </c>
      <c r="BZ196" s="16" t="s">
        <v>50</v>
      </c>
      <c r="CA196">
        <v>2</v>
      </c>
      <c r="CC196">
        <v>1393</v>
      </c>
    </row>
    <row r="197" spans="1:81" x14ac:dyDescent="0.2">
      <c r="A197" s="20" t="s">
        <v>73</v>
      </c>
      <c r="B197" s="21" t="s">
        <v>258</v>
      </c>
      <c r="C197" s="20" t="s">
        <v>21</v>
      </c>
      <c r="D197" s="20"/>
      <c r="I197" t="s">
        <v>270</v>
      </c>
      <c r="V197" s="84">
        <v>0.15</v>
      </c>
      <c r="W197" s="15"/>
      <c r="X197" s="86">
        <f>9*60</f>
        <v>540</v>
      </c>
      <c r="Y197" s="15"/>
      <c r="Z197" s="15"/>
      <c r="AA197" s="85">
        <v>41</v>
      </c>
      <c r="AE197" t="s">
        <v>114</v>
      </c>
      <c r="AI197" t="s">
        <v>269</v>
      </c>
      <c r="AJ197" t="s">
        <v>263</v>
      </c>
      <c r="AK197" t="s">
        <v>261</v>
      </c>
      <c r="AL197">
        <v>48</v>
      </c>
      <c r="AM197" s="59">
        <v>0.59027777777777779</v>
      </c>
      <c r="BH197" s="20" t="s">
        <v>262</v>
      </c>
      <c r="BI197" s="20">
        <v>2004</v>
      </c>
      <c r="BT197" t="s">
        <v>51</v>
      </c>
      <c r="BW197" s="22" t="s">
        <v>260</v>
      </c>
      <c r="BX197" s="22" t="s">
        <v>259</v>
      </c>
      <c r="BY197" t="s">
        <v>287</v>
      </c>
      <c r="BZ197" s="16" t="s">
        <v>50</v>
      </c>
      <c r="CA197">
        <v>2</v>
      </c>
      <c r="CC197">
        <v>1393</v>
      </c>
    </row>
    <row r="198" spans="1:81" x14ac:dyDescent="0.2">
      <c r="A198" s="20" t="s">
        <v>255</v>
      </c>
      <c r="B198" s="21" t="s">
        <v>258</v>
      </c>
      <c r="C198" s="20" t="s">
        <v>21</v>
      </c>
      <c r="D198" s="20" t="s">
        <v>256</v>
      </c>
      <c r="I198" t="s">
        <v>264</v>
      </c>
      <c r="V198" s="84">
        <v>21</v>
      </c>
      <c r="W198" s="15"/>
      <c r="X198" s="86">
        <f>100*60</f>
        <v>6000</v>
      </c>
      <c r="Y198" s="15"/>
      <c r="Z198" s="15"/>
      <c r="AA198" s="85">
        <v>0.75</v>
      </c>
      <c r="AE198" t="s">
        <v>114</v>
      </c>
      <c r="AJ198" t="s">
        <v>263</v>
      </c>
      <c r="AK198" t="s">
        <v>261</v>
      </c>
      <c r="AL198">
        <v>48</v>
      </c>
      <c r="AM198" s="59">
        <v>0.59027777777777779</v>
      </c>
      <c r="BH198" s="20" t="s">
        <v>262</v>
      </c>
      <c r="BI198" s="20">
        <v>2004</v>
      </c>
      <c r="BT198" t="s">
        <v>51</v>
      </c>
      <c r="BW198" s="22" t="s">
        <v>260</v>
      </c>
      <c r="BX198" s="22" t="s">
        <v>259</v>
      </c>
      <c r="BY198" t="s">
        <v>287</v>
      </c>
      <c r="BZ198" s="16" t="s">
        <v>50</v>
      </c>
      <c r="CA198">
        <v>3</v>
      </c>
      <c r="CC198">
        <v>1393</v>
      </c>
    </row>
    <row r="199" spans="1:81" x14ac:dyDescent="0.2">
      <c r="A199" s="20" t="s">
        <v>265</v>
      </c>
      <c r="B199" s="21" t="s">
        <v>258</v>
      </c>
      <c r="C199" s="20" t="s">
        <v>21</v>
      </c>
      <c r="D199" s="20" t="s">
        <v>257</v>
      </c>
      <c r="I199" t="s">
        <v>264</v>
      </c>
      <c r="V199" s="84">
        <v>27</v>
      </c>
      <c r="W199" s="15"/>
      <c r="X199" s="86">
        <f>125*60</f>
        <v>7500</v>
      </c>
      <c r="Y199" s="15"/>
      <c r="Z199" s="15"/>
      <c r="AA199" s="85">
        <v>1.2</v>
      </c>
      <c r="AE199" t="s">
        <v>114</v>
      </c>
      <c r="AJ199" t="s">
        <v>263</v>
      </c>
      <c r="AK199" t="s">
        <v>261</v>
      </c>
      <c r="AL199">
        <v>48</v>
      </c>
      <c r="AM199" s="59">
        <v>0.59027777777777779</v>
      </c>
      <c r="BH199" s="20" t="s">
        <v>262</v>
      </c>
      <c r="BI199" s="20">
        <v>2004</v>
      </c>
      <c r="BT199" t="s">
        <v>51</v>
      </c>
      <c r="BW199" s="22" t="s">
        <v>260</v>
      </c>
      <c r="BX199" s="22" t="s">
        <v>259</v>
      </c>
      <c r="BY199" t="s">
        <v>287</v>
      </c>
      <c r="BZ199" s="16" t="s">
        <v>50</v>
      </c>
      <c r="CA199">
        <v>3</v>
      </c>
      <c r="CC199">
        <v>1393</v>
      </c>
    </row>
    <row r="200" spans="1:81" x14ac:dyDescent="0.2">
      <c r="A200" s="20" t="s">
        <v>73</v>
      </c>
      <c r="B200" s="21" t="s">
        <v>258</v>
      </c>
      <c r="C200" s="20" t="s">
        <v>21</v>
      </c>
      <c r="I200" t="s">
        <v>264</v>
      </c>
      <c r="V200" s="84">
        <v>26</v>
      </c>
      <c r="W200" s="15"/>
      <c r="X200" s="86">
        <f>130*60</f>
        <v>7800</v>
      </c>
      <c r="Y200" s="15"/>
      <c r="Z200" s="15"/>
      <c r="AA200" s="85">
        <v>1.4</v>
      </c>
      <c r="AE200" t="s">
        <v>114</v>
      </c>
      <c r="AH200" t="s">
        <v>39</v>
      </c>
      <c r="AJ200" t="s">
        <v>263</v>
      </c>
      <c r="AK200" t="s">
        <v>261</v>
      </c>
      <c r="AL200">
        <v>48</v>
      </c>
      <c r="AM200" s="59">
        <v>0.59027777777777779</v>
      </c>
      <c r="BH200" s="20" t="s">
        <v>262</v>
      </c>
      <c r="BI200" s="20">
        <v>2004</v>
      </c>
      <c r="BT200" t="s">
        <v>51</v>
      </c>
      <c r="BW200" s="22" t="s">
        <v>260</v>
      </c>
      <c r="BX200" s="22" t="s">
        <v>259</v>
      </c>
      <c r="BY200" t="s">
        <v>287</v>
      </c>
      <c r="BZ200" s="16" t="s">
        <v>50</v>
      </c>
      <c r="CA200">
        <v>3</v>
      </c>
      <c r="CC200">
        <v>1393</v>
      </c>
    </row>
    <row r="201" spans="1:81" x14ac:dyDescent="0.2">
      <c r="A201" s="20" t="s">
        <v>73</v>
      </c>
      <c r="B201" s="21" t="s">
        <v>258</v>
      </c>
      <c r="C201" s="20" t="s">
        <v>21</v>
      </c>
      <c r="I201" t="s">
        <v>264</v>
      </c>
      <c r="V201" s="84">
        <v>19</v>
      </c>
      <c r="W201" s="15"/>
      <c r="X201" s="86">
        <f>80*60</f>
        <v>4800</v>
      </c>
      <c r="Y201" s="15"/>
      <c r="Z201" s="15"/>
      <c r="AA201" s="85">
        <v>0.5</v>
      </c>
      <c r="AE201" t="s">
        <v>114</v>
      </c>
      <c r="AH201" t="s">
        <v>40</v>
      </c>
      <c r="AJ201" t="s">
        <v>263</v>
      </c>
      <c r="AK201" t="s">
        <v>261</v>
      </c>
      <c r="AL201">
        <v>48</v>
      </c>
      <c r="AM201" s="59">
        <v>0.59027777777777779</v>
      </c>
      <c r="BH201" s="20" t="s">
        <v>262</v>
      </c>
      <c r="BI201" s="20">
        <v>2004</v>
      </c>
      <c r="BT201" t="s">
        <v>51</v>
      </c>
      <c r="BW201" s="22" t="s">
        <v>260</v>
      </c>
      <c r="BX201" s="22" t="s">
        <v>259</v>
      </c>
      <c r="BY201" t="s">
        <v>287</v>
      </c>
      <c r="BZ201" s="16" t="s">
        <v>50</v>
      </c>
      <c r="CA201">
        <v>3</v>
      </c>
      <c r="CC201">
        <v>1393</v>
      </c>
    </row>
    <row r="202" spans="1:81" x14ac:dyDescent="0.2">
      <c r="A202" s="20" t="s">
        <v>73</v>
      </c>
      <c r="B202" s="21" t="s">
        <v>258</v>
      </c>
      <c r="C202" s="20" t="s">
        <v>21</v>
      </c>
      <c r="I202" t="s">
        <v>264</v>
      </c>
      <c r="V202" s="84">
        <v>21</v>
      </c>
      <c r="W202" s="15"/>
      <c r="X202" s="86">
        <f>110*60</f>
        <v>6600</v>
      </c>
      <c r="Y202" s="15"/>
      <c r="Z202" s="15"/>
      <c r="AA202" s="85">
        <v>0.75</v>
      </c>
      <c r="AE202" t="s">
        <v>114</v>
      </c>
      <c r="AI202" t="s">
        <v>266</v>
      </c>
      <c r="AJ202" t="s">
        <v>263</v>
      </c>
      <c r="AK202" t="s">
        <v>261</v>
      </c>
      <c r="AL202">
        <v>48</v>
      </c>
      <c r="AM202" s="59">
        <v>0.59027777777777779</v>
      </c>
      <c r="BH202" s="20" t="s">
        <v>262</v>
      </c>
      <c r="BI202" s="20">
        <v>2004</v>
      </c>
      <c r="BT202" t="s">
        <v>51</v>
      </c>
      <c r="BW202" s="22" t="s">
        <v>260</v>
      </c>
      <c r="BX202" s="22" t="s">
        <v>259</v>
      </c>
      <c r="BY202" t="s">
        <v>287</v>
      </c>
      <c r="BZ202" s="16" t="s">
        <v>50</v>
      </c>
      <c r="CA202">
        <v>3</v>
      </c>
      <c r="CC202">
        <v>1393</v>
      </c>
    </row>
    <row r="203" spans="1:81" x14ac:dyDescent="0.2">
      <c r="A203" s="20" t="s">
        <v>73</v>
      </c>
      <c r="B203" s="21" t="s">
        <v>258</v>
      </c>
      <c r="C203" s="20" t="s">
        <v>21</v>
      </c>
      <c r="I203" t="s">
        <v>264</v>
      </c>
      <c r="V203" s="84">
        <v>27</v>
      </c>
      <c r="W203" s="15"/>
      <c r="X203" s="86">
        <f>100*60</f>
        <v>6000</v>
      </c>
      <c r="Y203" s="15"/>
      <c r="Z203" s="15"/>
      <c r="AA203" s="85">
        <v>0.75</v>
      </c>
      <c r="AE203" t="s">
        <v>114</v>
      </c>
      <c r="AI203" t="s">
        <v>267</v>
      </c>
      <c r="AJ203" t="s">
        <v>263</v>
      </c>
      <c r="AK203" t="s">
        <v>261</v>
      </c>
      <c r="AL203">
        <v>48</v>
      </c>
      <c r="AM203" s="59">
        <v>0.59027777777777779</v>
      </c>
      <c r="BH203" s="20" t="s">
        <v>262</v>
      </c>
      <c r="BI203" s="20">
        <v>2004</v>
      </c>
      <c r="BT203" t="s">
        <v>51</v>
      </c>
      <c r="BW203" s="22" t="s">
        <v>260</v>
      </c>
      <c r="BX203" s="22" t="s">
        <v>259</v>
      </c>
      <c r="BY203" t="s">
        <v>287</v>
      </c>
      <c r="BZ203" s="16" t="s">
        <v>50</v>
      </c>
      <c r="CA203">
        <v>3</v>
      </c>
      <c r="CC203">
        <v>1393</v>
      </c>
    </row>
    <row r="204" spans="1:81" x14ac:dyDescent="0.2">
      <c r="A204" s="20" t="s">
        <v>73</v>
      </c>
      <c r="B204" s="21" t="s">
        <v>258</v>
      </c>
      <c r="C204" s="20" t="s">
        <v>21</v>
      </c>
      <c r="I204" t="s">
        <v>264</v>
      </c>
      <c r="V204" s="84">
        <v>22</v>
      </c>
      <c r="W204" s="15"/>
      <c r="X204" s="86">
        <f>140*60</f>
        <v>8400</v>
      </c>
      <c r="Y204" s="15"/>
      <c r="Z204" s="15"/>
      <c r="AA204" s="85">
        <v>1.5</v>
      </c>
      <c r="AE204" t="s">
        <v>114</v>
      </c>
      <c r="AI204" t="s">
        <v>268</v>
      </c>
      <c r="AJ204" t="s">
        <v>263</v>
      </c>
      <c r="AK204" t="s">
        <v>261</v>
      </c>
      <c r="AL204">
        <v>48</v>
      </c>
      <c r="AM204" s="59">
        <v>0.59027777777777779</v>
      </c>
      <c r="BH204" s="20" t="s">
        <v>262</v>
      </c>
      <c r="BI204" s="20">
        <v>2004</v>
      </c>
      <c r="BT204" t="s">
        <v>51</v>
      </c>
      <c r="BW204" s="22" t="s">
        <v>260</v>
      </c>
      <c r="BX204" s="22" t="s">
        <v>259</v>
      </c>
      <c r="BY204" t="s">
        <v>287</v>
      </c>
      <c r="BZ204" s="16" t="s">
        <v>50</v>
      </c>
      <c r="CA204">
        <v>3</v>
      </c>
      <c r="CC204">
        <v>1393</v>
      </c>
    </row>
    <row r="205" spans="1:81" x14ac:dyDescent="0.2">
      <c r="A205" s="20" t="s">
        <v>73</v>
      </c>
      <c r="B205" s="21" t="s">
        <v>258</v>
      </c>
      <c r="C205" s="20" t="s">
        <v>21</v>
      </c>
      <c r="I205" t="s">
        <v>264</v>
      </c>
      <c r="V205" s="84">
        <v>20</v>
      </c>
      <c r="W205" s="15"/>
      <c r="X205" s="86">
        <f>105*60</f>
        <v>6300</v>
      </c>
      <c r="Y205" s="15"/>
      <c r="Z205" s="15"/>
      <c r="AA205" s="85">
        <v>1</v>
      </c>
      <c r="AE205" t="s">
        <v>114</v>
      </c>
      <c r="AI205" t="s">
        <v>269</v>
      </c>
      <c r="AJ205" t="s">
        <v>263</v>
      </c>
      <c r="AK205" t="s">
        <v>261</v>
      </c>
      <c r="AL205">
        <v>48</v>
      </c>
      <c r="AM205" s="59">
        <v>0.59027777777777779</v>
      </c>
      <c r="BH205" s="20" t="s">
        <v>262</v>
      </c>
      <c r="BI205" s="20">
        <v>2004</v>
      </c>
      <c r="BT205" t="s">
        <v>51</v>
      </c>
      <c r="BW205" s="22" t="s">
        <v>260</v>
      </c>
      <c r="BX205" s="22" t="s">
        <v>259</v>
      </c>
      <c r="BY205" t="s">
        <v>287</v>
      </c>
      <c r="BZ205" s="16" t="s">
        <v>50</v>
      </c>
      <c r="CA205">
        <v>3</v>
      </c>
      <c r="CC205">
        <v>1393</v>
      </c>
    </row>
    <row r="206" spans="1:81" x14ac:dyDescent="0.2">
      <c r="A206" s="20" t="s">
        <v>255</v>
      </c>
      <c r="B206" s="21" t="s">
        <v>258</v>
      </c>
      <c r="C206" s="20" t="s">
        <v>21</v>
      </c>
      <c r="D206" s="20" t="s">
        <v>256</v>
      </c>
      <c r="AE206" t="s">
        <v>114</v>
      </c>
      <c r="AF206">
        <v>15.6</v>
      </c>
      <c r="AG206">
        <v>0.6</v>
      </c>
      <c r="AH206" t="s">
        <v>39</v>
      </c>
      <c r="BH206" s="20" t="s">
        <v>262</v>
      </c>
      <c r="BI206" s="20">
        <v>2004</v>
      </c>
      <c r="BT206" t="s">
        <v>51</v>
      </c>
      <c r="BW206" s="22" t="s">
        <v>260</v>
      </c>
      <c r="BX206" s="22" t="s">
        <v>259</v>
      </c>
      <c r="BY206" t="s">
        <v>287</v>
      </c>
      <c r="BZ206" s="16" t="s">
        <v>50</v>
      </c>
    </row>
    <row r="207" spans="1:81" x14ac:dyDescent="0.2">
      <c r="A207" s="20" t="s">
        <v>265</v>
      </c>
      <c r="B207" s="21" t="s">
        <v>258</v>
      </c>
      <c r="C207" s="20" t="s">
        <v>21</v>
      </c>
      <c r="D207" s="20" t="s">
        <v>257</v>
      </c>
      <c r="AE207" t="s">
        <v>114</v>
      </c>
      <c r="AF207">
        <v>11.5</v>
      </c>
      <c r="AG207">
        <v>0.5</v>
      </c>
      <c r="AH207" t="s">
        <v>39</v>
      </c>
      <c r="BH207" s="20" t="s">
        <v>262</v>
      </c>
      <c r="BI207" s="20">
        <v>2004</v>
      </c>
      <c r="BT207" t="s">
        <v>51</v>
      </c>
      <c r="BW207" s="22" t="s">
        <v>260</v>
      </c>
      <c r="BX207" s="22" t="s">
        <v>259</v>
      </c>
      <c r="BY207" t="s">
        <v>287</v>
      </c>
      <c r="BZ207" s="16" t="s">
        <v>50</v>
      </c>
    </row>
    <row r="208" spans="1:81" x14ac:dyDescent="0.2">
      <c r="A208" s="20" t="s">
        <v>255</v>
      </c>
      <c r="B208" s="21" t="s">
        <v>258</v>
      </c>
      <c r="C208" s="20" t="s">
        <v>21</v>
      </c>
      <c r="D208" s="20" t="s">
        <v>256</v>
      </c>
      <c r="E208">
        <v>300</v>
      </c>
      <c r="AE208" t="s">
        <v>280</v>
      </c>
      <c r="BH208" s="20" t="s">
        <v>262</v>
      </c>
      <c r="BI208" s="20">
        <v>2004</v>
      </c>
      <c r="BT208" t="s">
        <v>51</v>
      </c>
      <c r="BW208" s="22" t="s">
        <v>260</v>
      </c>
      <c r="BX208" s="22" t="s">
        <v>259</v>
      </c>
      <c r="BY208" t="s">
        <v>287</v>
      </c>
      <c r="BZ208" s="16" t="s">
        <v>50</v>
      </c>
    </row>
    <row r="209" spans="1:81" x14ac:dyDescent="0.2">
      <c r="A209" s="20" t="s">
        <v>265</v>
      </c>
      <c r="B209" s="21" t="s">
        <v>258</v>
      </c>
      <c r="C209" s="20" t="s">
        <v>21</v>
      </c>
      <c r="D209" s="20" t="s">
        <v>256</v>
      </c>
      <c r="E209">
        <v>355</v>
      </c>
      <c r="AE209" t="s">
        <v>280</v>
      </c>
      <c r="BH209" s="20" t="s">
        <v>262</v>
      </c>
      <c r="BI209" s="20">
        <v>2004</v>
      </c>
      <c r="BT209" t="s">
        <v>51</v>
      </c>
      <c r="BW209" s="22" t="s">
        <v>260</v>
      </c>
      <c r="BX209" s="22" t="s">
        <v>259</v>
      </c>
      <c r="BY209" t="s">
        <v>287</v>
      </c>
      <c r="BZ209" s="16" t="s">
        <v>50</v>
      </c>
    </row>
    <row r="210" spans="1:81" x14ac:dyDescent="0.2">
      <c r="A210" s="20" t="s">
        <v>255</v>
      </c>
      <c r="B210" s="21" t="s">
        <v>258</v>
      </c>
      <c r="C210" s="20" t="s">
        <v>21</v>
      </c>
      <c r="D210" s="20" t="s">
        <v>256</v>
      </c>
      <c r="E210">
        <v>13</v>
      </c>
      <c r="F210">
        <v>7</v>
      </c>
      <c r="H210">
        <v>54</v>
      </c>
      <c r="AE210" t="s">
        <v>280</v>
      </c>
      <c r="AH210" t="s">
        <v>39</v>
      </c>
      <c r="AI210" t="s">
        <v>266</v>
      </c>
      <c r="BH210" s="20" t="s">
        <v>262</v>
      </c>
      <c r="BI210" s="20">
        <v>2004</v>
      </c>
      <c r="BT210" t="s">
        <v>51</v>
      </c>
      <c r="BW210" s="22" t="s">
        <v>260</v>
      </c>
      <c r="BX210" s="22" t="s">
        <v>259</v>
      </c>
      <c r="BY210" t="s">
        <v>287</v>
      </c>
      <c r="BZ210" s="16" t="s">
        <v>50</v>
      </c>
      <c r="CB210">
        <v>1</v>
      </c>
      <c r="CC210">
        <v>1395</v>
      </c>
    </row>
    <row r="211" spans="1:81" x14ac:dyDescent="0.2">
      <c r="A211" s="20" t="s">
        <v>255</v>
      </c>
      <c r="B211" s="21" t="s">
        <v>258</v>
      </c>
      <c r="C211" s="20" t="s">
        <v>21</v>
      </c>
      <c r="D211" s="20" t="s">
        <v>256</v>
      </c>
      <c r="E211">
        <v>22</v>
      </c>
      <c r="F211">
        <v>15</v>
      </c>
      <c r="H211">
        <v>68</v>
      </c>
      <c r="AE211" t="s">
        <v>280</v>
      </c>
      <c r="AH211" t="s">
        <v>39</v>
      </c>
      <c r="AI211" t="s">
        <v>267</v>
      </c>
      <c r="BH211" s="20" t="s">
        <v>262</v>
      </c>
      <c r="BI211" s="20">
        <v>2004</v>
      </c>
      <c r="BT211" t="s">
        <v>51</v>
      </c>
      <c r="BW211" s="22" t="s">
        <v>260</v>
      </c>
      <c r="BX211" s="22" t="s">
        <v>259</v>
      </c>
      <c r="BY211" t="s">
        <v>287</v>
      </c>
      <c r="BZ211" s="16" t="s">
        <v>50</v>
      </c>
      <c r="CB211">
        <v>1</v>
      </c>
      <c r="CC211">
        <v>1395</v>
      </c>
    </row>
    <row r="212" spans="1:81" x14ac:dyDescent="0.2">
      <c r="A212" s="20" t="s">
        <v>255</v>
      </c>
      <c r="B212" s="21" t="s">
        <v>258</v>
      </c>
      <c r="C212" s="20" t="s">
        <v>21</v>
      </c>
      <c r="D212" s="20" t="s">
        <v>256</v>
      </c>
      <c r="E212" s="40">
        <v>92</v>
      </c>
      <c r="F212">
        <v>51</v>
      </c>
      <c r="H212">
        <v>55</v>
      </c>
      <c r="AE212" t="s">
        <v>280</v>
      </c>
      <c r="AH212" t="s">
        <v>39</v>
      </c>
      <c r="AI212" t="s">
        <v>268</v>
      </c>
      <c r="BH212" s="20" t="s">
        <v>262</v>
      </c>
      <c r="BI212" s="20">
        <v>2004</v>
      </c>
      <c r="BT212" t="s">
        <v>51</v>
      </c>
      <c r="BW212" s="22" t="s">
        <v>260</v>
      </c>
      <c r="BX212" s="22" t="s">
        <v>259</v>
      </c>
      <c r="BY212" t="s">
        <v>287</v>
      </c>
      <c r="BZ212" s="16" t="s">
        <v>50</v>
      </c>
      <c r="CB212">
        <v>1</v>
      </c>
      <c r="CC212">
        <v>1395</v>
      </c>
    </row>
    <row r="213" spans="1:81" x14ac:dyDescent="0.2">
      <c r="A213" s="20" t="s">
        <v>255</v>
      </c>
      <c r="B213" s="21" t="s">
        <v>258</v>
      </c>
      <c r="C213" s="20" t="s">
        <v>21</v>
      </c>
      <c r="D213" s="20" t="s">
        <v>256</v>
      </c>
      <c r="E213" s="83">
        <v>13</v>
      </c>
      <c r="F213">
        <v>10</v>
      </c>
      <c r="H213">
        <v>77</v>
      </c>
      <c r="AE213" t="s">
        <v>280</v>
      </c>
      <c r="AH213" t="s">
        <v>39</v>
      </c>
      <c r="AI213" t="s">
        <v>269</v>
      </c>
      <c r="BH213" s="20" t="s">
        <v>262</v>
      </c>
      <c r="BI213" s="20">
        <v>2004</v>
      </c>
      <c r="BT213" t="s">
        <v>51</v>
      </c>
      <c r="BW213" s="22" t="s">
        <v>260</v>
      </c>
      <c r="BX213" s="22" t="s">
        <v>259</v>
      </c>
      <c r="BY213" t="s">
        <v>287</v>
      </c>
      <c r="BZ213" s="16" t="s">
        <v>50</v>
      </c>
      <c r="CB213">
        <v>1</v>
      </c>
      <c r="CC213">
        <v>1395</v>
      </c>
    </row>
    <row r="214" spans="1:81" x14ac:dyDescent="0.2">
      <c r="A214" s="20" t="s">
        <v>255</v>
      </c>
      <c r="B214" s="21" t="s">
        <v>258</v>
      </c>
      <c r="C214" s="20" t="s">
        <v>21</v>
      </c>
      <c r="D214" s="20" t="s">
        <v>256</v>
      </c>
      <c r="E214">
        <v>16</v>
      </c>
      <c r="F214">
        <v>10</v>
      </c>
      <c r="H214">
        <v>62</v>
      </c>
      <c r="AE214" t="s">
        <v>280</v>
      </c>
      <c r="AH214" t="s">
        <v>40</v>
      </c>
      <c r="AI214" t="s">
        <v>266</v>
      </c>
      <c r="BH214" s="20" t="s">
        <v>262</v>
      </c>
      <c r="BI214" s="20">
        <v>2004</v>
      </c>
      <c r="BT214" t="s">
        <v>51</v>
      </c>
      <c r="BW214" s="22" t="s">
        <v>260</v>
      </c>
      <c r="BX214" s="22" t="s">
        <v>259</v>
      </c>
      <c r="BY214" t="s">
        <v>287</v>
      </c>
      <c r="BZ214" s="16" t="s">
        <v>50</v>
      </c>
      <c r="CB214">
        <v>1</v>
      </c>
      <c r="CC214">
        <v>1395</v>
      </c>
    </row>
    <row r="215" spans="1:81" x14ac:dyDescent="0.2">
      <c r="A215" s="20" t="s">
        <v>255</v>
      </c>
      <c r="B215" s="21" t="s">
        <v>258</v>
      </c>
      <c r="C215" s="20" t="s">
        <v>21</v>
      </c>
      <c r="D215" s="20" t="s">
        <v>256</v>
      </c>
      <c r="E215">
        <v>30</v>
      </c>
      <c r="F215">
        <v>19</v>
      </c>
      <c r="H215">
        <v>63</v>
      </c>
      <c r="AE215" t="s">
        <v>280</v>
      </c>
      <c r="AH215" t="s">
        <v>40</v>
      </c>
      <c r="AI215" t="s">
        <v>267</v>
      </c>
      <c r="BH215" s="20" t="s">
        <v>262</v>
      </c>
      <c r="BI215" s="20">
        <v>2004</v>
      </c>
      <c r="BT215" t="s">
        <v>51</v>
      </c>
      <c r="BW215" s="22" t="s">
        <v>260</v>
      </c>
      <c r="BX215" s="22" t="s">
        <v>259</v>
      </c>
      <c r="BY215" t="s">
        <v>287</v>
      </c>
      <c r="BZ215" s="16" t="s">
        <v>50</v>
      </c>
      <c r="CB215">
        <v>1</v>
      </c>
      <c r="CC215">
        <v>1395</v>
      </c>
    </row>
    <row r="216" spans="1:81" x14ac:dyDescent="0.2">
      <c r="A216" s="20" t="s">
        <v>255</v>
      </c>
      <c r="B216" s="21" t="s">
        <v>258</v>
      </c>
      <c r="C216" s="20" t="s">
        <v>21</v>
      </c>
      <c r="D216" s="20" t="s">
        <v>256</v>
      </c>
      <c r="E216">
        <v>85</v>
      </c>
      <c r="F216">
        <v>62</v>
      </c>
      <c r="H216">
        <v>73</v>
      </c>
      <c r="AE216" t="s">
        <v>280</v>
      </c>
      <c r="AH216" t="s">
        <v>40</v>
      </c>
      <c r="AI216" t="s">
        <v>268</v>
      </c>
      <c r="BH216" s="20" t="s">
        <v>262</v>
      </c>
      <c r="BI216" s="20">
        <v>2004</v>
      </c>
      <c r="BT216" t="s">
        <v>51</v>
      </c>
      <c r="BW216" s="22" t="s">
        <v>260</v>
      </c>
      <c r="BX216" s="22" t="s">
        <v>259</v>
      </c>
      <c r="BY216" t="s">
        <v>287</v>
      </c>
      <c r="BZ216" s="16" t="s">
        <v>50</v>
      </c>
      <c r="CB216">
        <v>1</v>
      </c>
      <c r="CC216">
        <v>1395</v>
      </c>
    </row>
    <row r="217" spans="1:81" x14ac:dyDescent="0.2">
      <c r="A217" s="20" t="s">
        <v>255</v>
      </c>
      <c r="B217" s="21" t="s">
        <v>258</v>
      </c>
      <c r="C217" s="20" t="s">
        <v>21</v>
      </c>
      <c r="D217" s="20" t="s">
        <v>256</v>
      </c>
      <c r="E217">
        <v>29</v>
      </c>
      <c r="F217">
        <v>22</v>
      </c>
      <c r="H217">
        <v>76</v>
      </c>
      <c r="AE217" t="s">
        <v>280</v>
      </c>
      <c r="AH217" t="s">
        <v>40</v>
      </c>
      <c r="AI217" t="s">
        <v>269</v>
      </c>
      <c r="BH217" s="20" t="s">
        <v>262</v>
      </c>
      <c r="BI217" s="20">
        <v>2004</v>
      </c>
      <c r="BT217" t="s">
        <v>51</v>
      </c>
      <c r="BW217" s="22" t="s">
        <v>260</v>
      </c>
      <c r="BX217" s="22" t="s">
        <v>259</v>
      </c>
      <c r="BY217" t="s">
        <v>287</v>
      </c>
      <c r="BZ217" s="16" t="s">
        <v>50</v>
      </c>
      <c r="CB217">
        <v>1</v>
      </c>
      <c r="CC217">
        <v>1395</v>
      </c>
    </row>
    <row r="218" spans="1:81" x14ac:dyDescent="0.2">
      <c r="A218" s="20" t="s">
        <v>265</v>
      </c>
      <c r="B218" s="21" t="s">
        <v>258</v>
      </c>
      <c r="C218" s="20" t="s">
        <v>21</v>
      </c>
      <c r="D218" s="20" t="s">
        <v>257</v>
      </c>
      <c r="E218">
        <v>20</v>
      </c>
      <c r="F218">
        <f>ROUND(E218*H218/100,0)</f>
        <v>13</v>
      </c>
      <c r="H218">
        <v>65</v>
      </c>
      <c r="AE218" t="s">
        <v>280</v>
      </c>
      <c r="AH218" t="s">
        <v>39</v>
      </c>
      <c r="AI218" t="s">
        <v>266</v>
      </c>
      <c r="BH218" s="20" t="s">
        <v>262</v>
      </c>
      <c r="BI218" s="20">
        <v>2004</v>
      </c>
      <c r="BT218" t="s">
        <v>51</v>
      </c>
      <c r="BW218" s="22" t="s">
        <v>260</v>
      </c>
      <c r="BX218" s="22" t="s">
        <v>259</v>
      </c>
      <c r="BY218" t="s">
        <v>287</v>
      </c>
      <c r="BZ218" s="16" t="s">
        <v>50</v>
      </c>
      <c r="CB218">
        <v>1</v>
      </c>
      <c r="CC218">
        <v>1395</v>
      </c>
    </row>
    <row r="219" spans="1:81" x14ac:dyDescent="0.2">
      <c r="A219" s="20" t="s">
        <v>265</v>
      </c>
      <c r="B219" s="21" t="s">
        <v>258</v>
      </c>
      <c r="C219" s="20" t="s">
        <v>21</v>
      </c>
      <c r="D219" s="20" t="s">
        <v>257</v>
      </c>
      <c r="E219">
        <v>99</v>
      </c>
      <c r="F219">
        <f t="shared" ref="F219:F225" si="0">ROUND(E219*H219/100,0)</f>
        <v>67</v>
      </c>
      <c r="H219">
        <v>68</v>
      </c>
      <c r="AE219" t="s">
        <v>280</v>
      </c>
      <c r="AH219" t="s">
        <v>39</v>
      </c>
      <c r="AI219" t="s">
        <v>267</v>
      </c>
      <c r="BH219" s="20" t="s">
        <v>262</v>
      </c>
      <c r="BI219" s="20">
        <v>2004</v>
      </c>
      <c r="BT219" t="s">
        <v>51</v>
      </c>
      <c r="BW219" s="22" t="s">
        <v>260</v>
      </c>
      <c r="BX219" s="22" t="s">
        <v>259</v>
      </c>
      <c r="BY219" t="s">
        <v>287</v>
      </c>
      <c r="BZ219" s="16" t="s">
        <v>50</v>
      </c>
      <c r="CB219">
        <v>1</v>
      </c>
      <c r="CC219">
        <v>1395</v>
      </c>
    </row>
    <row r="220" spans="1:81" x14ac:dyDescent="0.2">
      <c r="A220" s="20" t="s">
        <v>265</v>
      </c>
      <c r="B220" s="21" t="s">
        <v>258</v>
      </c>
      <c r="C220" s="20" t="s">
        <v>21</v>
      </c>
      <c r="D220" s="20" t="s">
        <v>257</v>
      </c>
      <c r="E220">
        <v>44</v>
      </c>
      <c r="F220">
        <f t="shared" si="0"/>
        <v>31</v>
      </c>
      <c r="H220">
        <v>70</v>
      </c>
      <c r="AE220" t="s">
        <v>280</v>
      </c>
      <c r="AH220" t="s">
        <v>39</v>
      </c>
      <c r="AI220" t="s">
        <v>268</v>
      </c>
      <c r="BH220" s="20" t="s">
        <v>262</v>
      </c>
      <c r="BI220" s="20">
        <v>2004</v>
      </c>
      <c r="BT220" t="s">
        <v>51</v>
      </c>
      <c r="BW220" s="22" t="s">
        <v>260</v>
      </c>
      <c r="BX220" s="22" t="s">
        <v>259</v>
      </c>
      <c r="BY220" t="s">
        <v>287</v>
      </c>
      <c r="BZ220" s="16" t="s">
        <v>50</v>
      </c>
      <c r="CB220">
        <v>1</v>
      </c>
      <c r="CC220">
        <v>1395</v>
      </c>
    </row>
    <row r="221" spans="1:81" x14ac:dyDescent="0.2">
      <c r="A221" s="20" t="s">
        <v>265</v>
      </c>
      <c r="B221" s="21" t="s">
        <v>258</v>
      </c>
      <c r="C221" s="20" t="s">
        <v>21</v>
      </c>
      <c r="D221" s="20" t="s">
        <v>257</v>
      </c>
      <c r="E221">
        <v>13</v>
      </c>
      <c r="F221">
        <f t="shared" si="0"/>
        <v>7</v>
      </c>
      <c r="H221">
        <v>54</v>
      </c>
      <c r="AE221" t="s">
        <v>280</v>
      </c>
      <c r="AH221" t="s">
        <v>39</v>
      </c>
      <c r="AI221" t="s">
        <v>269</v>
      </c>
      <c r="BH221" s="20" t="s">
        <v>262</v>
      </c>
      <c r="BI221" s="20">
        <v>2004</v>
      </c>
      <c r="BT221" t="s">
        <v>51</v>
      </c>
      <c r="BW221" s="22" t="s">
        <v>260</v>
      </c>
      <c r="BX221" s="22" t="s">
        <v>259</v>
      </c>
      <c r="BY221" t="s">
        <v>287</v>
      </c>
      <c r="BZ221" s="16" t="s">
        <v>50</v>
      </c>
      <c r="CB221">
        <v>1</v>
      </c>
      <c r="CC221">
        <v>1395</v>
      </c>
    </row>
    <row r="222" spans="1:81" x14ac:dyDescent="0.2">
      <c r="A222" s="20" t="s">
        <v>265</v>
      </c>
      <c r="B222" s="21" t="s">
        <v>258</v>
      </c>
      <c r="C222" s="20" t="s">
        <v>21</v>
      </c>
      <c r="D222" s="20" t="s">
        <v>257</v>
      </c>
      <c r="E222">
        <v>14</v>
      </c>
      <c r="F222">
        <f t="shared" si="0"/>
        <v>9</v>
      </c>
      <c r="H222">
        <v>64</v>
      </c>
      <c r="AE222" t="s">
        <v>280</v>
      </c>
      <c r="AH222" t="s">
        <v>40</v>
      </c>
      <c r="AI222" t="s">
        <v>266</v>
      </c>
      <c r="BH222" s="20" t="s">
        <v>262</v>
      </c>
      <c r="BI222" s="20">
        <v>2004</v>
      </c>
      <c r="BT222" t="s">
        <v>51</v>
      </c>
      <c r="BW222" s="22" t="s">
        <v>260</v>
      </c>
      <c r="BX222" s="22" t="s">
        <v>259</v>
      </c>
      <c r="BY222" t="s">
        <v>287</v>
      </c>
      <c r="BZ222" s="16" t="s">
        <v>50</v>
      </c>
      <c r="CB222">
        <v>1</v>
      </c>
      <c r="CC222">
        <v>1395</v>
      </c>
    </row>
    <row r="223" spans="1:81" x14ac:dyDescent="0.2">
      <c r="A223" s="20" t="s">
        <v>265</v>
      </c>
      <c r="B223" s="21" t="s">
        <v>258</v>
      </c>
      <c r="C223" s="20" t="s">
        <v>21</v>
      </c>
      <c r="D223" s="20" t="s">
        <v>257</v>
      </c>
      <c r="E223">
        <v>112</v>
      </c>
      <c r="F223">
        <f t="shared" si="0"/>
        <v>84</v>
      </c>
      <c r="H223">
        <v>75</v>
      </c>
      <c r="AE223" t="s">
        <v>280</v>
      </c>
      <c r="AH223" t="s">
        <v>40</v>
      </c>
      <c r="AI223" t="s">
        <v>267</v>
      </c>
      <c r="BH223" s="20" t="s">
        <v>262</v>
      </c>
      <c r="BI223" s="20">
        <v>2004</v>
      </c>
      <c r="BT223" t="s">
        <v>51</v>
      </c>
      <c r="BW223" s="22" t="s">
        <v>260</v>
      </c>
      <c r="BX223" s="22" t="s">
        <v>259</v>
      </c>
      <c r="BY223" t="s">
        <v>287</v>
      </c>
      <c r="BZ223" s="16" t="s">
        <v>50</v>
      </c>
      <c r="CB223">
        <v>1</v>
      </c>
      <c r="CC223">
        <v>1395</v>
      </c>
    </row>
    <row r="224" spans="1:81" x14ac:dyDescent="0.2">
      <c r="A224" s="20" t="s">
        <v>265</v>
      </c>
      <c r="B224" s="21" t="s">
        <v>258</v>
      </c>
      <c r="C224" s="20" t="s">
        <v>21</v>
      </c>
      <c r="D224" s="20" t="s">
        <v>257</v>
      </c>
      <c r="E224">
        <v>39</v>
      </c>
      <c r="F224">
        <f t="shared" si="0"/>
        <v>25</v>
      </c>
      <c r="H224">
        <v>64</v>
      </c>
      <c r="AE224" t="s">
        <v>280</v>
      </c>
      <c r="AH224" t="s">
        <v>40</v>
      </c>
      <c r="AI224" t="s">
        <v>268</v>
      </c>
      <c r="BH224" s="20" t="s">
        <v>262</v>
      </c>
      <c r="BI224" s="20">
        <v>2004</v>
      </c>
      <c r="BT224" t="s">
        <v>51</v>
      </c>
      <c r="BW224" s="22" t="s">
        <v>260</v>
      </c>
      <c r="BX224" s="22" t="s">
        <v>259</v>
      </c>
      <c r="BY224" t="s">
        <v>287</v>
      </c>
      <c r="BZ224" s="16" t="s">
        <v>50</v>
      </c>
      <c r="CB224">
        <v>1</v>
      </c>
      <c r="CC224">
        <v>1395</v>
      </c>
    </row>
    <row r="225" spans="1:81" s="48" customFormat="1" x14ac:dyDescent="0.2">
      <c r="A225" s="44" t="s">
        <v>265</v>
      </c>
      <c r="B225" s="45" t="s">
        <v>258</v>
      </c>
      <c r="C225" s="44" t="s">
        <v>21</v>
      </c>
      <c r="D225" s="44" t="s">
        <v>257</v>
      </c>
      <c r="E225" s="48">
        <v>14</v>
      </c>
      <c r="F225" s="48">
        <f t="shared" si="0"/>
        <v>11</v>
      </c>
      <c r="H225" s="48">
        <v>79</v>
      </c>
      <c r="AE225" s="48" t="s">
        <v>280</v>
      </c>
      <c r="AH225" s="48" t="s">
        <v>40</v>
      </c>
      <c r="AI225" s="48" t="s">
        <v>269</v>
      </c>
      <c r="BH225" s="44" t="s">
        <v>262</v>
      </c>
      <c r="BI225" s="44">
        <v>2004</v>
      </c>
      <c r="BT225" s="48" t="s">
        <v>51</v>
      </c>
      <c r="BW225" s="47" t="s">
        <v>260</v>
      </c>
      <c r="BX225" s="47" t="s">
        <v>259</v>
      </c>
      <c r="BY225" s="48" t="s">
        <v>287</v>
      </c>
      <c r="BZ225" s="48" t="s">
        <v>50</v>
      </c>
      <c r="CB225" s="48">
        <v>1</v>
      </c>
      <c r="CC225" s="48">
        <v>1395</v>
      </c>
    </row>
    <row r="226" spans="1:81" x14ac:dyDescent="0.2">
      <c r="A226" s="20" t="s">
        <v>281</v>
      </c>
      <c r="B226" s="21" t="s">
        <v>186</v>
      </c>
      <c r="C226" s="20" t="s">
        <v>126</v>
      </c>
      <c r="D226" s="20" t="s">
        <v>282</v>
      </c>
      <c r="J226">
        <f>4.8*1000/(60*60)</f>
        <v>1.3333333333333333</v>
      </c>
      <c r="K226">
        <f>0.2*1000/(60*60)</f>
        <v>5.5555555555555552E-2</v>
      </c>
      <c r="P226">
        <f>46.5*1000</f>
        <v>46500</v>
      </c>
      <c r="Q226">
        <f>2.5*1000</f>
        <v>2500</v>
      </c>
      <c r="X226">
        <f>9.3*60*60</f>
        <v>33480</v>
      </c>
      <c r="Y226">
        <f>0.3*60*60</f>
        <v>1080</v>
      </c>
      <c r="AE226" s="15" t="s">
        <v>114</v>
      </c>
      <c r="AI226" s="15" t="s">
        <v>286</v>
      </c>
      <c r="AJ226" t="s">
        <v>142</v>
      </c>
      <c r="AK226">
        <v>24</v>
      </c>
      <c r="AL226">
        <v>75</v>
      </c>
      <c r="AN226" t="s">
        <v>109</v>
      </c>
      <c r="AX226">
        <v>44</v>
      </c>
      <c r="AY226">
        <v>0.5</v>
      </c>
      <c r="BH226" s="20" t="s">
        <v>283</v>
      </c>
      <c r="BI226" s="20">
        <v>2020</v>
      </c>
      <c r="BL226" t="s">
        <v>289</v>
      </c>
      <c r="BM226" t="s">
        <v>288</v>
      </c>
      <c r="BO226" t="s">
        <v>290</v>
      </c>
      <c r="BT226" s="15" t="s">
        <v>24</v>
      </c>
      <c r="BU226">
        <v>1</v>
      </c>
      <c r="BY226" s="15" t="s">
        <v>291</v>
      </c>
      <c r="BZ226" s="15" t="s">
        <v>50</v>
      </c>
      <c r="CC226" s="15">
        <v>1</v>
      </c>
    </row>
    <row r="227" spans="1:81" x14ac:dyDescent="0.2">
      <c r="A227" s="20" t="s">
        <v>281</v>
      </c>
      <c r="B227" s="21" t="s">
        <v>186</v>
      </c>
      <c r="C227" s="20" t="s">
        <v>126</v>
      </c>
      <c r="D227" s="20" t="s">
        <v>282</v>
      </c>
      <c r="L227" s="66">
        <f>3.7*1000/(60*60)</f>
        <v>1.0277777777777777</v>
      </c>
      <c r="P227" s="66">
        <f>31*1000</f>
        <v>31000</v>
      </c>
      <c r="R227" s="66">
        <f>16*1000</f>
        <v>16000</v>
      </c>
      <c r="T227" s="66">
        <f>2.4*60*60</f>
        <v>8640</v>
      </c>
      <c r="X227" s="66">
        <f>8.3*60*60</f>
        <v>29880.000000000004</v>
      </c>
      <c r="AA227" s="66">
        <v>20</v>
      </c>
      <c r="AE227" s="15" t="s">
        <v>114</v>
      </c>
      <c r="AH227" s="20" t="s">
        <v>39</v>
      </c>
      <c r="AI227" s="21" t="s">
        <v>294</v>
      </c>
      <c r="AJ227" t="s">
        <v>142</v>
      </c>
      <c r="AK227">
        <v>24</v>
      </c>
      <c r="AL227">
        <v>75</v>
      </c>
      <c r="AN227" t="s">
        <v>109</v>
      </c>
      <c r="AX227" s="66">
        <v>35</v>
      </c>
      <c r="BH227" s="20" t="s">
        <v>283</v>
      </c>
      <c r="BI227" s="20">
        <v>2020</v>
      </c>
      <c r="BL227" t="s">
        <v>289</v>
      </c>
      <c r="BM227" t="s">
        <v>288</v>
      </c>
      <c r="BO227" t="s">
        <v>290</v>
      </c>
      <c r="BT227" s="15" t="s">
        <v>24</v>
      </c>
      <c r="BU227">
        <v>1</v>
      </c>
      <c r="BY227" s="15" t="s">
        <v>291</v>
      </c>
      <c r="BZ227" s="15" t="s">
        <v>50</v>
      </c>
      <c r="CA227">
        <v>1</v>
      </c>
      <c r="CC227" s="15">
        <v>3</v>
      </c>
    </row>
    <row r="228" spans="1:81" x14ac:dyDescent="0.2">
      <c r="A228" s="20" t="s">
        <v>281</v>
      </c>
      <c r="B228" s="21" t="s">
        <v>186</v>
      </c>
      <c r="C228" s="20" t="s">
        <v>126</v>
      </c>
      <c r="D228" s="20" t="s">
        <v>282</v>
      </c>
      <c r="L228" s="66">
        <f>4*1000/(60*60)</f>
        <v>1.1111111111111112</v>
      </c>
      <c r="P228" s="66">
        <f>25*1000</f>
        <v>25000</v>
      </c>
      <c r="R228" s="66">
        <f>14*1000</f>
        <v>14000</v>
      </c>
      <c r="T228" s="66">
        <f>3.2*60*60</f>
        <v>11520</v>
      </c>
      <c r="X228" s="66">
        <f>6.5*60*60</f>
        <v>23400</v>
      </c>
      <c r="AA228" s="66">
        <v>20</v>
      </c>
      <c r="AE228" s="15" t="s">
        <v>114</v>
      </c>
      <c r="AH228" t="s">
        <v>40</v>
      </c>
      <c r="AI228" s="15" t="s">
        <v>294</v>
      </c>
      <c r="AJ228" t="s">
        <v>142</v>
      </c>
      <c r="AK228">
        <v>24</v>
      </c>
      <c r="AL228">
        <v>75</v>
      </c>
      <c r="AN228" t="s">
        <v>109</v>
      </c>
      <c r="AX228" s="66">
        <v>35</v>
      </c>
      <c r="BH228" s="20" t="s">
        <v>283</v>
      </c>
      <c r="BI228" s="20">
        <v>2020</v>
      </c>
      <c r="BL228" t="s">
        <v>289</v>
      </c>
      <c r="BM228" t="s">
        <v>288</v>
      </c>
      <c r="BO228" t="s">
        <v>290</v>
      </c>
      <c r="BT228" s="15" t="s">
        <v>24</v>
      </c>
      <c r="BU228">
        <v>1</v>
      </c>
      <c r="BY228" s="15" t="s">
        <v>291</v>
      </c>
      <c r="BZ228" s="15" t="s">
        <v>50</v>
      </c>
      <c r="CA228">
        <v>1</v>
      </c>
      <c r="CC228" s="15">
        <v>3</v>
      </c>
    </row>
    <row r="229" spans="1:81" x14ac:dyDescent="0.2">
      <c r="A229" s="20" t="s">
        <v>281</v>
      </c>
      <c r="B229" s="21" t="s">
        <v>186</v>
      </c>
      <c r="C229" s="20" t="s">
        <v>126</v>
      </c>
      <c r="D229" s="20" t="s">
        <v>282</v>
      </c>
      <c r="L229" s="66">
        <f>4.9*1000/(60*60)</f>
        <v>1.3611111111111112</v>
      </c>
      <c r="P229" s="66">
        <f>46.5*1000</f>
        <v>46500</v>
      </c>
      <c r="Q229">
        <f>2.5*1000</f>
        <v>2500</v>
      </c>
      <c r="R229" s="66">
        <f>24*1000</f>
        <v>24000</v>
      </c>
      <c r="T229" s="66">
        <f>4.9*60*60</f>
        <v>17640</v>
      </c>
      <c r="X229" s="66">
        <f>9.3*60*60</f>
        <v>33480</v>
      </c>
      <c r="Y229">
        <f>0.3*60*60</f>
        <v>1080</v>
      </c>
      <c r="AA229" s="66">
        <v>19</v>
      </c>
      <c r="AE229" s="15" t="s">
        <v>114</v>
      </c>
      <c r="AH229" t="s">
        <v>39</v>
      </c>
      <c r="AI229" s="15" t="s">
        <v>286</v>
      </c>
      <c r="AJ229" t="s">
        <v>142</v>
      </c>
      <c r="AK229">
        <v>24</v>
      </c>
      <c r="AL229">
        <v>75</v>
      </c>
      <c r="AN229" t="s">
        <v>109</v>
      </c>
      <c r="AX229" s="66">
        <v>43</v>
      </c>
      <c r="BH229" s="20" t="s">
        <v>283</v>
      </c>
      <c r="BI229" s="20">
        <v>2020</v>
      </c>
      <c r="BL229" t="s">
        <v>289</v>
      </c>
      <c r="BM229" t="s">
        <v>288</v>
      </c>
      <c r="BO229" t="s">
        <v>290</v>
      </c>
      <c r="BT229" s="15" t="s">
        <v>24</v>
      </c>
      <c r="BU229">
        <v>1</v>
      </c>
      <c r="BY229" s="15" t="s">
        <v>291</v>
      </c>
      <c r="BZ229" s="15" t="s">
        <v>50</v>
      </c>
      <c r="CA229">
        <v>1</v>
      </c>
      <c r="CC229" s="15">
        <v>3</v>
      </c>
    </row>
    <row r="230" spans="1:81" x14ac:dyDescent="0.2">
      <c r="A230" s="20" t="s">
        <v>281</v>
      </c>
      <c r="B230" s="21" t="s">
        <v>186</v>
      </c>
      <c r="C230" s="20" t="s">
        <v>126</v>
      </c>
      <c r="D230" s="20" t="s">
        <v>282</v>
      </c>
      <c r="L230" s="66">
        <f>4.5*1000/(60*60)</f>
        <v>1.25</v>
      </c>
      <c r="P230" s="66">
        <f>44*1000</f>
        <v>44000</v>
      </c>
      <c r="R230" s="66">
        <f>20*1000</f>
        <v>20000</v>
      </c>
      <c r="T230" s="66">
        <f>4.7*60*60</f>
        <v>16920</v>
      </c>
      <c r="X230" s="66">
        <f>9.2*60*60</f>
        <v>33120</v>
      </c>
      <c r="AA230" s="66">
        <v>19</v>
      </c>
      <c r="AE230" s="15" t="s">
        <v>114</v>
      </c>
      <c r="AH230" t="s">
        <v>40</v>
      </c>
      <c r="AI230" s="15" t="s">
        <v>286</v>
      </c>
      <c r="AJ230" t="s">
        <v>142</v>
      </c>
      <c r="AK230">
        <v>24</v>
      </c>
      <c r="AL230">
        <v>75</v>
      </c>
      <c r="AN230" t="s">
        <v>109</v>
      </c>
      <c r="AX230" s="66">
        <v>43</v>
      </c>
      <c r="BH230" s="20" t="s">
        <v>283</v>
      </c>
      <c r="BI230" s="20">
        <v>2020</v>
      </c>
      <c r="BL230" t="s">
        <v>289</v>
      </c>
      <c r="BM230" t="s">
        <v>288</v>
      </c>
      <c r="BO230" t="s">
        <v>290</v>
      </c>
      <c r="BT230" s="15" t="s">
        <v>24</v>
      </c>
      <c r="BU230">
        <v>1</v>
      </c>
      <c r="BY230" s="15" t="s">
        <v>291</v>
      </c>
      <c r="BZ230" s="15" t="s">
        <v>50</v>
      </c>
      <c r="CA230">
        <v>1</v>
      </c>
      <c r="CC230" s="15">
        <v>3</v>
      </c>
    </row>
    <row r="231" spans="1:81" x14ac:dyDescent="0.2">
      <c r="A231" s="20" t="s">
        <v>281</v>
      </c>
      <c r="B231" s="21" t="s">
        <v>186</v>
      </c>
      <c r="C231" s="20" t="s">
        <v>126</v>
      </c>
      <c r="D231" s="20" t="s">
        <v>282</v>
      </c>
      <c r="L231" s="66">
        <f>4.8*1000/(60*60)</f>
        <v>1.3333333333333333</v>
      </c>
      <c r="P231" s="66">
        <f>25*1000</f>
        <v>25000</v>
      </c>
      <c r="R231" s="66">
        <f>13*1000</f>
        <v>13000</v>
      </c>
      <c r="T231" s="66">
        <f>3.1*60*60</f>
        <v>11160</v>
      </c>
      <c r="X231" s="66">
        <f>6.5*60*60</f>
        <v>23400</v>
      </c>
      <c r="AA231" s="66">
        <v>39</v>
      </c>
      <c r="AE231" s="15" t="s">
        <v>114</v>
      </c>
      <c r="AH231" t="s">
        <v>39</v>
      </c>
      <c r="AI231" s="15" t="s">
        <v>295</v>
      </c>
      <c r="AJ231" t="s">
        <v>142</v>
      </c>
      <c r="AK231">
        <v>24</v>
      </c>
      <c r="AL231">
        <v>75</v>
      </c>
      <c r="AN231" t="s">
        <v>109</v>
      </c>
      <c r="AX231" s="66">
        <v>40</v>
      </c>
      <c r="BH231" s="20" t="s">
        <v>283</v>
      </c>
      <c r="BI231" s="20">
        <v>2020</v>
      </c>
      <c r="BL231" t="s">
        <v>289</v>
      </c>
      <c r="BM231" t="s">
        <v>288</v>
      </c>
      <c r="BO231" t="s">
        <v>290</v>
      </c>
      <c r="BT231" s="15" t="s">
        <v>24</v>
      </c>
      <c r="BU231">
        <v>1</v>
      </c>
      <c r="BY231" s="15" t="s">
        <v>291</v>
      </c>
      <c r="BZ231" s="15" t="s">
        <v>50</v>
      </c>
      <c r="CA231">
        <v>1</v>
      </c>
      <c r="CC231" s="15">
        <v>3</v>
      </c>
    </row>
    <row r="232" spans="1:81" x14ac:dyDescent="0.2">
      <c r="A232" s="20" t="s">
        <v>281</v>
      </c>
      <c r="B232" s="21" t="s">
        <v>186</v>
      </c>
      <c r="C232" s="20" t="s">
        <v>126</v>
      </c>
      <c r="D232" s="20" t="s">
        <v>282</v>
      </c>
      <c r="L232" s="66">
        <f>3.4*1000/(60*60)</f>
        <v>0.94444444444444442</v>
      </c>
      <c r="P232" s="66">
        <f>23*1000</f>
        <v>23000</v>
      </c>
      <c r="R232" s="66">
        <f>9*1000</f>
        <v>9000</v>
      </c>
      <c r="T232" s="66">
        <f>2.6*60*60</f>
        <v>9360</v>
      </c>
      <c r="X232" s="66">
        <f>6.6*60*60</f>
        <v>23760</v>
      </c>
      <c r="AA232" s="66">
        <v>39</v>
      </c>
      <c r="AE232" s="15" t="s">
        <v>114</v>
      </c>
      <c r="AH232" t="s">
        <v>40</v>
      </c>
      <c r="AI232" s="15" t="s">
        <v>295</v>
      </c>
      <c r="AJ232" t="s">
        <v>142</v>
      </c>
      <c r="AK232">
        <v>24</v>
      </c>
      <c r="AL232">
        <v>75</v>
      </c>
      <c r="AN232" t="s">
        <v>109</v>
      </c>
      <c r="AX232" s="66">
        <v>40</v>
      </c>
      <c r="BH232" s="20" t="s">
        <v>283</v>
      </c>
      <c r="BI232" s="20">
        <v>2020</v>
      </c>
      <c r="BL232" t="s">
        <v>289</v>
      </c>
      <c r="BM232" t="s">
        <v>288</v>
      </c>
      <c r="BO232" t="s">
        <v>290</v>
      </c>
      <c r="BT232" s="15" t="s">
        <v>24</v>
      </c>
      <c r="BU232">
        <v>1</v>
      </c>
      <c r="BY232" s="15" t="s">
        <v>291</v>
      </c>
      <c r="BZ232" s="15" t="s">
        <v>50</v>
      </c>
      <c r="CA232">
        <v>1</v>
      </c>
      <c r="CC232" s="15">
        <v>3</v>
      </c>
    </row>
    <row r="233" spans="1:81" x14ac:dyDescent="0.2">
      <c r="A233" s="20" t="s">
        <v>281</v>
      </c>
      <c r="B233" s="21" t="s">
        <v>186</v>
      </c>
      <c r="C233" s="20" t="s">
        <v>126</v>
      </c>
      <c r="D233" s="20" t="s">
        <v>282</v>
      </c>
      <c r="L233" s="66">
        <f>3.6*1000/(60*60)</f>
        <v>1</v>
      </c>
      <c r="P233" s="66">
        <f>19*1000</f>
        <v>19000</v>
      </c>
      <c r="R233" s="66">
        <f>7*1000</f>
        <v>7000</v>
      </c>
      <c r="T233" s="66">
        <f>1.9*60*60</f>
        <v>6840</v>
      </c>
      <c r="X233" s="66">
        <f>5*60*60</f>
        <v>18000</v>
      </c>
      <c r="AA233" s="66">
        <v>48</v>
      </c>
      <c r="AE233" s="15" t="s">
        <v>114</v>
      </c>
      <c r="AH233" t="s">
        <v>39</v>
      </c>
      <c r="AI233" s="15" t="s">
        <v>296</v>
      </c>
      <c r="AJ233" t="s">
        <v>142</v>
      </c>
      <c r="AK233">
        <v>24</v>
      </c>
      <c r="AL233">
        <v>75</v>
      </c>
      <c r="AN233" t="s">
        <v>109</v>
      </c>
      <c r="AX233" s="66">
        <v>36</v>
      </c>
      <c r="BH233" s="20" t="s">
        <v>283</v>
      </c>
      <c r="BI233" s="20">
        <v>2020</v>
      </c>
      <c r="BL233" t="s">
        <v>289</v>
      </c>
      <c r="BM233" t="s">
        <v>288</v>
      </c>
      <c r="BO233" t="s">
        <v>290</v>
      </c>
      <c r="BT233" s="15" t="s">
        <v>24</v>
      </c>
      <c r="BU233">
        <v>1</v>
      </c>
      <c r="BY233" s="15" t="s">
        <v>291</v>
      </c>
      <c r="BZ233" s="15" t="s">
        <v>50</v>
      </c>
      <c r="CA233">
        <v>1</v>
      </c>
      <c r="CC233" s="15">
        <v>1</v>
      </c>
    </row>
    <row r="234" spans="1:81" x14ac:dyDescent="0.2">
      <c r="A234" s="20" t="s">
        <v>281</v>
      </c>
      <c r="B234" s="21" t="s">
        <v>186</v>
      </c>
      <c r="C234" s="20" t="s">
        <v>126</v>
      </c>
      <c r="D234" s="20" t="s">
        <v>282</v>
      </c>
      <c r="L234" s="66">
        <f>3.4*1000/(60*60)</f>
        <v>0.94444444444444442</v>
      </c>
      <c r="P234" s="66">
        <f>18*1000</f>
        <v>18000</v>
      </c>
      <c r="R234" s="66">
        <f>6*1000</f>
        <v>6000</v>
      </c>
      <c r="T234" s="66">
        <f>1.8*60*60</f>
        <v>6480</v>
      </c>
      <c r="X234" s="66">
        <f>5.5*60*60</f>
        <v>19800</v>
      </c>
      <c r="AA234" s="66">
        <v>48</v>
      </c>
      <c r="AE234" s="15" t="s">
        <v>114</v>
      </c>
      <c r="AH234" t="s">
        <v>40</v>
      </c>
      <c r="AI234" s="15" t="s">
        <v>296</v>
      </c>
      <c r="AJ234" t="s">
        <v>142</v>
      </c>
      <c r="AK234">
        <v>24</v>
      </c>
      <c r="AL234">
        <v>75</v>
      </c>
      <c r="AN234" t="s">
        <v>109</v>
      </c>
      <c r="AX234" s="66">
        <v>36</v>
      </c>
      <c r="BH234" s="20" t="s">
        <v>283</v>
      </c>
      <c r="BI234" s="20">
        <v>2020</v>
      </c>
      <c r="BL234" t="s">
        <v>289</v>
      </c>
      <c r="BM234" t="s">
        <v>288</v>
      </c>
      <c r="BO234" t="s">
        <v>290</v>
      </c>
      <c r="BT234" s="15" t="s">
        <v>24</v>
      </c>
      <c r="BU234">
        <v>1</v>
      </c>
      <c r="BY234" s="15" t="s">
        <v>291</v>
      </c>
      <c r="BZ234" s="15" t="s">
        <v>50</v>
      </c>
      <c r="CA234">
        <v>1</v>
      </c>
      <c r="CC234" s="15">
        <v>3</v>
      </c>
    </row>
    <row r="235" spans="1:81" x14ac:dyDescent="0.2">
      <c r="A235" s="20" t="s">
        <v>281</v>
      </c>
      <c r="B235" s="21" t="s">
        <v>186</v>
      </c>
      <c r="C235" s="20" t="s">
        <v>126</v>
      </c>
      <c r="D235" s="20" t="s">
        <v>282</v>
      </c>
      <c r="L235" s="66">
        <f>3*1000/(60*60)</f>
        <v>0.83333333333333337</v>
      </c>
      <c r="P235" s="66">
        <f>11*1000</f>
        <v>11000</v>
      </c>
      <c r="R235" s="66">
        <f>3*1000</f>
        <v>3000</v>
      </c>
      <c r="T235" s="66">
        <f>1.4*60*60</f>
        <v>5040</v>
      </c>
      <c r="X235" s="66">
        <f>4*60*60</f>
        <v>14400</v>
      </c>
      <c r="AA235" s="66">
        <v>55</v>
      </c>
      <c r="AE235" s="15" t="s">
        <v>114</v>
      </c>
      <c r="AH235" t="s">
        <v>39</v>
      </c>
      <c r="AI235" s="15" t="s">
        <v>297</v>
      </c>
      <c r="AJ235" t="s">
        <v>142</v>
      </c>
      <c r="AK235">
        <v>24</v>
      </c>
      <c r="AL235">
        <v>75</v>
      </c>
      <c r="AN235" t="s">
        <v>109</v>
      </c>
      <c r="AX235" s="66">
        <v>35</v>
      </c>
      <c r="BH235" s="20" t="s">
        <v>283</v>
      </c>
      <c r="BI235" s="20">
        <v>2020</v>
      </c>
      <c r="BL235" t="s">
        <v>289</v>
      </c>
      <c r="BM235" t="s">
        <v>288</v>
      </c>
      <c r="BO235" t="s">
        <v>290</v>
      </c>
      <c r="BT235" s="15" t="s">
        <v>24</v>
      </c>
      <c r="BU235">
        <v>1</v>
      </c>
      <c r="BY235" s="15" t="s">
        <v>291</v>
      </c>
      <c r="BZ235" s="15" t="s">
        <v>50</v>
      </c>
      <c r="CA235">
        <v>1</v>
      </c>
      <c r="CC235" s="15">
        <v>3</v>
      </c>
    </row>
    <row r="236" spans="1:81" x14ac:dyDescent="0.2">
      <c r="A236" s="20" t="s">
        <v>281</v>
      </c>
      <c r="B236" s="21" t="s">
        <v>186</v>
      </c>
      <c r="C236" s="20" t="s">
        <v>126</v>
      </c>
      <c r="D236" s="20" t="s">
        <v>282</v>
      </c>
      <c r="L236" s="66">
        <f>3.4*1000/(60*60)</f>
        <v>0.94444444444444442</v>
      </c>
      <c r="P236" s="66">
        <f>10*1000</f>
        <v>10000</v>
      </c>
      <c r="R236" s="66">
        <f>4*1000</f>
        <v>4000</v>
      </c>
      <c r="T236" s="66">
        <f>1.3*60*60</f>
        <v>4680</v>
      </c>
      <c r="X236" s="66">
        <f>3*60*60</f>
        <v>10800</v>
      </c>
      <c r="AA236" s="66">
        <v>60</v>
      </c>
      <c r="AE236" s="15" t="s">
        <v>114</v>
      </c>
      <c r="AH236" t="s">
        <v>40</v>
      </c>
      <c r="AI236" s="15" t="s">
        <v>297</v>
      </c>
      <c r="AJ236" t="s">
        <v>142</v>
      </c>
      <c r="AK236">
        <v>24</v>
      </c>
      <c r="AL236">
        <v>75</v>
      </c>
      <c r="AN236" t="s">
        <v>109</v>
      </c>
      <c r="AX236" s="66">
        <v>35</v>
      </c>
      <c r="BH236" s="20" t="s">
        <v>283</v>
      </c>
      <c r="BI236" s="20">
        <v>2020</v>
      </c>
      <c r="BL236" t="s">
        <v>289</v>
      </c>
      <c r="BM236" t="s">
        <v>288</v>
      </c>
      <c r="BO236" t="s">
        <v>290</v>
      </c>
      <c r="BT236" s="15" t="s">
        <v>24</v>
      </c>
      <c r="BU236">
        <v>1</v>
      </c>
      <c r="BY236" s="15" t="s">
        <v>291</v>
      </c>
      <c r="BZ236" s="15" t="s">
        <v>50</v>
      </c>
      <c r="CA236">
        <v>1</v>
      </c>
      <c r="CC236" s="15">
        <v>3</v>
      </c>
    </row>
    <row r="237" spans="1:81" x14ac:dyDescent="0.2">
      <c r="A237" s="20" t="s">
        <v>281</v>
      </c>
      <c r="B237" s="21" t="s">
        <v>186</v>
      </c>
      <c r="C237" s="20" t="s">
        <v>126</v>
      </c>
      <c r="D237" s="20" t="s">
        <v>282</v>
      </c>
      <c r="E237">
        <v>268</v>
      </c>
      <c r="L237" s="66">
        <f>3.8*1000/(60*60)</f>
        <v>1.0555555555555556</v>
      </c>
      <c r="P237" s="66">
        <f>29*1000</f>
        <v>29000</v>
      </c>
      <c r="R237" s="66">
        <f>15*1000</f>
        <v>15000</v>
      </c>
      <c r="T237" s="66">
        <f>3.9*60*60</f>
        <v>14040</v>
      </c>
      <c r="X237" s="66">
        <f>7.5*60*60</f>
        <v>27000</v>
      </c>
      <c r="AA237" s="66">
        <v>20</v>
      </c>
      <c r="AE237" s="15" t="s">
        <v>114</v>
      </c>
      <c r="AI237" s="15" t="s">
        <v>294</v>
      </c>
      <c r="AJ237" t="s">
        <v>142</v>
      </c>
      <c r="AK237">
        <v>24</v>
      </c>
      <c r="AL237">
        <v>75</v>
      </c>
      <c r="AN237" t="s">
        <v>109</v>
      </c>
      <c r="AX237" s="66">
        <v>35</v>
      </c>
      <c r="BH237" s="20" t="s">
        <v>283</v>
      </c>
      <c r="BI237" s="20">
        <v>2020</v>
      </c>
      <c r="BL237" t="s">
        <v>289</v>
      </c>
      <c r="BM237" t="s">
        <v>288</v>
      </c>
      <c r="BO237" t="s">
        <v>290</v>
      </c>
      <c r="BT237" s="15" t="s">
        <v>24</v>
      </c>
      <c r="BU237">
        <v>1</v>
      </c>
      <c r="BY237" s="15" t="s">
        <v>291</v>
      </c>
      <c r="BZ237" s="15" t="s">
        <v>50</v>
      </c>
      <c r="CA237">
        <v>2</v>
      </c>
      <c r="CC237" s="15">
        <v>4</v>
      </c>
    </row>
    <row r="238" spans="1:81" x14ac:dyDescent="0.2">
      <c r="A238" s="20" t="s">
        <v>281</v>
      </c>
      <c r="B238" s="21" t="s">
        <v>186</v>
      </c>
      <c r="C238" s="20" t="s">
        <v>126</v>
      </c>
      <c r="D238" s="20" t="s">
        <v>282</v>
      </c>
      <c r="E238">
        <v>268</v>
      </c>
      <c r="L238" s="66">
        <f>4.8*1000/(60*60)</f>
        <v>1.3333333333333333</v>
      </c>
      <c r="P238" s="66">
        <f>47*1000</f>
        <v>47000</v>
      </c>
      <c r="R238" s="66">
        <f>22*1000</f>
        <v>22000</v>
      </c>
      <c r="T238" s="66">
        <f>4.8*60*60</f>
        <v>17280</v>
      </c>
      <c r="X238" s="66">
        <f>9.2*60*60</f>
        <v>33120</v>
      </c>
      <c r="AA238" s="66">
        <v>19</v>
      </c>
      <c r="AE238" s="15" t="s">
        <v>114</v>
      </c>
      <c r="AI238" s="15" t="s">
        <v>286</v>
      </c>
      <c r="AJ238" t="s">
        <v>142</v>
      </c>
      <c r="AK238">
        <v>24</v>
      </c>
      <c r="AL238">
        <v>75</v>
      </c>
      <c r="AN238" t="s">
        <v>109</v>
      </c>
      <c r="AX238" s="66">
        <v>43</v>
      </c>
      <c r="BH238" s="20" t="s">
        <v>283</v>
      </c>
      <c r="BI238" s="20">
        <v>2020</v>
      </c>
      <c r="BL238" t="s">
        <v>289</v>
      </c>
      <c r="BM238" t="s">
        <v>288</v>
      </c>
      <c r="BO238" t="s">
        <v>290</v>
      </c>
      <c r="BT238" s="15" t="s">
        <v>24</v>
      </c>
      <c r="BU238">
        <v>1</v>
      </c>
      <c r="BY238" s="15" t="s">
        <v>291</v>
      </c>
      <c r="BZ238" s="15" t="s">
        <v>50</v>
      </c>
      <c r="CA238">
        <v>2</v>
      </c>
      <c r="CC238" s="15">
        <v>4</v>
      </c>
    </row>
    <row r="239" spans="1:81" x14ac:dyDescent="0.2">
      <c r="A239" s="20" t="s">
        <v>281</v>
      </c>
      <c r="B239" s="21" t="s">
        <v>186</v>
      </c>
      <c r="C239" s="20" t="s">
        <v>126</v>
      </c>
      <c r="D239" s="20" t="s">
        <v>282</v>
      </c>
      <c r="E239">
        <v>268</v>
      </c>
      <c r="L239" s="66">
        <f>3.6*1000/(60*60)</f>
        <v>1</v>
      </c>
      <c r="P239" s="66">
        <f>25*1000</f>
        <v>25000</v>
      </c>
      <c r="R239" s="66">
        <f>11*1000</f>
        <v>11000</v>
      </c>
      <c r="T239" s="66">
        <f>2.9*60*60</f>
        <v>10440</v>
      </c>
      <c r="X239" s="66">
        <f>6.9*60*60</f>
        <v>24840</v>
      </c>
      <c r="AA239" s="66">
        <v>37</v>
      </c>
      <c r="AE239" s="15" t="s">
        <v>114</v>
      </c>
      <c r="AI239" s="15" t="s">
        <v>295</v>
      </c>
      <c r="AJ239" t="s">
        <v>142</v>
      </c>
      <c r="AK239">
        <v>24</v>
      </c>
      <c r="AL239">
        <v>75</v>
      </c>
      <c r="AN239" t="s">
        <v>109</v>
      </c>
      <c r="AX239" s="66">
        <v>40</v>
      </c>
      <c r="BH239" s="20" t="s">
        <v>283</v>
      </c>
      <c r="BI239" s="20">
        <v>2020</v>
      </c>
      <c r="BL239" t="s">
        <v>289</v>
      </c>
      <c r="BM239" t="s">
        <v>288</v>
      </c>
      <c r="BO239" t="s">
        <v>290</v>
      </c>
      <c r="BT239" s="15" t="s">
        <v>24</v>
      </c>
      <c r="BU239">
        <v>1</v>
      </c>
      <c r="BY239" s="15" t="s">
        <v>291</v>
      </c>
      <c r="BZ239" s="15" t="s">
        <v>50</v>
      </c>
      <c r="CA239">
        <v>2</v>
      </c>
      <c r="CC239" s="15">
        <v>4</v>
      </c>
    </row>
    <row r="240" spans="1:81" x14ac:dyDescent="0.2">
      <c r="A240" s="20" t="s">
        <v>281</v>
      </c>
      <c r="B240" s="21" t="s">
        <v>186</v>
      </c>
      <c r="C240" s="20" t="s">
        <v>126</v>
      </c>
      <c r="D240" s="20" t="s">
        <v>282</v>
      </c>
      <c r="E240">
        <v>268</v>
      </c>
      <c r="L240" s="66">
        <f>3.5*1000/(60*60)</f>
        <v>0.97222222222222221</v>
      </c>
      <c r="P240" s="66">
        <f>19*1000</f>
        <v>19000</v>
      </c>
      <c r="R240" s="66">
        <f>6*1000</f>
        <v>6000</v>
      </c>
      <c r="T240" s="66">
        <f>2*60*60</f>
        <v>7200</v>
      </c>
      <c r="X240" s="66">
        <f>5*60*60</f>
        <v>18000</v>
      </c>
      <c r="AA240" s="66">
        <v>43</v>
      </c>
      <c r="AE240" s="15" t="s">
        <v>114</v>
      </c>
      <c r="AI240" s="15" t="s">
        <v>296</v>
      </c>
      <c r="AJ240" t="s">
        <v>142</v>
      </c>
      <c r="AK240">
        <v>24</v>
      </c>
      <c r="AL240">
        <v>75</v>
      </c>
      <c r="AN240" t="s">
        <v>109</v>
      </c>
      <c r="AX240" s="66">
        <v>36</v>
      </c>
      <c r="BH240" s="20" t="s">
        <v>283</v>
      </c>
      <c r="BI240" s="20">
        <v>2020</v>
      </c>
      <c r="BL240" t="s">
        <v>289</v>
      </c>
      <c r="BM240" t="s">
        <v>288</v>
      </c>
      <c r="BO240" t="s">
        <v>290</v>
      </c>
      <c r="BT240" s="15" t="s">
        <v>24</v>
      </c>
      <c r="BU240">
        <v>1</v>
      </c>
      <c r="BY240" s="15" t="s">
        <v>291</v>
      </c>
      <c r="BZ240" s="15" t="s">
        <v>50</v>
      </c>
      <c r="CA240">
        <v>2</v>
      </c>
      <c r="CC240" s="15">
        <v>4</v>
      </c>
    </row>
    <row r="241" spans="1:81" x14ac:dyDescent="0.2">
      <c r="A241" s="20" t="s">
        <v>281</v>
      </c>
      <c r="B241" s="21" t="s">
        <v>186</v>
      </c>
      <c r="C241" s="20" t="s">
        <v>126</v>
      </c>
      <c r="D241" s="20" t="s">
        <v>282</v>
      </c>
      <c r="E241">
        <v>268</v>
      </c>
      <c r="L241" s="66">
        <f>3*1000/(60*60)</f>
        <v>0.83333333333333337</v>
      </c>
      <c r="P241" s="66">
        <f>11*1000</f>
        <v>11000</v>
      </c>
      <c r="R241" s="66">
        <f>4*1000</f>
        <v>4000</v>
      </c>
      <c r="T241" s="66">
        <f>1.5*60*60</f>
        <v>5400</v>
      </c>
      <c r="X241" s="66">
        <f>3.9*60*60</f>
        <v>14040</v>
      </c>
      <c r="AA241" s="66">
        <v>53</v>
      </c>
      <c r="AE241" s="15" t="s">
        <v>114</v>
      </c>
      <c r="AI241" s="15" t="s">
        <v>297</v>
      </c>
      <c r="AJ241" t="s">
        <v>142</v>
      </c>
      <c r="AK241">
        <v>24</v>
      </c>
      <c r="AL241">
        <v>75</v>
      </c>
      <c r="AN241" t="s">
        <v>109</v>
      </c>
      <c r="AX241" s="66">
        <v>35</v>
      </c>
      <c r="BH241" s="20" t="s">
        <v>283</v>
      </c>
      <c r="BI241" s="20">
        <v>2020</v>
      </c>
      <c r="BL241" t="s">
        <v>289</v>
      </c>
      <c r="BM241" t="s">
        <v>288</v>
      </c>
      <c r="BO241" t="s">
        <v>290</v>
      </c>
      <c r="BT241" s="15" t="s">
        <v>24</v>
      </c>
      <c r="BU241">
        <v>1</v>
      </c>
      <c r="BY241" s="15" t="s">
        <v>291</v>
      </c>
      <c r="BZ241" s="15" t="s">
        <v>50</v>
      </c>
      <c r="CA241">
        <v>2</v>
      </c>
      <c r="CC241" s="15">
        <v>4</v>
      </c>
    </row>
    <row r="242" spans="1:81" x14ac:dyDescent="0.2">
      <c r="A242" s="20" t="s">
        <v>281</v>
      </c>
      <c r="B242" s="21" t="s">
        <v>186</v>
      </c>
      <c r="C242" s="20" t="s">
        <v>126</v>
      </c>
      <c r="D242" s="20" t="s">
        <v>282</v>
      </c>
      <c r="L242" s="66">
        <f>2.9*1000/(60*60)</f>
        <v>0.80555555555555558</v>
      </c>
      <c r="P242" s="66">
        <f>10*1000</f>
        <v>10000</v>
      </c>
      <c r="R242" s="66">
        <f>4*1000</f>
        <v>4000</v>
      </c>
      <c r="T242" s="66">
        <f>1.4*60*60</f>
        <v>5040</v>
      </c>
      <c r="X242" s="66">
        <f>3*60*60</f>
        <v>10800</v>
      </c>
      <c r="AA242" s="66">
        <v>40</v>
      </c>
      <c r="AE242" s="15" t="s">
        <v>114</v>
      </c>
      <c r="AI242" s="15" t="s">
        <v>286</v>
      </c>
      <c r="AJ242" t="s">
        <v>142</v>
      </c>
      <c r="AK242">
        <v>12</v>
      </c>
      <c r="AL242">
        <v>75</v>
      </c>
      <c r="AN242" t="s">
        <v>109</v>
      </c>
      <c r="AX242" s="66">
        <v>23</v>
      </c>
      <c r="BH242" s="20" t="s">
        <v>283</v>
      </c>
      <c r="BI242" s="20">
        <v>2020</v>
      </c>
      <c r="BL242" t="s">
        <v>289</v>
      </c>
      <c r="BM242" t="s">
        <v>288</v>
      </c>
      <c r="BO242" t="s">
        <v>290</v>
      </c>
      <c r="BT242" s="15" t="s">
        <v>24</v>
      </c>
      <c r="BU242">
        <v>1</v>
      </c>
      <c r="BY242" s="15" t="s">
        <v>291</v>
      </c>
      <c r="BZ242" s="15" t="s">
        <v>50</v>
      </c>
      <c r="CA242">
        <v>3</v>
      </c>
      <c r="CC242" s="15">
        <v>5</v>
      </c>
    </row>
    <row r="243" spans="1:81" x14ac:dyDescent="0.2">
      <c r="A243" s="20" t="s">
        <v>281</v>
      </c>
      <c r="B243" s="21" t="s">
        <v>186</v>
      </c>
      <c r="C243" s="20" t="s">
        <v>126</v>
      </c>
      <c r="D243" s="20" t="s">
        <v>282</v>
      </c>
      <c r="L243" s="66">
        <f>3.2*1000/(60*60)</f>
        <v>0.88888888888888884</v>
      </c>
      <c r="P243" s="66">
        <f>20*1000</f>
        <v>20000</v>
      </c>
      <c r="R243" s="66">
        <f>8*1000</f>
        <v>8000</v>
      </c>
      <c r="T243" s="66">
        <f>2.9*60*60</f>
        <v>10440</v>
      </c>
      <c r="X243" s="66">
        <f>5.9*60*60</f>
        <v>21240</v>
      </c>
      <c r="AA243" s="66">
        <v>32</v>
      </c>
      <c r="AE243" s="15" t="s">
        <v>114</v>
      </c>
      <c r="AI243" s="15" t="s">
        <v>286</v>
      </c>
      <c r="AJ243" t="s">
        <v>142</v>
      </c>
      <c r="AK243">
        <v>16</v>
      </c>
      <c r="AL243">
        <v>75</v>
      </c>
      <c r="AN243" t="s">
        <v>109</v>
      </c>
      <c r="AX243" s="66">
        <v>32</v>
      </c>
      <c r="BH243" s="20" t="s">
        <v>283</v>
      </c>
      <c r="BI243" s="20">
        <v>2020</v>
      </c>
      <c r="BL243" t="s">
        <v>289</v>
      </c>
      <c r="BM243" t="s">
        <v>288</v>
      </c>
      <c r="BO243" t="s">
        <v>290</v>
      </c>
      <c r="BT243" s="15" t="s">
        <v>24</v>
      </c>
      <c r="BU243">
        <v>1</v>
      </c>
      <c r="BY243" s="15" t="s">
        <v>291</v>
      </c>
      <c r="BZ243" s="15" t="s">
        <v>50</v>
      </c>
      <c r="CA243">
        <v>3</v>
      </c>
      <c r="CC243" s="15">
        <v>5</v>
      </c>
    </row>
    <row r="244" spans="1:81" x14ac:dyDescent="0.2">
      <c r="A244" s="20" t="s">
        <v>281</v>
      </c>
      <c r="B244" s="21" t="s">
        <v>186</v>
      </c>
      <c r="C244" s="20" t="s">
        <v>126</v>
      </c>
      <c r="D244" s="20" t="s">
        <v>282</v>
      </c>
      <c r="L244" s="66">
        <f>4*1000/(60*60)</f>
        <v>1.1111111111111112</v>
      </c>
      <c r="P244" s="66">
        <f>37*1000</f>
        <v>37000</v>
      </c>
      <c r="R244" s="66">
        <f>18*1000</f>
        <v>18000</v>
      </c>
      <c r="T244" s="66">
        <f>4.1*60*60</f>
        <v>14759.999999999998</v>
      </c>
      <c r="X244" s="66">
        <f>8.9*60*60</f>
        <v>32040</v>
      </c>
      <c r="AA244" s="66">
        <v>20</v>
      </c>
      <c r="AE244" s="15" t="s">
        <v>114</v>
      </c>
      <c r="AI244" s="15" t="s">
        <v>286</v>
      </c>
      <c r="AJ244" t="s">
        <v>142</v>
      </c>
      <c r="AK244">
        <v>20</v>
      </c>
      <c r="AL244">
        <v>75</v>
      </c>
      <c r="AN244" t="s">
        <v>109</v>
      </c>
      <c r="AX244" s="66">
        <v>40</v>
      </c>
      <c r="BH244" s="20" t="s">
        <v>283</v>
      </c>
      <c r="BI244" s="20">
        <v>2020</v>
      </c>
      <c r="BL244" t="s">
        <v>289</v>
      </c>
      <c r="BM244" t="s">
        <v>288</v>
      </c>
      <c r="BO244" t="s">
        <v>290</v>
      </c>
      <c r="BT244" s="15" t="s">
        <v>24</v>
      </c>
      <c r="BU244">
        <v>1</v>
      </c>
      <c r="BY244" s="15" t="s">
        <v>291</v>
      </c>
      <c r="BZ244" s="15" t="s">
        <v>50</v>
      </c>
      <c r="CA244">
        <v>3</v>
      </c>
      <c r="CC244" s="15">
        <v>5</v>
      </c>
    </row>
    <row r="245" spans="1:81" x14ac:dyDescent="0.2">
      <c r="A245" s="20" t="s">
        <v>281</v>
      </c>
      <c r="B245" s="21" t="s">
        <v>186</v>
      </c>
      <c r="C245" s="20" t="s">
        <v>126</v>
      </c>
      <c r="D245" s="20" t="s">
        <v>282</v>
      </c>
      <c r="L245" s="66">
        <f>4.5*1000/(60*60)</f>
        <v>1.25</v>
      </c>
      <c r="P245" s="66">
        <f>45*1000</f>
        <v>45000</v>
      </c>
      <c r="R245" s="66">
        <f>22*1000</f>
        <v>22000</v>
      </c>
      <c r="T245" s="66">
        <f>4.6*60*60</f>
        <v>16560</v>
      </c>
      <c r="X245" s="66">
        <f>9.2*60*60</f>
        <v>33120</v>
      </c>
      <c r="AA245" s="66">
        <v>19</v>
      </c>
      <c r="AE245" s="15" t="s">
        <v>114</v>
      </c>
      <c r="AI245" s="15" t="s">
        <v>286</v>
      </c>
      <c r="AJ245" t="s">
        <v>142</v>
      </c>
      <c r="AK245">
        <v>24</v>
      </c>
      <c r="AL245">
        <v>75</v>
      </c>
      <c r="AN245" t="s">
        <v>109</v>
      </c>
      <c r="AX245" s="66">
        <v>44</v>
      </c>
      <c r="BH245" s="20" t="s">
        <v>283</v>
      </c>
      <c r="BI245" s="20">
        <v>2020</v>
      </c>
      <c r="BL245" t="s">
        <v>289</v>
      </c>
      <c r="BM245" t="s">
        <v>288</v>
      </c>
      <c r="BO245" t="s">
        <v>290</v>
      </c>
      <c r="BT245" s="15" t="s">
        <v>24</v>
      </c>
      <c r="BU245">
        <v>1</v>
      </c>
      <c r="BY245" s="15" t="s">
        <v>291</v>
      </c>
      <c r="BZ245" s="15" t="s">
        <v>50</v>
      </c>
      <c r="CA245">
        <v>3</v>
      </c>
      <c r="CC245" s="15">
        <v>5</v>
      </c>
    </row>
    <row r="246" spans="1:81" x14ac:dyDescent="0.2">
      <c r="A246" s="20" t="s">
        <v>281</v>
      </c>
      <c r="B246" s="21" t="s">
        <v>186</v>
      </c>
      <c r="C246" s="20" t="s">
        <v>126</v>
      </c>
      <c r="D246" s="20" t="s">
        <v>282</v>
      </c>
      <c r="L246" s="66">
        <f>4.2*1000/(60*60)</f>
        <v>1.1666666666666667</v>
      </c>
      <c r="P246" s="66">
        <f>38*1000</f>
        <v>38000</v>
      </c>
      <c r="R246" s="66">
        <f>15*1000</f>
        <v>15000</v>
      </c>
      <c r="T246" s="66">
        <f>3.8*60*60</f>
        <v>13680</v>
      </c>
      <c r="X246" s="66">
        <f>8.9*60*60</f>
        <v>32040</v>
      </c>
      <c r="AA246" s="66">
        <v>23</v>
      </c>
      <c r="AE246" s="15" t="s">
        <v>114</v>
      </c>
      <c r="AI246" s="15" t="s">
        <v>286</v>
      </c>
      <c r="AJ246" t="s">
        <v>142</v>
      </c>
      <c r="AK246">
        <v>28</v>
      </c>
      <c r="AL246">
        <v>75</v>
      </c>
      <c r="AN246" t="s">
        <v>109</v>
      </c>
      <c r="AX246" s="66">
        <v>42</v>
      </c>
      <c r="BH246" s="20" t="s">
        <v>283</v>
      </c>
      <c r="BI246" s="20">
        <v>2020</v>
      </c>
      <c r="BL246" t="s">
        <v>289</v>
      </c>
      <c r="BM246" t="s">
        <v>288</v>
      </c>
      <c r="BO246" t="s">
        <v>290</v>
      </c>
      <c r="BT246" s="15" t="s">
        <v>24</v>
      </c>
      <c r="BU246">
        <v>1</v>
      </c>
      <c r="BY246" s="15" t="s">
        <v>291</v>
      </c>
      <c r="BZ246" s="15" t="s">
        <v>50</v>
      </c>
      <c r="CA246">
        <v>3</v>
      </c>
      <c r="CC246" s="15">
        <v>5</v>
      </c>
    </row>
    <row r="247" spans="1:81" x14ac:dyDescent="0.2">
      <c r="A247" s="20" t="s">
        <v>281</v>
      </c>
      <c r="B247" s="21" t="s">
        <v>186</v>
      </c>
      <c r="C247" s="20" t="s">
        <v>126</v>
      </c>
      <c r="D247" s="20" t="s">
        <v>282</v>
      </c>
      <c r="L247" s="66">
        <f>3.3*1000/(60*60)</f>
        <v>0.91666666666666663</v>
      </c>
      <c r="P247" s="66">
        <f>19*1000</f>
        <v>19000</v>
      </c>
      <c r="R247" s="66">
        <f>9*1000</f>
        <v>9000</v>
      </c>
      <c r="T247" s="66">
        <f>2.9*60*60</f>
        <v>10440</v>
      </c>
      <c r="X247" s="66">
        <f>4.9*60*60</f>
        <v>17640</v>
      </c>
      <c r="AA247" s="66">
        <v>30</v>
      </c>
      <c r="AE247" s="15" t="s">
        <v>114</v>
      </c>
      <c r="AI247" s="15" t="s">
        <v>286</v>
      </c>
      <c r="AJ247" t="s">
        <v>142</v>
      </c>
      <c r="AK247">
        <v>32</v>
      </c>
      <c r="AL247">
        <v>75</v>
      </c>
      <c r="AN247" t="s">
        <v>109</v>
      </c>
      <c r="AX247" s="66">
        <v>38</v>
      </c>
      <c r="BH247" s="20" t="s">
        <v>283</v>
      </c>
      <c r="BI247" s="20">
        <v>2020</v>
      </c>
      <c r="BL247" t="s">
        <v>289</v>
      </c>
      <c r="BM247" t="s">
        <v>288</v>
      </c>
      <c r="BO247" t="s">
        <v>290</v>
      </c>
      <c r="BT247" s="15" t="s">
        <v>24</v>
      </c>
      <c r="BU247">
        <v>1</v>
      </c>
      <c r="BY247" s="15" t="s">
        <v>291</v>
      </c>
      <c r="BZ247" s="15" t="s">
        <v>50</v>
      </c>
      <c r="CA247">
        <v>3</v>
      </c>
      <c r="CC247" s="15">
        <v>5</v>
      </c>
    </row>
    <row r="248" spans="1:81" x14ac:dyDescent="0.2">
      <c r="A248" s="20" t="s">
        <v>281</v>
      </c>
      <c r="B248" s="21" t="s">
        <v>186</v>
      </c>
      <c r="C248" s="20" t="s">
        <v>126</v>
      </c>
      <c r="D248" s="20" t="s">
        <v>282</v>
      </c>
      <c r="L248" s="66">
        <f>3.7*1000/(60*60)</f>
        <v>1.0277777777777777</v>
      </c>
      <c r="P248" s="66">
        <f>12*1000</f>
        <v>12000</v>
      </c>
      <c r="R248" s="66">
        <f>4*1000</f>
        <v>4000</v>
      </c>
      <c r="T248" s="66">
        <f>1.5*60*60</f>
        <v>5400</v>
      </c>
      <c r="X248" s="66">
        <f>3.8*60*60</f>
        <v>13680</v>
      </c>
      <c r="AA248" s="66">
        <v>29</v>
      </c>
      <c r="AE248" s="15" t="s">
        <v>114</v>
      </c>
      <c r="AI248" s="15" t="s">
        <v>286</v>
      </c>
      <c r="AJ248" t="s">
        <v>142</v>
      </c>
      <c r="AK248">
        <v>24</v>
      </c>
      <c r="AL248">
        <v>30</v>
      </c>
      <c r="AN248" t="s">
        <v>109</v>
      </c>
      <c r="AX248" s="66">
        <v>41</v>
      </c>
      <c r="BH248" s="20" t="s">
        <v>283</v>
      </c>
      <c r="BI248" s="20">
        <v>2020</v>
      </c>
      <c r="BL248" t="s">
        <v>289</v>
      </c>
      <c r="BM248" t="s">
        <v>288</v>
      </c>
      <c r="BO248" t="s">
        <v>290</v>
      </c>
      <c r="BT248" s="15" t="s">
        <v>24</v>
      </c>
      <c r="BU248">
        <v>1</v>
      </c>
      <c r="BY248" s="15" t="s">
        <v>291</v>
      </c>
      <c r="BZ248" s="15" t="s">
        <v>50</v>
      </c>
      <c r="CA248">
        <v>4</v>
      </c>
      <c r="CC248" s="15">
        <v>6</v>
      </c>
    </row>
    <row r="249" spans="1:81" x14ac:dyDescent="0.2">
      <c r="A249" s="20" t="s">
        <v>281</v>
      </c>
      <c r="B249" s="21" t="s">
        <v>186</v>
      </c>
      <c r="C249" s="20" t="s">
        <v>126</v>
      </c>
      <c r="D249" s="20" t="s">
        <v>282</v>
      </c>
      <c r="L249" s="66">
        <f>3.8*1000/(60*60)</f>
        <v>1.0555555555555556</v>
      </c>
      <c r="P249" s="66">
        <f>19*1000</f>
        <v>19000</v>
      </c>
      <c r="R249" s="66">
        <f>8*1000</f>
        <v>8000</v>
      </c>
      <c r="T249" s="66">
        <f>2*60*60</f>
        <v>7200</v>
      </c>
      <c r="X249" s="66">
        <f>4.5*60*60</f>
        <v>16200</v>
      </c>
      <c r="AA249" s="66">
        <v>27</v>
      </c>
      <c r="AE249" s="15" t="s">
        <v>114</v>
      </c>
      <c r="AI249" s="15" t="s">
        <v>286</v>
      </c>
      <c r="AJ249" t="s">
        <v>142</v>
      </c>
      <c r="AK249">
        <v>24</v>
      </c>
      <c r="AL249">
        <v>45</v>
      </c>
      <c r="AN249" t="s">
        <v>109</v>
      </c>
      <c r="AX249" s="66">
        <v>41</v>
      </c>
      <c r="BH249" s="20" t="s">
        <v>283</v>
      </c>
      <c r="BI249" s="20">
        <v>2020</v>
      </c>
      <c r="BL249" t="s">
        <v>289</v>
      </c>
      <c r="BM249" t="s">
        <v>288</v>
      </c>
      <c r="BO249" t="s">
        <v>290</v>
      </c>
      <c r="BT249" s="15" t="s">
        <v>24</v>
      </c>
      <c r="BU249">
        <v>1</v>
      </c>
      <c r="BY249" s="15" t="s">
        <v>291</v>
      </c>
      <c r="BZ249" s="15" t="s">
        <v>50</v>
      </c>
      <c r="CA249">
        <v>4</v>
      </c>
      <c r="CC249" s="15">
        <v>6</v>
      </c>
    </row>
    <row r="250" spans="1:81" x14ac:dyDescent="0.2">
      <c r="A250" s="20" t="s">
        <v>281</v>
      </c>
      <c r="B250" s="21" t="s">
        <v>186</v>
      </c>
      <c r="C250" s="20" t="s">
        <v>126</v>
      </c>
      <c r="D250" s="20" t="s">
        <v>282</v>
      </c>
      <c r="L250" s="66">
        <f>4.2*1000/(60*60)</f>
        <v>1.1666666666666667</v>
      </c>
      <c r="P250" s="66">
        <f>39*1000</f>
        <v>39000</v>
      </c>
      <c r="R250" s="66">
        <f>18*1000</f>
        <v>18000</v>
      </c>
      <c r="T250" s="66">
        <f>4.3*60*60</f>
        <v>15480</v>
      </c>
      <c r="X250" s="66">
        <f>8.9*60*60</f>
        <v>32040</v>
      </c>
      <c r="AA250" s="66">
        <v>22</v>
      </c>
      <c r="AE250" s="15" t="s">
        <v>114</v>
      </c>
      <c r="AI250" s="15" t="s">
        <v>286</v>
      </c>
      <c r="AJ250" t="s">
        <v>142</v>
      </c>
      <c r="AK250">
        <v>24</v>
      </c>
      <c r="AL250">
        <v>60</v>
      </c>
      <c r="AN250" t="s">
        <v>109</v>
      </c>
      <c r="AX250" s="66">
        <v>42</v>
      </c>
      <c r="BH250" s="20" t="s">
        <v>283</v>
      </c>
      <c r="BI250" s="20">
        <v>2020</v>
      </c>
      <c r="BL250" t="s">
        <v>289</v>
      </c>
      <c r="BM250" t="s">
        <v>288</v>
      </c>
      <c r="BO250" t="s">
        <v>290</v>
      </c>
      <c r="BT250" s="15" t="s">
        <v>24</v>
      </c>
      <c r="BU250">
        <v>1</v>
      </c>
      <c r="BY250" s="15" t="s">
        <v>291</v>
      </c>
      <c r="BZ250" s="15" t="s">
        <v>50</v>
      </c>
      <c r="CA250">
        <v>4</v>
      </c>
      <c r="CC250" s="15">
        <v>6</v>
      </c>
    </row>
    <row r="251" spans="1:81" x14ac:dyDescent="0.2">
      <c r="A251" s="20" t="s">
        <v>281</v>
      </c>
      <c r="B251" s="21" t="s">
        <v>186</v>
      </c>
      <c r="C251" s="20" t="s">
        <v>126</v>
      </c>
      <c r="D251" s="20" t="s">
        <v>282</v>
      </c>
      <c r="L251" s="66">
        <f>4.6*1000/(60*60)</f>
        <v>1.2777777777777777</v>
      </c>
      <c r="P251" s="66">
        <f>45*1000</f>
        <v>45000</v>
      </c>
      <c r="R251" s="66">
        <f>22*1000</f>
        <v>22000</v>
      </c>
      <c r="T251" s="66">
        <f>4.5*60*60</f>
        <v>16200</v>
      </c>
      <c r="X251" s="66">
        <f>9*60*60</f>
        <v>32400</v>
      </c>
      <c r="AA251" s="66">
        <v>19</v>
      </c>
      <c r="AE251" s="15" t="s">
        <v>114</v>
      </c>
      <c r="AI251" s="15" t="s">
        <v>286</v>
      </c>
      <c r="AJ251" t="s">
        <v>142</v>
      </c>
      <c r="AK251">
        <v>24</v>
      </c>
      <c r="AL251">
        <v>75</v>
      </c>
      <c r="AN251" t="s">
        <v>109</v>
      </c>
      <c r="AX251" s="66">
        <v>44</v>
      </c>
      <c r="BH251" s="20" t="s">
        <v>283</v>
      </c>
      <c r="BI251" s="20">
        <v>2020</v>
      </c>
      <c r="BL251" t="s">
        <v>289</v>
      </c>
      <c r="BM251" t="s">
        <v>288</v>
      </c>
      <c r="BO251" t="s">
        <v>290</v>
      </c>
      <c r="BT251" s="15" t="s">
        <v>24</v>
      </c>
      <c r="BU251">
        <v>1</v>
      </c>
      <c r="BY251" s="15" t="s">
        <v>291</v>
      </c>
      <c r="BZ251" s="15" t="s">
        <v>50</v>
      </c>
      <c r="CA251">
        <v>4</v>
      </c>
      <c r="CC251" s="15">
        <v>6</v>
      </c>
    </row>
    <row r="252" spans="1:81" x14ac:dyDescent="0.2">
      <c r="A252" s="20" t="s">
        <v>281</v>
      </c>
      <c r="B252" s="21" t="s">
        <v>186</v>
      </c>
      <c r="C252" s="20" t="s">
        <v>126</v>
      </c>
      <c r="D252" s="20" t="s">
        <v>282</v>
      </c>
      <c r="L252" s="66">
        <f>3.9*1000/(60*60)</f>
        <v>1.0833333333333333</v>
      </c>
      <c r="P252" s="66">
        <f>34*1000</f>
        <v>34000</v>
      </c>
      <c r="R252" s="66">
        <f>15*1000</f>
        <v>15000</v>
      </c>
      <c r="T252" s="66">
        <f>3.5*60*60</f>
        <v>12600</v>
      </c>
      <c r="X252" s="66">
        <f>8.2*60*60</f>
        <v>29519.999999999996</v>
      </c>
      <c r="AA252" s="66">
        <v>25</v>
      </c>
      <c r="AE252" s="15" t="s">
        <v>114</v>
      </c>
      <c r="AI252" s="15" t="s">
        <v>286</v>
      </c>
      <c r="AJ252" t="s">
        <v>142</v>
      </c>
      <c r="AK252">
        <v>24</v>
      </c>
      <c r="AL252">
        <v>90</v>
      </c>
      <c r="AN252" t="s">
        <v>109</v>
      </c>
      <c r="AX252" s="66">
        <v>35</v>
      </c>
      <c r="BH252" s="20" t="s">
        <v>283</v>
      </c>
      <c r="BI252" s="20">
        <v>2020</v>
      </c>
      <c r="BL252" t="s">
        <v>289</v>
      </c>
      <c r="BM252" t="s">
        <v>288</v>
      </c>
      <c r="BO252" t="s">
        <v>290</v>
      </c>
      <c r="BT252" s="15" t="s">
        <v>24</v>
      </c>
      <c r="BU252">
        <v>1</v>
      </c>
      <c r="BY252" s="15" t="s">
        <v>291</v>
      </c>
      <c r="BZ252" s="15" t="s">
        <v>50</v>
      </c>
      <c r="CA252">
        <v>4</v>
      </c>
      <c r="CC252" s="15">
        <v>6</v>
      </c>
    </row>
    <row r="253" spans="1:81" s="48" customFormat="1" x14ac:dyDescent="0.2">
      <c r="A253" s="44" t="s">
        <v>281</v>
      </c>
      <c r="B253" s="45" t="s">
        <v>186</v>
      </c>
      <c r="C253" s="44" t="s">
        <v>126</v>
      </c>
      <c r="D253" s="44" t="s">
        <v>282</v>
      </c>
      <c r="L253" s="66">
        <f>2.9*1000/(60*60)</f>
        <v>0.80555555555555558</v>
      </c>
      <c r="P253" s="66">
        <f>18*1000</f>
        <v>18000</v>
      </c>
      <c r="R253" s="66">
        <f>5*1000</f>
        <v>5000</v>
      </c>
      <c r="T253" s="66">
        <f>1.9*60*60</f>
        <v>6840</v>
      </c>
      <c r="X253" s="66">
        <f>6*60*60</f>
        <v>21600</v>
      </c>
      <c r="AA253" s="66">
        <v>32</v>
      </c>
      <c r="AE253" s="46" t="s">
        <v>114</v>
      </c>
      <c r="AI253" s="46" t="s">
        <v>286</v>
      </c>
      <c r="AJ253" s="48" t="s">
        <v>142</v>
      </c>
      <c r="AK253" s="48">
        <v>24</v>
      </c>
      <c r="AL253" s="48">
        <v>100</v>
      </c>
      <c r="AN253" s="48" t="s">
        <v>109</v>
      </c>
      <c r="AX253" s="66">
        <v>30</v>
      </c>
      <c r="BH253" s="44" t="s">
        <v>283</v>
      </c>
      <c r="BI253" s="44">
        <v>2020</v>
      </c>
      <c r="BL253" s="48" t="s">
        <v>289</v>
      </c>
      <c r="BM253" s="48" t="s">
        <v>288</v>
      </c>
      <c r="BO253" s="48" t="s">
        <v>290</v>
      </c>
      <c r="BT253" s="46" t="s">
        <v>24</v>
      </c>
      <c r="BU253" s="48">
        <v>1</v>
      </c>
      <c r="BY253" s="46" t="s">
        <v>291</v>
      </c>
      <c r="BZ253" s="46" t="s">
        <v>50</v>
      </c>
      <c r="CA253" s="48">
        <v>4</v>
      </c>
      <c r="CC253" s="46">
        <v>6</v>
      </c>
    </row>
    <row r="254" spans="1:81" x14ac:dyDescent="0.2">
      <c r="A254" s="20" t="s">
        <v>299</v>
      </c>
      <c r="B254" s="21" t="s">
        <v>298</v>
      </c>
      <c r="C254" s="20" t="s">
        <v>78</v>
      </c>
      <c r="D254" s="20" t="s">
        <v>300</v>
      </c>
      <c r="E254" t="s">
        <v>314</v>
      </c>
      <c r="AB254">
        <f>E256+E257</f>
        <v>3487</v>
      </c>
      <c r="AE254" s="15" t="s">
        <v>114</v>
      </c>
      <c r="AJ254" t="s">
        <v>309</v>
      </c>
      <c r="AK254" s="15">
        <v>26</v>
      </c>
      <c r="AL254" t="s">
        <v>307</v>
      </c>
      <c r="AM254" t="s">
        <v>308</v>
      </c>
      <c r="BH254" s="20" t="s">
        <v>306</v>
      </c>
      <c r="BI254" s="20">
        <v>2020</v>
      </c>
      <c r="BL254" s="15" t="s">
        <v>305</v>
      </c>
      <c r="BO254" s="15" t="s">
        <v>310</v>
      </c>
      <c r="BP254">
        <v>2018</v>
      </c>
      <c r="BT254" s="15" t="s">
        <v>304</v>
      </c>
      <c r="BW254" t="s">
        <v>301</v>
      </c>
      <c r="BX254" t="s">
        <v>302</v>
      </c>
      <c r="BY254" s="15" t="s">
        <v>303</v>
      </c>
      <c r="BZ254" s="15" t="s">
        <v>50</v>
      </c>
      <c r="CC254" s="15">
        <v>140</v>
      </c>
    </row>
    <row r="255" spans="1:81" x14ac:dyDescent="0.2">
      <c r="A255" s="20" t="s">
        <v>299</v>
      </c>
      <c r="B255" s="21" t="s">
        <v>298</v>
      </c>
      <c r="C255" s="20" t="s">
        <v>78</v>
      </c>
      <c r="D255" s="20" t="s">
        <v>300</v>
      </c>
      <c r="E255">
        <v>2</v>
      </c>
      <c r="F255">
        <v>2</v>
      </c>
      <c r="I255" t="s">
        <v>311</v>
      </c>
      <c r="L255">
        <v>0.33</v>
      </c>
      <c r="M255">
        <v>0.03</v>
      </c>
      <c r="N255">
        <v>39</v>
      </c>
      <c r="O255">
        <v>13</v>
      </c>
      <c r="V255">
        <f>113/60</f>
        <v>1.8833333333333333</v>
      </c>
      <c r="W255">
        <f>24/60</f>
        <v>0.4</v>
      </c>
      <c r="AE255" s="15" t="s">
        <v>114</v>
      </c>
      <c r="AH255" t="s">
        <v>39</v>
      </c>
      <c r="AJ255" t="s">
        <v>309</v>
      </c>
      <c r="AK255" s="15">
        <v>26</v>
      </c>
      <c r="AL255" t="s">
        <v>307</v>
      </c>
      <c r="AM255" t="s">
        <v>308</v>
      </c>
      <c r="BH255" s="20" t="s">
        <v>306</v>
      </c>
      <c r="BI255" s="20">
        <v>2020</v>
      </c>
      <c r="BL255" s="15" t="s">
        <v>305</v>
      </c>
      <c r="BO255" s="15" t="s">
        <v>310</v>
      </c>
      <c r="BP255">
        <v>2018</v>
      </c>
      <c r="BT255" s="15" t="s">
        <v>304</v>
      </c>
      <c r="BW255" t="s">
        <v>301</v>
      </c>
      <c r="BX255" t="s">
        <v>302</v>
      </c>
      <c r="BY255" s="15" t="s">
        <v>303</v>
      </c>
      <c r="BZ255" s="15" t="s">
        <v>50</v>
      </c>
      <c r="CC255" t="s">
        <v>312</v>
      </c>
    </row>
    <row r="256" spans="1:81" x14ac:dyDescent="0.2">
      <c r="A256" s="20" t="s">
        <v>299</v>
      </c>
      <c r="B256" s="21" t="s">
        <v>298</v>
      </c>
      <c r="C256" s="20" t="s">
        <v>78</v>
      </c>
      <c r="D256" s="20" t="s">
        <v>300</v>
      </c>
      <c r="E256">
        <f>ROUND(3287*0.997,0)</f>
        <v>3277</v>
      </c>
      <c r="F256">
        <v>99.7</v>
      </c>
      <c r="I256" t="s">
        <v>315</v>
      </c>
      <c r="AE256" s="15" t="s">
        <v>114</v>
      </c>
      <c r="AK256" s="15">
        <v>26</v>
      </c>
      <c r="AL256" t="s">
        <v>307</v>
      </c>
      <c r="AM256" t="s">
        <v>308</v>
      </c>
      <c r="BH256" s="20" t="s">
        <v>306</v>
      </c>
      <c r="BI256" s="20">
        <v>2020</v>
      </c>
      <c r="BJ256" s="16"/>
      <c r="BK256" s="16"/>
      <c r="BL256" s="15" t="s">
        <v>305</v>
      </c>
      <c r="BO256" s="15" t="s">
        <v>310</v>
      </c>
      <c r="BP256">
        <v>2018</v>
      </c>
      <c r="BT256" s="15" t="s">
        <v>304</v>
      </c>
      <c r="BW256" t="s">
        <v>301</v>
      </c>
      <c r="BX256" t="s">
        <v>302</v>
      </c>
      <c r="BY256" s="15" t="s">
        <v>303</v>
      </c>
      <c r="CC256">
        <v>140</v>
      </c>
    </row>
    <row r="257" spans="1:82" x14ac:dyDescent="0.2">
      <c r="A257" s="20" t="s">
        <v>299</v>
      </c>
      <c r="B257" s="21" t="s">
        <v>298</v>
      </c>
      <c r="C257" s="20" t="s">
        <v>78</v>
      </c>
      <c r="D257" s="20" t="s">
        <v>300</v>
      </c>
      <c r="E257">
        <f>3487-3277</f>
        <v>210</v>
      </c>
      <c r="F257" s="20">
        <f>100-F256</f>
        <v>0.29999999999999716</v>
      </c>
      <c r="I257" t="s">
        <v>313</v>
      </c>
      <c r="AE257" s="15" t="s">
        <v>114</v>
      </c>
      <c r="AK257" s="15">
        <v>26</v>
      </c>
      <c r="AL257" t="s">
        <v>307</v>
      </c>
      <c r="AM257" t="s">
        <v>308</v>
      </c>
      <c r="BH257" s="20" t="s">
        <v>306</v>
      </c>
      <c r="BI257" s="20">
        <v>2020</v>
      </c>
      <c r="BJ257" s="16"/>
      <c r="BK257" s="16"/>
      <c r="BL257" s="15" t="s">
        <v>305</v>
      </c>
      <c r="BO257" s="15" t="s">
        <v>310</v>
      </c>
      <c r="BP257">
        <v>2018</v>
      </c>
      <c r="BT257" s="15" t="s">
        <v>304</v>
      </c>
      <c r="BW257" t="s">
        <v>301</v>
      </c>
      <c r="BX257" t="s">
        <v>302</v>
      </c>
      <c r="BY257" s="15" t="s">
        <v>303</v>
      </c>
      <c r="CC257">
        <v>140</v>
      </c>
    </row>
    <row r="258" spans="1:82" s="48" customFormat="1" x14ac:dyDescent="0.2">
      <c r="A258" s="44" t="s">
        <v>299</v>
      </c>
      <c r="B258" s="45" t="s">
        <v>298</v>
      </c>
      <c r="C258" s="44" t="s">
        <v>78</v>
      </c>
      <c r="D258" s="44" t="s">
        <v>300</v>
      </c>
      <c r="E258" s="48">
        <v>1</v>
      </c>
      <c r="F258" s="48">
        <v>1</v>
      </c>
      <c r="L258" s="48">
        <f>N258/(V258*60)</f>
        <v>0.44324324324324327</v>
      </c>
      <c r="N258" s="48">
        <v>82</v>
      </c>
      <c r="V258" s="48">
        <f>185/60</f>
        <v>3.0833333333333335</v>
      </c>
      <c r="AE258" s="46" t="s">
        <v>114</v>
      </c>
      <c r="AH258" s="48" t="s">
        <v>39</v>
      </c>
      <c r="AJ258" s="48" t="s">
        <v>309</v>
      </c>
      <c r="AK258" s="46">
        <v>26</v>
      </c>
      <c r="AL258" s="48" t="s">
        <v>307</v>
      </c>
      <c r="AM258" s="48" t="s">
        <v>308</v>
      </c>
      <c r="BH258" s="44" t="s">
        <v>306</v>
      </c>
      <c r="BI258" s="44">
        <v>2020</v>
      </c>
      <c r="BL258" s="46" t="s">
        <v>305</v>
      </c>
      <c r="BO258" s="46" t="s">
        <v>310</v>
      </c>
      <c r="BP258" s="48">
        <v>2018</v>
      </c>
      <c r="BT258" s="46" t="s">
        <v>304</v>
      </c>
      <c r="BW258" s="48" t="s">
        <v>301</v>
      </c>
      <c r="BX258" s="48" t="s">
        <v>302</v>
      </c>
      <c r="BY258" s="46" t="s">
        <v>303</v>
      </c>
      <c r="CC258" s="48">
        <v>140</v>
      </c>
    </row>
    <row r="259" spans="1:82" x14ac:dyDescent="0.2">
      <c r="A259" s="20" t="s">
        <v>317</v>
      </c>
      <c r="B259" s="21" t="s">
        <v>319</v>
      </c>
      <c r="C259" s="20" t="s">
        <v>318</v>
      </c>
      <c r="D259" s="20" t="s">
        <v>316</v>
      </c>
      <c r="L259" s="66">
        <f>1.1*1000/(60*60)</f>
        <v>0.30555555555555558</v>
      </c>
      <c r="P259" s="66">
        <f>2*1000</f>
        <v>2000</v>
      </c>
      <c r="R259" s="66">
        <f>1.8*1000</f>
        <v>1800</v>
      </c>
      <c r="T259" s="66">
        <f>1.1*60*60</f>
        <v>3960</v>
      </c>
      <c r="V259" s="66">
        <f>0.1*60</f>
        <v>6</v>
      </c>
      <c r="X259" s="66">
        <f>1.5*60*60</f>
        <v>5400</v>
      </c>
      <c r="AA259" s="66">
        <v>49</v>
      </c>
      <c r="AE259" s="15" t="s">
        <v>114</v>
      </c>
      <c r="AH259" t="s">
        <v>39</v>
      </c>
      <c r="AJ259" t="s">
        <v>324</v>
      </c>
      <c r="AK259" s="15">
        <v>23</v>
      </c>
      <c r="AL259">
        <v>75</v>
      </c>
      <c r="AM259" s="59">
        <v>1.6666666666666666E-2</v>
      </c>
      <c r="AN259" t="s">
        <v>109</v>
      </c>
      <c r="BH259" s="20" t="s">
        <v>133</v>
      </c>
      <c r="BI259" s="20">
        <v>2011</v>
      </c>
      <c r="BL259" s="15" t="s">
        <v>320</v>
      </c>
      <c r="BM259" t="s">
        <v>321</v>
      </c>
      <c r="BP259">
        <v>2008</v>
      </c>
      <c r="BT259" s="15" t="s">
        <v>24</v>
      </c>
      <c r="BY259" s="15" t="s">
        <v>322</v>
      </c>
      <c r="CA259">
        <v>1</v>
      </c>
      <c r="CC259" s="15">
        <v>95</v>
      </c>
      <c r="CD259" t="s">
        <v>323</v>
      </c>
    </row>
    <row r="260" spans="1:82" x14ac:dyDescent="0.2">
      <c r="A260" s="20" t="s">
        <v>317</v>
      </c>
      <c r="B260" s="21" t="s">
        <v>319</v>
      </c>
      <c r="C260" s="20" t="s">
        <v>318</v>
      </c>
      <c r="D260" s="20" t="s">
        <v>316</v>
      </c>
      <c r="L260" s="66">
        <f>1.1*1000/(60*60)</f>
        <v>0.30555555555555558</v>
      </c>
      <c r="P260" s="66">
        <f>1.9*1000</f>
        <v>1900</v>
      </c>
      <c r="R260" s="66">
        <f>0.5*1000</f>
        <v>500</v>
      </c>
      <c r="T260" s="66">
        <f>0.7*60*60</f>
        <v>2520</v>
      </c>
      <c r="V260" s="66">
        <f>0.1*60</f>
        <v>6</v>
      </c>
      <c r="X260" s="66">
        <f>1.5*60*60</f>
        <v>5400</v>
      </c>
      <c r="AA260" s="66">
        <v>49</v>
      </c>
      <c r="AE260" s="15" t="s">
        <v>114</v>
      </c>
      <c r="AH260" t="s">
        <v>40</v>
      </c>
      <c r="AJ260" t="s">
        <v>324</v>
      </c>
      <c r="AK260" s="15">
        <v>23</v>
      </c>
      <c r="AL260">
        <v>75</v>
      </c>
      <c r="AM260" s="59">
        <v>1.6666666666666666E-2</v>
      </c>
      <c r="AN260" t="s">
        <v>109</v>
      </c>
      <c r="BH260" s="20" t="s">
        <v>133</v>
      </c>
      <c r="BI260" s="20">
        <v>2011</v>
      </c>
      <c r="BL260" s="15" t="s">
        <v>320</v>
      </c>
      <c r="BM260" t="s">
        <v>321</v>
      </c>
      <c r="BP260">
        <v>2008</v>
      </c>
      <c r="BT260" s="15" t="s">
        <v>24</v>
      </c>
      <c r="BY260" s="15" t="s">
        <v>322</v>
      </c>
      <c r="CA260">
        <v>1</v>
      </c>
      <c r="CC260" s="15">
        <v>95</v>
      </c>
      <c r="CD260" t="s">
        <v>323</v>
      </c>
    </row>
    <row r="261" spans="1:82" x14ac:dyDescent="0.2">
      <c r="A261" s="20" t="s">
        <v>317</v>
      </c>
      <c r="B261" s="21" t="s">
        <v>319</v>
      </c>
      <c r="C261" s="20" t="s">
        <v>318</v>
      </c>
      <c r="D261" s="20" t="s">
        <v>316</v>
      </c>
      <c r="L261" s="66">
        <f>1.6*1000/(60*60)</f>
        <v>0.44444444444444442</v>
      </c>
      <c r="P261" s="66">
        <f>7.9*1000</f>
        <v>7900</v>
      </c>
      <c r="R261" s="66">
        <f>4*1000</f>
        <v>4000</v>
      </c>
      <c r="T261" s="66">
        <f>2.4*60*60</f>
        <v>8640</v>
      </c>
      <c r="V261" s="66">
        <f>1.4*60</f>
        <v>84</v>
      </c>
      <c r="X261" s="66">
        <f>4.5*60*60</f>
        <v>16200</v>
      </c>
      <c r="AA261" s="66">
        <v>25</v>
      </c>
      <c r="AE261" s="15" t="s">
        <v>114</v>
      </c>
      <c r="AH261" t="s">
        <v>39</v>
      </c>
      <c r="AJ261" t="s">
        <v>324</v>
      </c>
      <c r="AK261" s="15">
        <v>23</v>
      </c>
      <c r="AL261">
        <v>75</v>
      </c>
      <c r="AM261" s="59">
        <v>1.6666666666666666E-2</v>
      </c>
      <c r="AN261" t="s">
        <v>109</v>
      </c>
      <c r="BH261" s="20" t="s">
        <v>133</v>
      </c>
      <c r="BI261" s="20">
        <v>2011</v>
      </c>
      <c r="BL261" s="15" t="s">
        <v>320</v>
      </c>
      <c r="BM261" t="s">
        <v>321</v>
      </c>
      <c r="BP261">
        <v>2008</v>
      </c>
      <c r="BT261" s="15" t="s">
        <v>24</v>
      </c>
      <c r="BY261" s="15" t="s">
        <v>322</v>
      </c>
      <c r="CA261">
        <v>1</v>
      </c>
      <c r="CC261" s="15">
        <v>95</v>
      </c>
      <c r="CD261" t="s">
        <v>323</v>
      </c>
    </row>
    <row r="262" spans="1:82" x14ac:dyDescent="0.2">
      <c r="A262" s="20" t="s">
        <v>317</v>
      </c>
      <c r="B262" s="21" t="s">
        <v>319</v>
      </c>
      <c r="C262" s="20" t="s">
        <v>318</v>
      </c>
      <c r="D262" s="20" t="s">
        <v>316</v>
      </c>
      <c r="L262" s="66">
        <f>1.5*1000/(60*60)</f>
        <v>0.41666666666666669</v>
      </c>
      <c r="P262" s="66">
        <f>8*1000</f>
        <v>8000</v>
      </c>
      <c r="R262" s="66">
        <f>3*1000</f>
        <v>3000</v>
      </c>
      <c r="T262" s="66">
        <f>2*60*60</f>
        <v>7200</v>
      </c>
      <c r="V262" s="66">
        <f>0.4*60</f>
        <v>24</v>
      </c>
      <c r="X262" s="66">
        <f>4.6*60*60</f>
        <v>16560</v>
      </c>
      <c r="AA262" s="66">
        <v>50</v>
      </c>
      <c r="AE262" s="15" t="s">
        <v>114</v>
      </c>
      <c r="AH262" t="s">
        <v>40</v>
      </c>
      <c r="AJ262" t="s">
        <v>324</v>
      </c>
      <c r="AK262" s="15">
        <v>23</v>
      </c>
      <c r="AL262">
        <v>75</v>
      </c>
      <c r="AM262" s="59">
        <v>1.6666666666666666E-2</v>
      </c>
      <c r="AN262" t="s">
        <v>109</v>
      </c>
      <c r="BH262" s="20" t="s">
        <v>133</v>
      </c>
      <c r="BI262" s="20">
        <v>2011</v>
      </c>
      <c r="BL262" s="15" t="s">
        <v>320</v>
      </c>
      <c r="BM262" t="s">
        <v>321</v>
      </c>
      <c r="BP262">
        <v>2008</v>
      </c>
      <c r="BT262" s="15" t="s">
        <v>24</v>
      </c>
      <c r="BY262" s="15" t="s">
        <v>322</v>
      </c>
      <c r="CA262">
        <v>1</v>
      </c>
      <c r="CC262" s="15">
        <v>95</v>
      </c>
      <c r="CD262" t="s">
        <v>323</v>
      </c>
    </row>
    <row r="263" spans="1:82" x14ac:dyDescent="0.2">
      <c r="A263" s="20" t="s">
        <v>317</v>
      </c>
      <c r="B263" s="21" t="s">
        <v>319</v>
      </c>
      <c r="C263" s="20" t="s">
        <v>318</v>
      </c>
      <c r="D263" s="20" t="s">
        <v>316</v>
      </c>
      <c r="L263" s="66">
        <f>1*1000/(60*60)</f>
        <v>0.27777777777777779</v>
      </c>
      <c r="P263" s="66">
        <f>3.5*1000</f>
        <v>3500</v>
      </c>
      <c r="R263" s="66">
        <f>1.9*1000</f>
        <v>1900</v>
      </c>
      <c r="T263" s="66">
        <f>2*60*60</f>
        <v>7200</v>
      </c>
      <c r="V263" s="66">
        <f>0.5*60</f>
        <v>30</v>
      </c>
      <c r="X263" s="66">
        <f>3.6*60*60</f>
        <v>12960</v>
      </c>
      <c r="AA263" s="66">
        <v>50</v>
      </c>
      <c r="AE263" s="15" t="s">
        <v>114</v>
      </c>
      <c r="AH263" t="s">
        <v>39</v>
      </c>
      <c r="AJ263" t="s">
        <v>324</v>
      </c>
      <c r="AK263" s="15">
        <v>23</v>
      </c>
      <c r="AL263">
        <v>75</v>
      </c>
      <c r="AM263" s="59">
        <v>1.6666666666666666E-2</v>
      </c>
      <c r="AN263" t="s">
        <v>109</v>
      </c>
      <c r="BH263" s="20" t="s">
        <v>133</v>
      </c>
      <c r="BI263" s="20">
        <v>2011</v>
      </c>
      <c r="BL263" s="15" t="s">
        <v>320</v>
      </c>
      <c r="BM263" t="s">
        <v>321</v>
      </c>
      <c r="BP263">
        <v>2008</v>
      </c>
      <c r="BT263" s="15" t="s">
        <v>24</v>
      </c>
      <c r="BY263" s="15" t="s">
        <v>322</v>
      </c>
      <c r="CA263">
        <v>1</v>
      </c>
      <c r="CC263" s="15">
        <v>95</v>
      </c>
      <c r="CD263" t="s">
        <v>323</v>
      </c>
    </row>
    <row r="264" spans="1:82" x14ac:dyDescent="0.2">
      <c r="A264" s="20" t="s">
        <v>317</v>
      </c>
      <c r="B264" s="21" t="s">
        <v>319</v>
      </c>
      <c r="C264" s="20" t="s">
        <v>318</v>
      </c>
      <c r="D264" s="20" t="s">
        <v>316</v>
      </c>
      <c r="L264" s="66">
        <f>1.5*1000/(60*60)</f>
        <v>0.41666666666666669</v>
      </c>
      <c r="P264" s="66">
        <f>7*1000</f>
        <v>7000</v>
      </c>
      <c r="R264" s="66">
        <f>3*1000</f>
        <v>3000</v>
      </c>
      <c r="T264" s="66">
        <f>1.8*60*60</f>
        <v>6480</v>
      </c>
      <c r="V264" s="66">
        <f>0.1*60</f>
        <v>6</v>
      </c>
      <c r="X264" s="66">
        <f>4*60*60</f>
        <v>14400</v>
      </c>
      <c r="AA264" s="66">
        <v>50</v>
      </c>
      <c r="AE264" s="15" t="s">
        <v>114</v>
      </c>
      <c r="AH264" t="s">
        <v>40</v>
      </c>
      <c r="AJ264" t="s">
        <v>324</v>
      </c>
      <c r="AK264" s="15">
        <v>23</v>
      </c>
      <c r="AL264">
        <v>75</v>
      </c>
      <c r="AM264" s="59">
        <v>1.6666666666666666E-2</v>
      </c>
      <c r="AN264" t="s">
        <v>109</v>
      </c>
      <c r="BH264" s="20" t="s">
        <v>133</v>
      </c>
      <c r="BI264" s="20">
        <v>2011</v>
      </c>
      <c r="BL264" s="15" t="s">
        <v>320</v>
      </c>
      <c r="BM264" t="s">
        <v>321</v>
      </c>
      <c r="BP264">
        <v>2008</v>
      </c>
      <c r="BT264" s="15" t="s">
        <v>24</v>
      </c>
      <c r="BY264" s="15" t="s">
        <v>322</v>
      </c>
      <c r="CA264">
        <v>1</v>
      </c>
      <c r="CC264" s="15">
        <v>95</v>
      </c>
      <c r="CD264" t="s">
        <v>323</v>
      </c>
    </row>
    <row r="265" spans="1:82" x14ac:dyDescent="0.2">
      <c r="A265" s="20" t="s">
        <v>317</v>
      </c>
      <c r="B265" s="21" t="s">
        <v>319</v>
      </c>
      <c r="C265" s="20" t="s">
        <v>318</v>
      </c>
      <c r="D265" s="20" t="s">
        <v>316</v>
      </c>
      <c r="L265" s="66">
        <f>1.25*1000/(60*60)</f>
        <v>0.34722222222222221</v>
      </c>
      <c r="P265" s="66">
        <f>5*1000</f>
        <v>5000</v>
      </c>
      <c r="R265" s="66">
        <f>3*1000</f>
        <v>3000</v>
      </c>
      <c r="T265" s="66">
        <f>2*60*60</f>
        <v>7200</v>
      </c>
      <c r="V265" s="66">
        <f>0.3*60</f>
        <v>18</v>
      </c>
      <c r="X265" s="66">
        <f>3.6*60*60</f>
        <v>12960</v>
      </c>
      <c r="AA265" s="66">
        <v>30</v>
      </c>
      <c r="AE265" s="15" t="s">
        <v>114</v>
      </c>
      <c r="AH265" t="s">
        <v>39</v>
      </c>
      <c r="AJ265" t="s">
        <v>324</v>
      </c>
      <c r="AK265" s="15">
        <v>23</v>
      </c>
      <c r="AL265">
        <v>75</v>
      </c>
      <c r="AM265" s="59">
        <v>1.6666666666666666E-2</v>
      </c>
      <c r="AN265" t="s">
        <v>109</v>
      </c>
      <c r="BH265" s="20" t="s">
        <v>133</v>
      </c>
      <c r="BI265" s="20">
        <v>2011</v>
      </c>
      <c r="BL265" s="15" t="s">
        <v>320</v>
      </c>
      <c r="BM265" t="s">
        <v>321</v>
      </c>
      <c r="BP265">
        <v>2008</v>
      </c>
      <c r="BT265" s="15" t="s">
        <v>24</v>
      </c>
      <c r="BY265" s="15" t="s">
        <v>322</v>
      </c>
      <c r="CA265">
        <v>1</v>
      </c>
      <c r="CC265" s="15">
        <v>95</v>
      </c>
      <c r="CD265" t="s">
        <v>323</v>
      </c>
    </row>
    <row r="266" spans="1:82" x14ac:dyDescent="0.2">
      <c r="A266" s="20" t="s">
        <v>317</v>
      </c>
      <c r="B266" s="21" t="s">
        <v>319</v>
      </c>
      <c r="C266" s="20" t="s">
        <v>318</v>
      </c>
      <c r="D266" s="20" t="s">
        <v>316</v>
      </c>
      <c r="L266" s="66">
        <f>0.8*1000/(60*60)</f>
        <v>0.22222222222222221</v>
      </c>
      <c r="P266" s="66">
        <f>2.8*1000</f>
        <v>2800</v>
      </c>
      <c r="R266" s="66">
        <f>0.7*1000</f>
        <v>700</v>
      </c>
      <c r="T266" s="66">
        <f>0.7*60*60</f>
        <v>2520</v>
      </c>
      <c r="V266" s="66">
        <f>0.05*60</f>
        <v>3</v>
      </c>
      <c r="X266" s="66">
        <f>2.1*60*60</f>
        <v>7560</v>
      </c>
      <c r="AA266" s="66">
        <v>110</v>
      </c>
      <c r="AE266" s="15" t="s">
        <v>114</v>
      </c>
      <c r="AH266" t="s">
        <v>40</v>
      </c>
      <c r="AJ266" t="s">
        <v>324</v>
      </c>
      <c r="AK266" s="15">
        <v>23</v>
      </c>
      <c r="AL266">
        <v>75</v>
      </c>
      <c r="AM266" s="59">
        <v>1.6666666666666666E-2</v>
      </c>
      <c r="AN266" t="s">
        <v>109</v>
      </c>
      <c r="BH266" s="20" t="s">
        <v>133</v>
      </c>
      <c r="BI266" s="20">
        <v>2011</v>
      </c>
      <c r="BL266" s="15" t="s">
        <v>320</v>
      </c>
      <c r="BM266" t="s">
        <v>321</v>
      </c>
      <c r="BP266">
        <v>2008</v>
      </c>
      <c r="BT266" s="15" t="s">
        <v>24</v>
      </c>
      <c r="BY266" s="15" t="s">
        <v>322</v>
      </c>
      <c r="CA266">
        <v>1</v>
      </c>
      <c r="CC266" s="15">
        <v>95</v>
      </c>
      <c r="CD266" t="s">
        <v>323</v>
      </c>
    </row>
    <row r="267" spans="1:82" x14ac:dyDescent="0.2">
      <c r="A267" s="20" t="s">
        <v>317</v>
      </c>
      <c r="B267" s="21" t="s">
        <v>319</v>
      </c>
      <c r="C267" s="20" t="s">
        <v>318</v>
      </c>
      <c r="D267" s="20" t="s">
        <v>316</v>
      </c>
      <c r="L267" s="66">
        <f>1.1*1000/(60*60)</f>
        <v>0.30555555555555558</v>
      </c>
      <c r="P267" s="66">
        <f>3.9*1000</f>
        <v>3900</v>
      </c>
      <c r="R267" s="66">
        <f>1.1*1000</f>
        <v>1100</v>
      </c>
      <c r="T267" s="66">
        <f>1.5*60*60</f>
        <v>5400</v>
      </c>
      <c r="V267" s="66">
        <f>0.2*60</f>
        <v>12</v>
      </c>
      <c r="X267" s="66">
        <f>3*60*60</f>
        <v>10800</v>
      </c>
      <c r="AA267" s="66">
        <v>75</v>
      </c>
      <c r="AE267" s="15" t="s">
        <v>114</v>
      </c>
      <c r="AH267" t="s">
        <v>39</v>
      </c>
      <c r="AJ267" t="s">
        <v>324</v>
      </c>
      <c r="AK267" s="15">
        <v>23</v>
      </c>
      <c r="AL267">
        <v>75</v>
      </c>
      <c r="AM267" s="59">
        <v>1.6666666666666666E-2</v>
      </c>
      <c r="AN267" t="s">
        <v>109</v>
      </c>
      <c r="BH267" s="20" t="s">
        <v>133</v>
      </c>
      <c r="BI267" s="20">
        <v>2011</v>
      </c>
      <c r="BL267" s="15" t="s">
        <v>320</v>
      </c>
      <c r="BM267" t="s">
        <v>321</v>
      </c>
      <c r="BP267">
        <v>2008</v>
      </c>
      <c r="BT267" s="15" t="s">
        <v>24</v>
      </c>
      <c r="BY267" s="15" t="s">
        <v>322</v>
      </c>
      <c r="CA267">
        <v>1</v>
      </c>
      <c r="CC267" s="15">
        <v>95</v>
      </c>
      <c r="CD267" t="s">
        <v>323</v>
      </c>
    </row>
    <row r="268" spans="1:82" x14ac:dyDescent="0.2">
      <c r="A268" s="20" t="s">
        <v>317</v>
      </c>
      <c r="B268" s="21" t="s">
        <v>319</v>
      </c>
      <c r="C268" s="20" t="s">
        <v>318</v>
      </c>
      <c r="D268" s="20" t="s">
        <v>316</v>
      </c>
      <c r="L268" s="66">
        <f>0.8*1000/(60*60)</f>
        <v>0.22222222222222221</v>
      </c>
      <c r="P268" s="66">
        <f>2.9*1000</f>
        <v>2900</v>
      </c>
      <c r="R268" s="66">
        <f>1*1000</f>
        <v>1000</v>
      </c>
      <c r="T268" s="66">
        <f>1*60*60</f>
        <v>3600</v>
      </c>
      <c r="V268" s="66">
        <f>0.05*60</f>
        <v>3</v>
      </c>
      <c r="X268" s="66">
        <f>3*60*60</f>
        <v>10800</v>
      </c>
      <c r="AA268" s="66">
        <v>160</v>
      </c>
      <c r="AE268" s="15" t="s">
        <v>114</v>
      </c>
      <c r="AH268" t="s">
        <v>40</v>
      </c>
      <c r="AJ268" t="s">
        <v>324</v>
      </c>
      <c r="AK268" s="15">
        <v>23</v>
      </c>
      <c r="AL268">
        <v>75</v>
      </c>
      <c r="AM268" s="59">
        <v>1.6666666666666666E-2</v>
      </c>
      <c r="AN268" t="s">
        <v>109</v>
      </c>
      <c r="BH268" s="20" t="s">
        <v>133</v>
      </c>
      <c r="BI268" s="20">
        <v>2011</v>
      </c>
      <c r="BL268" s="15" t="s">
        <v>320</v>
      </c>
      <c r="BM268" t="s">
        <v>321</v>
      </c>
      <c r="BP268">
        <v>2008</v>
      </c>
      <c r="BT268" s="15" t="s">
        <v>24</v>
      </c>
      <c r="BY268" s="15" t="s">
        <v>322</v>
      </c>
      <c r="CA268">
        <v>1</v>
      </c>
      <c r="CC268" s="15">
        <v>95</v>
      </c>
      <c r="CD268" t="s">
        <v>323</v>
      </c>
    </row>
    <row r="269" spans="1:82" x14ac:dyDescent="0.2">
      <c r="A269" s="20" t="s">
        <v>317</v>
      </c>
      <c r="B269" s="21" t="s">
        <v>319</v>
      </c>
      <c r="C269" s="20" t="s">
        <v>318</v>
      </c>
      <c r="D269" s="20" t="s">
        <v>316</v>
      </c>
      <c r="L269" s="66">
        <f>0.4*1000/(60*60)</f>
        <v>0.1111111111111111</v>
      </c>
      <c r="P269" s="66">
        <f>0.8*1000</f>
        <v>800</v>
      </c>
      <c r="R269" s="66">
        <f>0.2*1000</f>
        <v>200</v>
      </c>
      <c r="T269" s="66">
        <f>0.7*60*60</f>
        <v>2520</v>
      </c>
      <c r="V269" s="66">
        <v>3</v>
      </c>
      <c r="X269" s="66">
        <f>1.8*60*60</f>
        <v>6480</v>
      </c>
      <c r="AA269" s="66">
        <v>110</v>
      </c>
      <c r="AE269" s="15" t="s">
        <v>114</v>
      </c>
      <c r="AH269" t="s">
        <v>39</v>
      </c>
      <c r="AJ269" t="s">
        <v>324</v>
      </c>
      <c r="AK269" s="15">
        <v>23</v>
      </c>
      <c r="AL269">
        <v>75</v>
      </c>
      <c r="AM269" s="59">
        <v>1.6666666666666666E-2</v>
      </c>
      <c r="AN269" t="s">
        <v>109</v>
      </c>
      <c r="BH269" s="20" t="s">
        <v>133</v>
      </c>
      <c r="BI269" s="20">
        <v>2011</v>
      </c>
      <c r="BL269" s="15" t="s">
        <v>320</v>
      </c>
      <c r="BM269" t="s">
        <v>321</v>
      </c>
      <c r="BP269">
        <v>2008</v>
      </c>
      <c r="BT269" s="15" t="s">
        <v>24</v>
      </c>
      <c r="BY269" s="15" t="s">
        <v>322</v>
      </c>
      <c r="CA269">
        <v>1</v>
      </c>
      <c r="CC269" s="15">
        <v>95</v>
      </c>
      <c r="CD269" t="s">
        <v>323</v>
      </c>
    </row>
    <row r="270" spans="1:82" x14ac:dyDescent="0.2">
      <c r="A270" s="20" t="s">
        <v>317</v>
      </c>
      <c r="B270" s="21" t="s">
        <v>319</v>
      </c>
      <c r="C270" s="20" t="s">
        <v>318</v>
      </c>
      <c r="D270" s="20" t="s">
        <v>316</v>
      </c>
      <c r="L270" s="66">
        <f>0.9*1000/(60*60)</f>
        <v>0.25</v>
      </c>
      <c r="P270" s="66">
        <f>3*1000</f>
        <v>3000</v>
      </c>
      <c r="R270" s="66">
        <f>0.5*1000</f>
        <v>500</v>
      </c>
      <c r="T270" s="66">
        <f>0.8*60*60</f>
        <v>2880</v>
      </c>
      <c r="V270" s="66">
        <f>0.1*60</f>
        <v>6</v>
      </c>
      <c r="X270" s="66">
        <f>3.5*60*60</f>
        <v>12600</v>
      </c>
      <c r="AA270" s="66">
        <v>120</v>
      </c>
      <c r="AE270" s="15" t="s">
        <v>114</v>
      </c>
      <c r="AH270" t="s">
        <v>40</v>
      </c>
      <c r="AJ270" t="s">
        <v>324</v>
      </c>
      <c r="AK270" s="15">
        <v>23</v>
      </c>
      <c r="AL270">
        <v>75</v>
      </c>
      <c r="AM270" s="59">
        <v>1.6666666666666666E-2</v>
      </c>
      <c r="AN270" t="s">
        <v>109</v>
      </c>
      <c r="BH270" s="20" t="s">
        <v>133</v>
      </c>
      <c r="BI270" s="20">
        <v>2011</v>
      </c>
      <c r="BL270" s="15" t="s">
        <v>320</v>
      </c>
      <c r="BM270" t="s">
        <v>321</v>
      </c>
      <c r="BP270">
        <v>2008</v>
      </c>
      <c r="BT270" s="15" t="s">
        <v>24</v>
      </c>
      <c r="BY270" s="15" t="s">
        <v>322</v>
      </c>
      <c r="CA270">
        <v>1</v>
      </c>
      <c r="CC270" s="15">
        <v>95</v>
      </c>
      <c r="CD270" t="s">
        <v>323</v>
      </c>
    </row>
    <row r="271" spans="1:82" x14ac:dyDescent="0.2">
      <c r="A271" s="20" t="s">
        <v>317</v>
      </c>
      <c r="B271" s="21" t="s">
        <v>319</v>
      </c>
      <c r="C271" s="20" t="s">
        <v>318</v>
      </c>
      <c r="D271" s="20" t="s">
        <v>316</v>
      </c>
      <c r="L271" s="66">
        <f>1.2*1000/(60*60)</f>
        <v>0.33333333333333331</v>
      </c>
      <c r="P271" s="66">
        <f>3*1000</f>
        <v>3000</v>
      </c>
      <c r="R271" s="66">
        <f>1.8*1000</f>
        <v>1800</v>
      </c>
      <c r="T271" s="66">
        <f>1.5*60*60</f>
        <v>5400</v>
      </c>
      <c r="V271" s="66">
        <f>0.1*60</f>
        <v>6</v>
      </c>
      <c r="X271" s="66">
        <f>2.5*60*60</f>
        <v>9000</v>
      </c>
      <c r="AA271" s="66">
        <v>50</v>
      </c>
      <c r="AE271" s="15" t="s">
        <v>114</v>
      </c>
      <c r="AH271" t="s">
        <v>39</v>
      </c>
      <c r="AJ271" t="s">
        <v>324</v>
      </c>
      <c r="AK271" s="15">
        <v>23</v>
      </c>
      <c r="AL271">
        <v>75</v>
      </c>
      <c r="AM271" s="59">
        <v>1.6666666666666666E-2</v>
      </c>
      <c r="AN271" t="s">
        <v>109</v>
      </c>
      <c r="BH271" s="20" t="s">
        <v>133</v>
      </c>
      <c r="BI271" s="20">
        <v>2011</v>
      </c>
      <c r="BL271" s="15" t="s">
        <v>320</v>
      </c>
      <c r="BM271" t="s">
        <v>321</v>
      </c>
      <c r="BP271">
        <v>2008</v>
      </c>
      <c r="BT271" s="15" t="s">
        <v>24</v>
      </c>
      <c r="BY271" s="15" t="s">
        <v>322</v>
      </c>
      <c r="CA271">
        <v>1</v>
      </c>
      <c r="CC271" s="15">
        <v>95</v>
      </c>
      <c r="CD271" t="s">
        <v>323</v>
      </c>
    </row>
    <row r="272" spans="1:82" x14ac:dyDescent="0.2">
      <c r="A272" s="20" t="s">
        <v>317</v>
      </c>
      <c r="B272" s="21" t="s">
        <v>319</v>
      </c>
      <c r="C272" s="20" t="s">
        <v>318</v>
      </c>
      <c r="D272" s="20" t="s">
        <v>316</v>
      </c>
      <c r="L272" s="66">
        <f>0.8*1000/(60*60)</f>
        <v>0.22222222222222221</v>
      </c>
      <c r="P272" s="66">
        <f>3.5*1000</f>
        <v>3500</v>
      </c>
      <c r="R272" s="66">
        <f>0.5*1000</f>
        <v>500</v>
      </c>
      <c r="T272" s="66">
        <f>1*60*60</f>
        <v>3600</v>
      </c>
      <c r="V272" s="66">
        <v>3</v>
      </c>
      <c r="X272" s="66">
        <f>3.8*60*60</f>
        <v>13680</v>
      </c>
      <c r="AA272" s="66">
        <v>230</v>
      </c>
      <c r="AE272" s="15" t="s">
        <v>114</v>
      </c>
      <c r="AH272" t="s">
        <v>40</v>
      </c>
      <c r="AJ272" t="s">
        <v>324</v>
      </c>
      <c r="AK272" s="15">
        <v>23</v>
      </c>
      <c r="AL272">
        <v>75</v>
      </c>
      <c r="AM272" s="59">
        <v>1.6666666666666666E-2</v>
      </c>
      <c r="AN272" t="s">
        <v>109</v>
      </c>
      <c r="BH272" s="20" t="s">
        <v>133</v>
      </c>
      <c r="BI272" s="20">
        <v>2011</v>
      </c>
      <c r="BL272" s="15" t="s">
        <v>320</v>
      </c>
      <c r="BM272" t="s">
        <v>321</v>
      </c>
      <c r="BP272">
        <v>2008</v>
      </c>
      <c r="BT272" s="15" t="s">
        <v>24</v>
      </c>
      <c r="BY272" s="15" t="s">
        <v>322</v>
      </c>
      <c r="CA272">
        <v>1</v>
      </c>
      <c r="CC272" s="15">
        <v>95</v>
      </c>
      <c r="CD272" t="s">
        <v>323</v>
      </c>
    </row>
    <row r="273" spans="1:82" x14ac:dyDescent="0.2">
      <c r="A273" s="20" t="s">
        <v>317</v>
      </c>
      <c r="B273" s="21" t="s">
        <v>319</v>
      </c>
      <c r="C273" s="20" t="s">
        <v>318</v>
      </c>
      <c r="D273" s="20" t="s">
        <v>316</v>
      </c>
      <c r="L273" s="66">
        <f>1.3*1000/(60*60)</f>
        <v>0.3611111111111111</v>
      </c>
      <c r="P273" s="66">
        <f>3.4*1000</f>
        <v>3400</v>
      </c>
      <c r="R273" s="66">
        <f>1.1*1000</f>
        <v>1100</v>
      </c>
      <c r="T273" s="66">
        <f>1.1*60*60</f>
        <v>3960</v>
      </c>
      <c r="V273" s="66">
        <v>3</v>
      </c>
      <c r="X273" s="66">
        <f>2.5*60*60</f>
        <v>9000</v>
      </c>
      <c r="AA273" s="66">
        <v>120</v>
      </c>
      <c r="AE273" s="15" t="s">
        <v>114</v>
      </c>
      <c r="AH273" t="s">
        <v>39</v>
      </c>
      <c r="AJ273" t="s">
        <v>324</v>
      </c>
      <c r="AK273" s="15">
        <v>23</v>
      </c>
      <c r="AL273">
        <v>75</v>
      </c>
      <c r="AM273" s="59">
        <v>1.6666666666666666E-2</v>
      </c>
      <c r="AN273" t="s">
        <v>109</v>
      </c>
      <c r="BH273" s="20" t="s">
        <v>133</v>
      </c>
      <c r="BI273" s="20">
        <v>2011</v>
      </c>
      <c r="BL273" s="15" t="s">
        <v>320</v>
      </c>
      <c r="BM273" t="s">
        <v>321</v>
      </c>
      <c r="BP273">
        <v>2008</v>
      </c>
      <c r="BT273" s="15" t="s">
        <v>24</v>
      </c>
      <c r="BY273" s="15" t="s">
        <v>322</v>
      </c>
      <c r="CA273">
        <v>1</v>
      </c>
      <c r="CC273" s="15">
        <v>95</v>
      </c>
      <c r="CD273" t="s">
        <v>323</v>
      </c>
    </row>
    <row r="274" spans="1:82" x14ac:dyDescent="0.2">
      <c r="A274" s="20" t="s">
        <v>317</v>
      </c>
      <c r="B274" s="21" t="s">
        <v>319</v>
      </c>
      <c r="C274" s="20" t="s">
        <v>318</v>
      </c>
      <c r="D274" s="20" t="s">
        <v>316</v>
      </c>
      <c r="L274" s="66">
        <f>0.75*1000/(60*60)</f>
        <v>0.20833333333333334</v>
      </c>
      <c r="P274" s="66">
        <f>1.5*1000</f>
        <v>1500</v>
      </c>
      <c r="R274" s="66">
        <f>0.2*1000</f>
        <v>200</v>
      </c>
      <c r="T274" s="66">
        <f>0.3*60*60</f>
        <v>1080</v>
      </c>
      <c r="V274" s="66">
        <v>6</v>
      </c>
      <c r="X274" s="66">
        <f>1.5*60*60</f>
        <v>5400</v>
      </c>
      <c r="AA274" s="66">
        <v>100</v>
      </c>
      <c r="AE274" s="15" t="s">
        <v>114</v>
      </c>
      <c r="AH274" t="s">
        <v>40</v>
      </c>
      <c r="AJ274" t="s">
        <v>324</v>
      </c>
      <c r="AK274" s="15">
        <v>23</v>
      </c>
      <c r="AL274">
        <v>75</v>
      </c>
      <c r="AM274" s="59">
        <v>1.6666666666666666E-2</v>
      </c>
      <c r="AN274" t="s">
        <v>109</v>
      </c>
      <c r="BH274" s="20" t="s">
        <v>133</v>
      </c>
      <c r="BI274" s="20">
        <v>2011</v>
      </c>
      <c r="BL274" s="15" t="s">
        <v>320</v>
      </c>
      <c r="BM274" t="s">
        <v>321</v>
      </c>
      <c r="BP274">
        <v>2008</v>
      </c>
      <c r="BT274" s="15" t="s">
        <v>24</v>
      </c>
      <c r="BY274" s="15" t="s">
        <v>322</v>
      </c>
      <c r="CA274">
        <v>1</v>
      </c>
      <c r="CC274" s="15">
        <v>95</v>
      </c>
      <c r="CD274" t="s">
        <v>323</v>
      </c>
    </row>
    <row r="275" spans="1:82" x14ac:dyDescent="0.2">
      <c r="A275" s="20" t="s">
        <v>317</v>
      </c>
      <c r="B275" s="21" t="s">
        <v>319</v>
      </c>
      <c r="C275" s="20" t="s">
        <v>318</v>
      </c>
      <c r="D275" s="20" t="s">
        <v>316</v>
      </c>
      <c r="L275" s="66">
        <f>0.4*1000/(60*60)</f>
        <v>0.1111111111111111</v>
      </c>
      <c r="P275" s="66">
        <f>1*1000</f>
        <v>1000</v>
      </c>
      <c r="R275" s="66">
        <f>0.2*1000</f>
        <v>200</v>
      </c>
      <c r="T275" s="66">
        <f>0.7*60*60</f>
        <v>2520</v>
      </c>
      <c r="V275" s="66">
        <v>3</v>
      </c>
      <c r="X275" s="66">
        <f>2*60*60</f>
        <v>7200</v>
      </c>
      <c r="AA275" s="66">
        <v>170</v>
      </c>
      <c r="AE275" s="15" t="s">
        <v>114</v>
      </c>
      <c r="AH275" t="s">
        <v>39</v>
      </c>
      <c r="AJ275" t="s">
        <v>324</v>
      </c>
      <c r="AK275" s="15">
        <v>23</v>
      </c>
      <c r="AL275">
        <v>75</v>
      </c>
      <c r="AM275" s="59">
        <v>1.6666666666666666E-2</v>
      </c>
      <c r="AN275" t="s">
        <v>109</v>
      </c>
      <c r="BH275" s="20" t="s">
        <v>133</v>
      </c>
      <c r="BI275" s="20">
        <v>2011</v>
      </c>
      <c r="BL275" s="15" t="s">
        <v>320</v>
      </c>
      <c r="BM275" t="s">
        <v>321</v>
      </c>
      <c r="BP275">
        <v>2008</v>
      </c>
      <c r="BT275" s="15" t="s">
        <v>24</v>
      </c>
      <c r="BY275" s="15" t="s">
        <v>322</v>
      </c>
      <c r="CA275">
        <v>1</v>
      </c>
      <c r="CC275" s="15">
        <v>95</v>
      </c>
      <c r="CD275" t="s">
        <v>323</v>
      </c>
    </row>
    <row r="276" spans="1:82" x14ac:dyDescent="0.2">
      <c r="A276" s="20" t="s">
        <v>317</v>
      </c>
      <c r="B276" s="21" t="s">
        <v>319</v>
      </c>
      <c r="C276" s="20" t="s">
        <v>318</v>
      </c>
      <c r="D276" s="20" t="s">
        <v>316</v>
      </c>
      <c r="L276" s="66">
        <f>0.5*1000/(60*60)</f>
        <v>0.1388888888888889</v>
      </c>
      <c r="P276" s="66">
        <f>0.9*1000</f>
        <v>900</v>
      </c>
      <c r="R276" s="66">
        <v>10</v>
      </c>
      <c r="T276" s="66">
        <f>0.05*60*60</f>
        <v>180</v>
      </c>
      <c r="V276" s="66">
        <v>3</v>
      </c>
      <c r="X276" s="66">
        <f>1*60*60</f>
        <v>3600</v>
      </c>
      <c r="AA276" s="66">
        <v>120</v>
      </c>
      <c r="AE276" s="15" t="s">
        <v>114</v>
      </c>
      <c r="AH276" t="s">
        <v>40</v>
      </c>
      <c r="AJ276" t="s">
        <v>324</v>
      </c>
      <c r="AK276" s="15">
        <v>23</v>
      </c>
      <c r="AL276">
        <v>75</v>
      </c>
      <c r="AM276" s="59">
        <v>1.6666666666666666E-2</v>
      </c>
      <c r="AN276" t="s">
        <v>109</v>
      </c>
      <c r="BH276" s="20" t="s">
        <v>133</v>
      </c>
      <c r="BI276" s="20">
        <v>2011</v>
      </c>
      <c r="BL276" s="15" t="s">
        <v>320</v>
      </c>
      <c r="BM276" t="s">
        <v>321</v>
      </c>
      <c r="BP276">
        <v>2008</v>
      </c>
      <c r="BT276" s="15" t="s">
        <v>24</v>
      </c>
      <c r="BY276" s="15" t="s">
        <v>322</v>
      </c>
      <c r="CA276">
        <v>1</v>
      </c>
      <c r="CC276" s="15">
        <v>95</v>
      </c>
      <c r="CD276" t="s">
        <v>323</v>
      </c>
    </row>
    <row r="277" spans="1:82" x14ac:dyDescent="0.2">
      <c r="A277" s="20" t="s">
        <v>317</v>
      </c>
      <c r="B277" s="21" t="s">
        <v>319</v>
      </c>
      <c r="C277" s="20" t="s">
        <v>318</v>
      </c>
      <c r="D277" s="20" t="s">
        <v>316</v>
      </c>
      <c r="L277" s="66">
        <f>0.5*1000/(60*60)</f>
        <v>0.1388888888888889</v>
      </c>
      <c r="P277" s="66">
        <f>1*1000</f>
        <v>1000</v>
      </c>
      <c r="R277" s="66">
        <f>0.5*1000</f>
        <v>500</v>
      </c>
      <c r="T277" s="66">
        <f>1.3*60*60</f>
        <v>4680</v>
      </c>
      <c r="V277" s="66">
        <f>0.35*60</f>
        <v>21</v>
      </c>
      <c r="X277" s="66">
        <f>2*60*60</f>
        <v>7200</v>
      </c>
      <c r="AA277" s="66">
        <v>61</v>
      </c>
      <c r="AE277" s="15" t="s">
        <v>114</v>
      </c>
      <c r="AH277" t="s">
        <v>39</v>
      </c>
      <c r="AJ277" t="s">
        <v>324</v>
      </c>
      <c r="AK277" s="15">
        <v>13</v>
      </c>
      <c r="AL277">
        <v>75</v>
      </c>
      <c r="AM277" s="59">
        <v>1.6666666666666666E-2</v>
      </c>
      <c r="AN277" t="s">
        <v>109</v>
      </c>
      <c r="BH277" s="20" t="s">
        <v>133</v>
      </c>
      <c r="BI277" s="20">
        <v>2011</v>
      </c>
      <c r="BL277" s="15" t="s">
        <v>320</v>
      </c>
      <c r="BM277" t="s">
        <v>321</v>
      </c>
      <c r="BP277">
        <v>2008</v>
      </c>
      <c r="BT277" s="15" t="s">
        <v>24</v>
      </c>
      <c r="BY277" s="15" t="s">
        <v>322</v>
      </c>
      <c r="CA277">
        <v>2</v>
      </c>
      <c r="CC277" s="15">
        <v>97</v>
      </c>
      <c r="CD277" t="s">
        <v>323</v>
      </c>
    </row>
    <row r="278" spans="1:82" x14ac:dyDescent="0.2">
      <c r="A278" s="20" t="s">
        <v>317</v>
      </c>
      <c r="B278" s="21" t="s">
        <v>319</v>
      </c>
      <c r="C278" s="20" t="s">
        <v>318</v>
      </c>
      <c r="D278" s="20" t="s">
        <v>316</v>
      </c>
      <c r="L278" s="66">
        <f>0.9*1000/(60*60)</f>
        <v>0.25</v>
      </c>
      <c r="P278" s="66">
        <f>2*1000</f>
        <v>2000</v>
      </c>
      <c r="R278" s="66">
        <f>0.8*1000</f>
        <v>800</v>
      </c>
      <c r="T278" s="66">
        <f>0.9*60*60</f>
        <v>3240</v>
      </c>
      <c r="V278" s="66">
        <f>0.1*60</f>
        <v>6</v>
      </c>
      <c r="X278" s="66">
        <f>4.1*60*60</f>
        <v>14759.999999999998</v>
      </c>
      <c r="AA278" s="66">
        <v>900</v>
      </c>
      <c r="AE278" s="15" t="s">
        <v>114</v>
      </c>
      <c r="AH278" t="s">
        <v>40</v>
      </c>
      <c r="AJ278" t="s">
        <v>324</v>
      </c>
      <c r="AK278" s="15">
        <v>13</v>
      </c>
      <c r="AL278">
        <v>75</v>
      </c>
      <c r="AM278" s="59">
        <v>1.6666666666666666E-2</v>
      </c>
      <c r="AN278" t="s">
        <v>109</v>
      </c>
      <c r="BH278" s="20" t="s">
        <v>133</v>
      </c>
      <c r="BI278" s="20">
        <v>2011</v>
      </c>
      <c r="BL278" s="15" t="s">
        <v>320</v>
      </c>
      <c r="BM278" t="s">
        <v>321</v>
      </c>
      <c r="BP278">
        <v>2008</v>
      </c>
      <c r="BT278" s="15" t="s">
        <v>24</v>
      </c>
      <c r="BY278" s="15" t="s">
        <v>322</v>
      </c>
      <c r="CA278">
        <v>2</v>
      </c>
      <c r="CC278" s="15">
        <v>97</v>
      </c>
      <c r="CD278" t="s">
        <v>323</v>
      </c>
    </row>
    <row r="279" spans="1:82" x14ac:dyDescent="0.2">
      <c r="A279" s="20" t="s">
        <v>317</v>
      </c>
      <c r="B279" s="21" t="s">
        <v>319</v>
      </c>
      <c r="C279" s="20" t="s">
        <v>318</v>
      </c>
      <c r="D279" s="20" t="s">
        <v>316</v>
      </c>
      <c r="L279" s="66">
        <f>0.5*1000/(60*60)</f>
        <v>0.1388888888888889</v>
      </c>
      <c r="P279" s="66">
        <f>2.5*1000</f>
        <v>2500</v>
      </c>
      <c r="R279" s="66">
        <f>1*1000</f>
        <v>1000</v>
      </c>
      <c r="T279" s="66">
        <f>2.6*60*60</f>
        <v>9360</v>
      </c>
      <c r="V279" s="66">
        <f>0.7*60</f>
        <v>42</v>
      </c>
      <c r="X279" s="66">
        <f>4.5*60*60</f>
        <v>16200</v>
      </c>
      <c r="AA279" s="66">
        <v>30</v>
      </c>
      <c r="AE279" s="15" t="s">
        <v>114</v>
      </c>
      <c r="AH279" t="s">
        <v>39</v>
      </c>
      <c r="AJ279" t="s">
        <v>324</v>
      </c>
      <c r="AK279" s="15">
        <v>18</v>
      </c>
      <c r="AL279">
        <v>75</v>
      </c>
      <c r="AM279" s="59">
        <v>1.6666666666666666E-2</v>
      </c>
      <c r="AN279" t="s">
        <v>109</v>
      </c>
      <c r="BH279" s="20" t="s">
        <v>133</v>
      </c>
      <c r="BI279" s="20">
        <v>2011</v>
      </c>
      <c r="BL279" s="15" t="s">
        <v>320</v>
      </c>
      <c r="BM279" t="s">
        <v>321</v>
      </c>
      <c r="BP279">
        <v>2008</v>
      </c>
      <c r="BT279" s="15" t="s">
        <v>24</v>
      </c>
      <c r="BY279" s="15" t="s">
        <v>322</v>
      </c>
      <c r="CA279">
        <v>2</v>
      </c>
      <c r="CC279" s="15">
        <v>97</v>
      </c>
      <c r="CD279" t="s">
        <v>323</v>
      </c>
    </row>
    <row r="280" spans="1:82" x14ac:dyDescent="0.2">
      <c r="A280" s="20" t="s">
        <v>317</v>
      </c>
      <c r="B280" s="21" t="s">
        <v>319</v>
      </c>
      <c r="C280" s="20" t="s">
        <v>318</v>
      </c>
      <c r="D280" s="20" t="s">
        <v>316</v>
      </c>
      <c r="L280" s="66">
        <f>1.25*1000/(60*60)</f>
        <v>0.34722222222222221</v>
      </c>
      <c r="P280" s="66">
        <f>5.2*1000</f>
        <v>5200</v>
      </c>
      <c r="R280" s="66">
        <f>2.1*1000</f>
        <v>2100</v>
      </c>
      <c r="T280" s="66">
        <f>2.1*60*60</f>
        <v>7560</v>
      </c>
      <c r="V280" s="66">
        <f>0.15*60</f>
        <v>9</v>
      </c>
      <c r="X280" s="66">
        <f>4.5*60*60</f>
        <v>16200</v>
      </c>
      <c r="AA280" s="66">
        <v>35</v>
      </c>
      <c r="AE280" s="15" t="s">
        <v>114</v>
      </c>
      <c r="AH280" t="s">
        <v>40</v>
      </c>
      <c r="AJ280" t="s">
        <v>324</v>
      </c>
      <c r="AK280" s="15">
        <v>18</v>
      </c>
      <c r="AL280">
        <v>75</v>
      </c>
      <c r="AM280" s="59">
        <v>1.6666666666666666E-2</v>
      </c>
      <c r="AN280" t="s">
        <v>109</v>
      </c>
      <c r="BH280" s="20" t="s">
        <v>133</v>
      </c>
      <c r="BI280" s="20">
        <v>2011</v>
      </c>
      <c r="BL280" s="15" t="s">
        <v>320</v>
      </c>
      <c r="BM280" t="s">
        <v>321</v>
      </c>
      <c r="BP280">
        <v>2008</v>
      </c>
      <c r="BT280" s="15" t="s">
        <v>24</v>
      </c>
      <c r="BY280" s="15" t="s">
        <v>322</v>
      </c>
      <c r="CA280">
        <v>2</v>
      </c>
      <c r="CC280" s="15">
        <v>97</v>
      </c>
      <c r="CD280" t="s">
        <v>323</v>
      </c>
    </row>
    <row r="281" spans="1:82" x14ac:dyDescent="0.2">
      <c r="A281" s="20" t="s">
        <v>317</v>
      </c>
      <c r="B281" s="21" t="s">
        <v>319</v>
      </c>
      <c r="C281" s="20" t="s">
        <v>318</v>
      </c>
      <c r="D281" s="20" t="s">
        <v>316</v>
      </c>
      <c r="L281" s="66">
        <f>1*1000/(60*60)</f>
        <v>0.27777777777777779</v>
      </c>
      <c r="P281" s="66">
        <f>3.8*1000</f>
        <v>3800</v>
      </c>
      <c r="R281" s="66">
        <f>1.8*1000</f>
        <v>1800</v>
      </c>
      <c r="T281" s="66">
        <f>2</f>
        <v>2</v>
      </c>
      <c r="V281" s="66">
        <f>0.5*60</f>
        <v>30</v>
      </c>
      <c r="X281" s="66">
        <f>3.2*60*60</f>
        <v>11520</v>
      </c>
      <c r="AA281" s="66">
        <v>40</v>
      </c>
      <c r="AE281" s="15" t="s">
        <v>114</v>
      </c>
      <c r="AH281" t="s">
        <v>39</v>
      </c>
      <c r="AJ281" t="s">
        <v>324</v>
      </c>
      <c r="AK281" s="15">
        <v>23</v>
      </c>
      <c r="AL281">
        <v>75</v>
      </c>
      <c r="AM281" s="59">
        <v>1.6666666666666666E-2</v>
      </c>
      <c r="AN281" t="s">
        <v>109</v>
      </c>
      <c r="BH281" s="20" t="s">
        <v>133</v>
      </c>
      <c r="BI281" s="20">
        <v>2011</v>
      </c>
      <c r="BL281" s="15" t="s">
        <v>320</v>
      </c>
      <c r="BM281" t="s">
        <v>321</v>
      </c>
      <c r="BP281">
        <v>2008</v>
      </c>
      <c r="BT281" s="15" t="s">
        <v>24</v>
      </c>
      <c r="BY281" s="15" t="s">
        <v>322</v>
      </c>
      <c r="CA281">
        <v>2</v>
      </c>
      <c r="CC281" s="15">
        <v>97</v>
      </c>
      <c r="CD281" t="s">
        <v>323</v>
      </c>
    </row>
    <row r="282" spans="1:82" x14ac:dyDescent="0.2">
      <c r="A282" s="20" t="s">
        <v>317</v>
      </c>
      <c r="B282" s="21" t="s">
        <v>319</v>
      </c>
      <c r="C282" s="20" t="s">
        <v>318</v>
      </c>
      <c r="D282" s="20" t="s">
        <v>316</v>
      </c>
      <c r="L282" s="66">
        <f>1.5*1000/(60*60)</f>
        <v>0.41666666666666669</v>
      </c>
      <c r="P282" s="66">
        <f>7*1000</f>
        <v>7000</v>
      </c>
      <c r="R282" s="66">
        <f>3*1000</f>
        <v>3000</v>
      </c>
      <c r="T282" s="66">
        <f>1.9*60*60</f>
        <v>6840</v>
      </c>
      <c r="V282" s="66">
        <f>0.15*60</f>
        <v>9</v>
      </c>
      <c r="X282" s="66">
        <f>4.1*60*60</f>
        <v>14759.999999999998</v>
      </c>
      <c r="AA282" s="66">
        <v>40</v>
      </c>
      <c r="AE282" s="15" t="s">
        <v>114</v>
      </c>
      <c r="AH282" t="s">
        <v>40</v>
      </c>
      <c r="AJ282" t="s">
        <v>324</v>
      </c>
      <c r="AK282" s="15">
        <v>23</v>
      </c>
      <c r="AL282">
        <v>75</v>
      </c>
      <c r="AM282" s="59">
        <v>1.6666666666666666E-2</v>
      </c>
      <c r="AN282" t="s">
        <v>109</v>
      </c>
      <c r="BH282" s="20" t="s">
        <v>133</v>
      </c>
      <c r="BI282" s="20">
        <v>2011</v>
      </c>
      <c r="BL282" s="15" t="s">
        <v>320</v>
      </c>
      <c r="BM282" t="s">
        <v>321</v>
      </c>
      <c r="BP282">
        <v>2008</v>
      </c>
      <c r="BT282" s="15" t="s">
        <v>24</v>
      </c>
      <c r="BY282" s="15" t="s">
        <v>322</v>
      </c>
      <c r="CA282">
        <v>2</v>
      </c>
      <c r="CC282" s="15">
        <v>97</v>
      </c>
      <c r="CD282" t="s">
        <v>323</v>
      </c>
    </row>
    <row r="283" spans="1:82" x14ac:dyDescent="0.2">
      <c r="A283" s="20" t="s">
        <v>317</v>
      </c>
      <c r="B283" s="21" t="s">
        <v>319</v>
      </c>
      <c r="C283" s="20" t="s">
        <v>318</v>
      </c>
      <c r="D283" s="20" t="s">
        <v>316</v>
      </c>
      <c r="L283" s="66">
        <f>1.1*1000/(60*60)</f>
        <v>0.30555555555555558</v>
      </c>
      <c r="P283" s="66">
        <f>2.5*1000</f>
        <v>2500</v>
      </c>
      <c r="R283" s="66">
        <f>1*1000</f>
        <v>1000</v>
      </c>
      <c r="T283" s="66">
        <f>1.6*60*60</f>
        <v>5760</v>
      </c>
      <c r="V283" s="66">
        <f>0.4*60</f>
        <v>24</v>
      </c>
      <c r="X283" s="66">
        <f>2.2*60*60</f>
        <v>7920</v>
      </c>
      <c r="AA283" s="66">
        <v>60</v>
      </c>
      <c r="AE283" s="15" t="s">
        <v>114</v>
      </c>
      <c r="AH283" t="s">
        <v>39</v>
      </c>
      <c r="AJ283" t="s">
        <v>324</v>
      </c>
      <c r="AK283" s="15">
        <v>28</v>
      </c>
      <c r="AL283">
        <v>75</v>
      </c>
      <c r="AM283" s="59">
        <v>1.6666666666666666E-2</v>
      </c>
      <c r="AN283" t="s">
        <v>109</v>
      </c>
      <c r="BH283" s="20" t="s">
        <v>133</v>
      </c>
      <c r="BI283" s="20">
        <v>2011</v>
      </c>
      <c r="BL283" s="15" t="s">
        <v>320</v>
      </c>
      <c r="BM283" t="s">
        <v>321</v>
      </c>
      <c r="BP283">
        <v>2008</v>
      </c>
      <c r="BT283" s="15" t="s">
        <v>24</v>
      </c>
      <c r="BY283" s="15" t="s">
        <v>322</v>
      </c>
      <c r="CA283">
        <v>2</v>
      </c>
      <c r="CC283" s="15">
        <v>97</v>
      </c>
      <c r="CD283" t="s">
        <v>323</v>
      </c>
    </row>
    <row r="284" spans="1:82" x14ac:dyDescent="0.2">
      <c r="A284" s="20" t="s">
        <v>317</v>
      </c>
      <c r="B284" s="21" t="s">
        <v>319</v>
      </c>
      <c r="C284" s="20" t="s">
        <v>318</v>
      </c>
      <c r="D284" s="20" t="s">
        <v>316</v>
      </c>
      <c r="L284" s="66">
        <f>1.6*1000/(60*60)</f>
        <v>0.44444444444444442</v>
      </c>
      <c r="P284" s="66">
        <f>5*1000</f>
        <v>5000</v>
      </c>
      <c r="R284" s="66">
        <f>2*1000</f>
        <v>2000</v>
      </c>
      <c r="T284" s="66">
        <f>1.6*60*60</f>
        <v>5760</v>
      </c>
      <c r="V284" s="66">
        <f>0.12*60</f>
        <v>7.1999999999999993</v>
      </c>
      <c r="X284" s="66">
        <f>3*60*60</f>
        <v>10800</v>
      </c>
      <c r="AA284" s="66">
        <v>55</v>
      </c>
      <c r="AE284" s="15" t="s">
        <v>114</v>
      </c>
      <c r="AH284" t="s">
        <v>40</v>
      </c>
      <c r="AJ284" t="s">
        <v>324</v>
      </c>
      <c r="AK284" s="15">
        <v>28</v>
      </c>
      <c r="AL284">
        <v>75</v>
      </c>
      <c r="AM284" s="59">
        <v>1.6666666666666666E-2</v>
      </c>
      <c r="AN284" t="s">
        <v>109</v>
      </c>
      <c r="BH284" s="20" t="s">
        <v>133</v>
      </c>
      <c r="BI284" s="20">
        <v>2011</v>
      </c>
      <c r="BL284" s="15" t="s">
        <v>320</v>
      </c>
      <c r="BM284" t="s">
        <v>321</v>
      </c>
      <c r="BP284">
        <v>2008</v>
      </c>
      <c r="BT284" s="15" t="s">
        <v>24</v>
      </c>
      <c r="BY284" s="15" t="s">
        <v>322</v>
      </c>
      <c r="CA284">
        <v>2</v>
      </c>
      <c r="CC284" s="15">
        <v>97</v>
      </c>
      <c r="CD284" t="s">
        <v>323</v>
      </c>
    </row>
    <row r="285" spans="1:82" x14ac:dyDescent="0.2">
      <c r="A285" s="20" t="s">
        <v>317</v>
      </c>
      <c r="B285" s="21" t="s">
        <v>319</v>
      </c>
      <c r="C285" s="20" t="s">
        <v>318</v>
      </c>
      <c r="D285" s="20" t="s">
        <v>316</v>
      </c>
      <c r="L285" s="66">
        <f>1.5*1000/(60*60)</f>
        <v>0.41666666666666669</v>
      </c>
      <c r="P285" s="66">
        <f>1.3*1000</f>
        <v>1300</v>
      </c>
      <c r="R285" s="66">
        <f>0.5*1000</f>
        <v>500</v>
      </c>
      <c r="T285" s="66">
        <f>0.5*60*60</f>
        <v>1800</v>
      </c>
      <c r="V285" s="66">
        <f>0.2*60</f>
        <v>12</v>
      </c>
      <c r="X285" s="66">
        <f>1*60*60</f>
        <v>3600</v>
      </c>
      <c r="AA285" s="66">
        <v>120</v>
      </c>
      <c r="AE285" s="15" t="s">
        <v>114</v>
      </c>
      <c r="AH285" t="s">
        <v>39</v>
      </c>
      <c r="AJ285" t="s">
        <v>324</v>
      </c>
      <c r="AK285" s="15">
        <v>33</v>
      </c>
      <c r="AL285">
        <v>75</v>
      </c>
      <c r="AM285" s="59">
        <v>1.6666666666666666E-2</v>
      </c>
      <c r="AN285" t="s">
        <v>109</v>
      </c>
      <c r="BH285" s="20" t="s">
        <v>133</v>
      </c>
      <c r="BI285" s="20">
        <v>2011</v>
      </c>
      <c r="BL285" s="15" t="s">
        <v>320</v>
      </c>
      <c r="BM285" t="s">
        <v>321</v>
      </c>
      <c r="BP285">
        <v>2008</v>
      </c>
      <c r="BT285" s="15" t="s">
        <v>24</v>
      </c>
      <c r="BY285" s="15" t="s">
        <v>322</v>
      </c>
      <c r="CA285">
        <v>2</v>
      </c>
      <c r="CC285" s="15">
        <v>97</v>
      </c>
      <c r="CD285" t="s">
        <v>323</v>
      </c>
    </row>
    <row r="286" spans="1:82" x14ac:dyDescent="0.2">
      <c r="A286" s="20" t="s">
        <v>317</v>
      </c>
      <c r="B286" s="21" t="s">
        <v>319</v>
      </c>
      <c r="C286" s="20" t="s">
        <v>318</v>
      </c>
      <c r="D286" s="20" t="s">
        <v>316</v>
      </c>
      <c r="L286" s="66">
        <f>1.6*1000/(60*60)</f>
        <v>0.44444444444444442</v>
      </c>
      <c r="P286" s="66">
        <f>3*1000</f>
        <v>3000</v>
      </c>
      <c r="R286" s="66">
        <f>1*1000</f>
        <v>1000</v>
      </c>
      <c r="T286" s="66">
        <f>0.6*60*60</f>
        <v>2160</v>
      </c>
      <c r="V286" s="66">
        <f>0.08*60</f>
        <v>4.8</v>
      </c>
      <c r="X286" s="66">
        <f>1.8*60*60</f>
        <v>6480</v>
      </c>
      <c r="AA286" s="66">
        <v>100</v>
      </c>
      <c r="AE286" s="15" t="s">
        <v>114</v>
      </c>
      <c r="AH286" t="s">
        <v>40</v>
      </c>
      <c r="AJ286" t="s">
        <v>324</v>
      </c>
      <c r="AK286" s="15">
        <v>33</v>
      </c>
      <c r="AL286">
        <v>75</v>
      </c>
      <c r="AM286" s="59">
        <v>1.6666666666666666E-2</v>
      </c>
      <c r="AN286" t="s">
        <v>109</v>
      </c>
      <c r="BH286" s="20" t="s">
        <v>133</v>
      </c>
      <c r="BI286" s="20">
        <v>2011</v>
      </c>
      <c r="BL286" s="15" t="s">
        <v>320</v>
      </c>
      <c r="BM286" t="s">
        <v>321</v>
      </c>
      <c r="BP286">
        <v>2008</v>
      </c>
      <c r="BT286" s="15" t="s">
        <v>24</v>
      </c>
      <c r="BY286" s="15" t="s">
        <v>322</v>
      </c>
      <c r="CA286">
        <v>2</v>
      </c>
      <c r="CC286" s="15">
        <v>97</v>
      </c>
      <c r="CD286" t="s">
        <v>323</v>
      </c>
    </row>
    <row r="287" spans="1:82" x14ac:dyDescent="0.2">
      <c r="A287" s="20" t="s">
        <v>317</v>
      </c>
      <c r="B287" s="21" t="s">
        <v>319</v>
      </c>
      <c r="C287" s="20" t="s">
        <v>318</v>
      </c>
      <c r="D287" s="20" t="s">
        <v>316</v>
      </c>
      <c r="L287" s="66">
        <f>1.4*1000/(60*60)</f>
        <v>0.3888888888888889</v>
      </c>
      <c r="P287" s="66">
        <f>1.1*1000</f>
        <v>1100</v>
      </c>
      <c r="R287" s="66">
        <f>0.7*1000</f>
        <v>700</v>
      </c>
      <c r="T287" s="66">
        <f>1.6*60*60</f>
        <v>5760</v>
      </c>
      <c r="V287" s="66">
        <f>0.2*60</f>
        <v>12</v>
      </c>
      <c r="X287" s="66">
        <f>1.2*60*60</f>
        <v>4320</v>
      </c>
      <c r="AA287" s="66">
        <v>90</v>
      </c>
      <c r="AE287" s="15" t="s">
        <v>114</v>
      </c>
      <c r="AH287" t="s">
        <v>39</v>
      </c>
      <c r="AJ287" t="s">
        <v>324</v>
      </c>
      <c r="AK287" s="15">
        <v>23</v>
      </c>
      <c r="AL287">
        <v>30</v>
      </c>
      <c r="AM287" s="59">
        <v>1.6666666666666666E-2</v>
      </c>
      <c r="AN287" t="s">
        <v>109</v>
      </c>
      <c r="BH287" s="20" t="s">
        <v>133</v>
      </c>
      <c r="BI287" s="20">
        <v>2011</v>
      </c>
      <c r="BL287" s="15" t="s">
        <v>320</v>
      </c>
      <c r="BM287" t="s">
        <v>321</v>
      </c>
      <c r="BP287">
        <v>2008</v>
      </c>
      <c r="BT287" s="15" t="s">
        <v>24</v>
      </c>
      <c r="BY287" s="15" t="s">
        <v>322</v>
      </c>
      <c r="CA287">
        <v>3</v>
      </c>
      <c r="CC287" s="15">
        <v>98</v>
      </c>
      <c r="CD287" t="s">
        <v>323</v>
      </c>
    </row>
    <row r="288" spans="1:82" x14ac:dyDescent="0.2">
      <c r="A288" s="20" t="s">
        <v>317</v>
      </c>
      <c r="B288" s="21" t="s">
        <v>319</v>
      </c>
      <c r="C288" s="20" t="s">
        <v>318</v>
      </c>
      <c r="D288" s="20" t="s">
        <v>316</v>
      </c>
      <c r="L288" s="66">
        <f>1.8*1000/(60*60)</f>
        <v>0.5</v>
      </c>
      <c r="P288" s="66">
        <f>2.7*1000</f>
        <v>2700</v>
      </c>
      <c r="R288" s="66">
        <f>1*1000</f>
        <v>1000</v>
      </c>
      <c r="T288" s="66">
        <f>1.5*60*60</f>
        <v>5400</v>
      </c>
      <c r="V288" s="66">
        <f>0.1</f>
        <v>0.1</v>
      </c>
      <c r="X288" s="66">
        <f>1.5*60*60</f>
        <v>5400</v>
      </c>
      <c r="AA288" s="66">
        <v>100</v>
      </c>
      <c r="AE288" s="15" t="s">
        <v>114</v>
      </c>
      <c r="AH288" t="s">
        <v>40</v>
      </c>
      <c r="AJ288" t="s">
        <v>324</v>
      </c>
      <c r="AK288" s="15">
        <v>23</v>
      </c>
      <c r="AL288">
        <v>30</v>
      </c>
      <c r="AM288" s="59">
        <v>1.6666666666666666E-2</v>
      </c>
      <c r="AN288" t="s">
        <v>109</v>
      </c>
      <c r="BH288" s="20" t="s">
        <v>133</v>
      </c>
      <c r="BI288" s="20">
        <v>2011</v>
      </c>
      <c r="BL288" s="15" t="s">
        <v>320</v>
      </c>
      <c r="BM288" t="s">
        <v>321</v>
      </c>
      <c r="BP288">
        <v>2008</v>
      </c>
      <c r="BT288" s="15" t="s">
        <v>24</v>
      </c>
      <c r="BY288" s="15" t="s">
        <v>322</v>
      </c>
      <c r="CA288">
        <v>3</v>
      </c>
      <c r="CC288" s="15">
        <v>98</v>
      </c>
      <c r="CD288" t="s">
        <v>323</v>
      </c>
    </row>
    <row r="289" spans="1:82" x14ac:dyDescent="0.2">
      <c r="A289" s="20" t="s">
        <v>317</v>
      </c>
      <c r="B289" s="21" t="s">
        <v>319</v>
      </c>
      <c r="C289" s="20" t="s">
        <v>318</v>
      </c>
      <c r="D289" s="20" t="s">
        <v>316</v>
      </c>
      <c r="L289" s="66">
        <f>1*1000/(60*60)</f>
        <v>0.27777777777777779</v>
      </c>
      <c r="P289" s="66">
        <f>2.5*1000</f>
        <v>2500</v>
      </c>
      <c r="R289" s="66">
        <f>1*1000</f>
        <v>1000</v>
      </c>
      <c r="T289" s="66">
        <f>1.3*60*60</f>
        <v>4680</v>
      </c>
      <c r="V289" s="66">
        <f>0.35*60</f>
        <v>21</v>
      </c>
      <c r="X289" s="66">
        <f>2.1*60*60</f>
        <v>7560</v>
      </c>
      <c r="AA289" s="66">
        <v>60</v>
      </c>
      <c r="AE289" s="15" t="s">
        <v>114</v>
      </c>
      <c r="AH289" t="s">
        <v>39</v>
      </c>
      <c r="AJ289" t="s">
        <v>324</v>
      </c>
      <c r="AK289" s="15">
        <v>23</v>
      </c>
      <c r="AL289">
        <v>45</v>
      </c>
      <c r="AM289" s="59">
        <v>1.6666666666666666E-2</v>
      </c>
      <c r="AN289" t="s">
        <v>109</v>
      </c>
      <c r="BH289" s="20" t="s">
        <v>133</v>
      </c>
      <c r="BI289" s="20">
        <v>2011</v>
      </c>
      <c r="BL289" s="15" t="s">
        <v>320</v>
      </c>
      <c r="BM289" t="s">
        <v>321</v>
      </c>
      <c r="BP289">
        <v>2008</v>
      </c>
      <c r="BT289" s="15" t="s">
        <v>24</v>
      </c>
      <c r="BY289" s="15" t="s">
        <v>322</v>
      </c>
      <c r="CA289">
        <v>3</v>
      </c>
      <c r="CC289" s="15">
        <v>98</v>
      </c>
      <c r="CD289" t="s">
        <v>323</v>
      </c>
    </row>
    <row r="290" spans="1:82" x14ac:dyDescent="0.2">
      <c r="A290" s="20" t="s">
        <v>317</v>
      </c>
      <c r="B290" s="21" t="s">
        <v>319</v>
      </c>
      <c r="C290" s="20" t="s">
        <v>318</v>
      </c>
      <c r="D290" s="20" t="s">
        <v>316</v>
      </c>
      <c r="L290" s="66">
        <f>1.6*1000/(60*60)</f>
        <v>0.44444444444444442</v>
      </c>
      <c r="P290" s="66">
        <f>4.2*1000</f>
        <v>4200</v>
      </c>
      <c r="R290" s="66">
        <f>1.8*1000</f>
        <v>1800</v>
      </c>
      <c r="T290" s="66">
        <f>1.2*60*60</f>
        <v>4320</v>
      </c>
      <c r="V290" s="66">
        <f>0.9*60</f>
        <v>54</v>
      </c>
      <c r="X290" s="66">
        <f>2.4*60*60</f>
        <v>8640</v>
      </c>
      <c r="AA290" s="66">
        <v>75</v>
      </c>
      <c r="AE290" s="15" t="s">
        <v>114</v>
      </c>
      <c r="AH290" t="s">
        <v>40</v>
      </c>
      <c r="AJ290" t="s">
        <v>324</v>
      </c>
      <c r="AK290" s="15">
        <v>23</v>
      </c>
      <c r="AL290">
        <v>45</v>
      </c>
      <c r="AM290" s="59">
        <v>1.6666666666666666E-2</v>
      </c>
      <c r="AN290" t="s">
        <v>109</v>
      </c>
      <c r="BH290" s="20" t="s">
        <v>133</v>
      </c>
      <c r="BI290" s="20">
        <v>2011</v>
      </c>
      <c r="BL290" s="15" t="s">
        <v>320</v>
      </c>
      <c r="BM290" t="s">
        <v>321</v>
      </c>
      <c r="BP290">
        <v>2008</v>
      </c>
      <c r="BT290" s="15" t="s">
        <v>24</v>
      </c>
      <c r="BY290" s="15" t="s">
        <v>322</v>
      </c>
      <c r="CA290">
        <v>3</v>
      </c>
      <c r="CC290" s="15">
        <v>98</v>
      </c>
      <c r="CD290" t="s">
        <v>323</v>
      </c>
    </row>
    <row r="291" spans="1:82" x14ac:dyDescent="0.2">
      <c r="A291" s="20" t="s">
        <v>317</v>
      </c>
      <c r="B291" s="21" t="s">
        <v>319</v>
      </c>
      <c r="C291" s="20" t="s">
        <v>318</v>
      </c>
      <c r="D291" s="20" t="s">
        <v>316</v>
      </c>
      <c r="L291" s="66">
        <f>1*1000/(60*60)</f>
        <v>0.27777777777777779</v>
      </c>
      <c r="P291" s="66">
        <f>2.6*1000</f>
        <v>2600</v>
      </c>
      <c r="R291" s="66">
        <f>1*1000</f>
        <v>1000</v>
      </c>
      <c r="T291" s="66">
        <f>1.4*60*60</f>
        <v>5040</v>
      </c>
      <c r="V291" s="66">
        <f>0.35*60</f>
        <v>21</v>
      </c>
      <c r="X291" s="66">
        <f>2.1*60*60</f>
        <v>7560</v>
      </c>
      <c r="AA291" s="66">
        <v>50</v>
      </c>
      <c r="AE291" s="15" t="s">
        <v>114</v>
      </c>
      <c r="AH291" t="s">
        <v>39</v>
      </c>
      <c r="AJ291" t="s">
        <v>324</v>
      </c>
      <c r="AK291" s="15">
        <v>23</v>
      </c>
      <c r="AL291">
        <v>60</v>
      </c>
      <c r="AM291" s="59">
        <v>1.6666666666666666E-2</v>
      </c>
      <c r="AN291" t="s">
        <v>109</v>
      </c>
      <c r="BH291" s="20" t="s">
        <v>133</v>
      </c>
      <c r="BI291" s="20">
        <v>2011</v>
      </c>
      <c r="BL291" s="15" t="s">
        <v>320</v>
      </c>
      <c r="BM291" t="s">
        <v>321</v>
      </c>
      <c r="BP291">
        <v>2008</v>
      </c>
      <c r="BT291" s="15" t="s">
        <v>24</v>
      </c>
      <c r="BY291" s="15" t="s">
        <v>322</v>
      </c>
      <c r="CA291">
        <v>3</v>
      </c>
      <c r="CC291" s="15">
        <v>98</v>
      </c>
      <c r="CD291" t="s">
        <v>323</v>
      </c>
    </row>
    <row r="292" spans="1:82" x14ac:dyDescent="0.2">
      <c r="A292" s="20" t="s">
        <v>317</v>
      </c>
      <c r="B292" s="21" t="s">
        <v>319</v>
      </c>
      <c r="C292" s="20" t="s">
        <v>318</v>
      </c>
      <c r="D292" s="20" t="s">
        <v>316</v>
      </c>
      <c r="L292" s="66">
        <f>1.7*1000/(60*60)</f>
        <v>0.47222222222222221</v>
      </c>
      <c r="P292" s="66">
        <f>4.2*1000</f>
        <v>4200</v>
      </c>
      <c r="R292" s="66">
        <f>1.8*1000</f>
        <v>1800</v>
      </c>
      <c r="T292" s="66">
        <f>1.3*60*60</f>
        <v>4680</v>
      </c>
      <c r="V292" s="66">
        <f>0.15*60</f>
        <v>9</v>
      </c>
      <c r="X292" s="66">
        <f>2.5*60*60</f>
        <v>9000</v>
      </c>
      <c r="AA292" s="66">
        <v>75</v>
      </c>
      <c r="AE292" s="15" t="s">
        <v>114</v>
      </c>
      <c r="AH292" t="s">
        <v>40</v>
      </c>
      <c r="AJ292" t="s">
        <v>324</v>
      </c>
      <c r="AK292" s="15">
        <v>23</v>
      </c>
      <c r="AL292">
        <v>60</v>
      </c>
      <c r="AM292" s="59">
        <v>1.6666666666666666E-2</v>
      </c>
      <c r="AN292" t="s">
        <v>109</v>
      </c>
      <c r="BH292" s="20" t="s">
        <v>133</v>
      </c>
      <c r="BI292" s="20">
        <v>2011</v>
      </c>
      <c r="BL292" s="15" t="s">
        <v>320</v>
      </c>
      <c r="BM292" t="s">
        <v>321</v>
      </c>
      <c r="BP292">
        <v>2008</v>
      </c>
      <c r="BT292" s="15" t="s">
        <v>24</v>
      </c>
      <c r="BY292" s="15" t="s">
        <v>322</v>
      </c>
      <c r="CA292">
        <v>3</v>
      </c>
      <c r="CC292" s="15">
        <v>98</v>
      </c>
      <c r="CD292" t="s">
        <v>323</v>
      </c>
    </row>
    <row r="293" spans="1:82" x14ac:dyDescent="0.2">
      <c r="A293" s="20" t="s">
        <v>317</v>
      </c>
      <c r="B293" s="21" t="s">
        <v>319</v>
      </c>
      <c r="C293" s="20" t="s">
        <v>318</v>
      </c>
      <c r="D293" s="20" t="s">
        <v>316</v>
      </c>
      <c r="L293" s="66">
        <f>1*1000/(60*60)</f>
        <v>0.27777777777777779</v>
      </c>
      <c r="P293" s="66">
        <f>4*1000</f>
        <v>4000</v>
      </c>
      <c r="R293" s="66">
        <f>1.7*1000</f>
        <v>1700</v>
      </c>
      <c r="T293" s="66">
        <f>2.1*60*60</f>
        <v>7560</v>
      </c>
      <c r="V293" s="66">
        <f>0.48*60</f>
        <v>28.799999999999997</v>
      </c>
      <c r="X293" s="66">
        <f>3.3*60*60</f>
        <v>11880</v>
      </c>
      <c r="AA293" s="66">
        <v>45</v>
      </c>
      <c r="AE293" s="15" t="s">
        <v>114</v>
      </c>
      <c r="AH293" t="s">
        <v>39</v>
      </c>
      <c r="AJ293" t="s">
        <v>324</v>
      </c>
      <c r="AK293" s="15">
        <v>23</v>
      </c>
      <c r="AL293">
        <v>75</v>
      </c>
      <c r="AM293" s="59">
        <v>1.6666666666666666E-2</v>
      </c>
      <c r="AN293" t="s">
        <v>109</v>
      </c>
      <c r="BH293" s="20" t="s">
        <v>133</v>
      </c>
      <c r="BI293" s="20">
        <v>2011</v>
      </c>
      <c r="BL293" s="15" t="s">
        <v>320</v>
      </c>
      <c r="BM293" t="s">
        <v>321</v>
      </c>
      <c r="BP293">
        <v>2008</v>
      </c>
      <c r="BT293" s="15" t="s">
        <v>24</v>
      </c>
      <c r="BY293" s="15" t="s">
        <v>322</v>
      </c>
      <c r="CA293">
        <v>3</v>
      </c>
      <c r="CC293" s="15">
        <v>98</v>
      </c>
      <c r="CD293" t="s">
        <v>323</v>
      </c>
    </row>
    <row r="294" spans="1:82" x14ac:dyDescent="0.2">
      <c r="A294" s="20" t="s">
        <v>317</v>
      </c>
      <c r="B294" s="21" t="s">
        <v>319</v>
      </c>
      <c r="C294" s="20" t="s">
        <v>318</v>
      </c>
      <c r="D294" s="20" t="s">
        <v>316</v>
      </c>
      <c r="L294" s="66">
        <f>1.5*1000/(60*60)</f>
        <v>0.41666666666666669</v>
      </c>
      <c r="P294" s="66">
        <f>7*1000</f>
        <v>7000</v>
      </c>
      <c r="R294" s="66">
        <f>3*1000</f>
        <v>3000</v>
      </c>
      <c r="T294" s="66">
        <f>2*60*60</f>
        <v>7200</v>
      </c>
      <c r="V294" s="66">
        <f>0.15*60</f>
        <v>9</v>
      </c>
      <c r="X294" s="66">
        <f>4.1*60*60</f>
        <v>14759.999999999998</v>
      </c>
      <c r="AA294" s="66">
        <v>45</v>
      </c>
      <c r="AE294" s="15" t="s">
        <v>114</v>
      </c>
      <c r="AH294" t="s">
        <v>40</v>
      </c>
      <c r="AJ294" t="s">
        <v>324</v>
      </c>
      <c r="AK294" s="15">
        <v>23</v>
      </c>
      <c r="AL294">
        <v>75</v>
      </c>
      <c r="AM294" s="59">
        <v>1.6666666666666666E-2</v>
      </c>
      <c r="AN294" t="s">
        <v>109</v>
      </c>
      <c r="BH294" s="20" t="s">
        <v>133</v>
      </c>
      <c r="BI294" s="20">
        <v>2011</v>
      </c>
      <c r="BL294" s="15" t="s">
        <v>320</v>
      </c>
      <c r="BM294" t="s">
        <v>321</v>
      </c>
      <c r="BP294">
        <v>2008</v>
      </c>
      <c r="BT294" s="15" t="s">
        <v>24</v>
      </c>
      <c r="BY294" s="15" t="s">
        <v>322</v>
      </c>
      <c r="CA294">
        <v>3</v>
      </c>
      <c r="CC294" s="15">
        <v>98</v>
      </c>
      <c r="CD294" t="s">
        <v>323</v>
      </c>
    </row>
    <row r="295" spans="1:82" x14ac:dyDescent="0.2">
      <c r="A295" s="20" t="s">
        <v>317</v>
      </c>
      <c r="B295" s="21" t="s">
        <v>319</v>
      </c>
      <c r="C295" s="20" t="s">
        <v>318</v>
      </c>
      <c r="D295" s="20" t="s">
        <v>316</v>
      </c>
      <c r="L295" s="66">
        <f>0.75*1000/(60*60)</f>
        <v>0.20833333333333334</v>
      </c>
      <c r="P295" s="66">
        <f>2.7*1000</f>
        <v>2700</v>
      </c>
      <c r="R295" s="66">
        <f>1*1000</f>
        <v>1000</v>
      </c>
      <c r="T295" s="66">
        <f>1.9*60*60</f>
        <v>6840</v>
      </c>
      <c r="V295" s="66">
        <f>0.35*60</f>
        <v>21</v>
      </c>
      <c r="X295" s="66">
        <f>2.8*60*60</f>
        <v>10080</v>
      </c>
      <c r="AA295" s="66">
        <v>50</v>
      </c>
      <c r="AE295" s="15" t="s">
        <v>114</v>
      </c>
      <c r="AH295" t="s">
        <v>39</v>
      </c>
      <c r="AJ295" t="s">
        <v>324</v>
      </c>
      <c r="AK295" s="15">
        <v>23</v>
      </c>
      <c r="AL295">
        <v>90</v>
      </c>
      <c r="AM295" s="59">
        <v>1.6666666666666666E-2</v>
      </c>
      <c r="AN295" t="s">
        <v>109</v>
      </c>
      <c r="BH295" s="20" t="s">
        <v>133</v>
      </c>
      <c r="BI295" s="20">
        <v>2011</v>
      </c>
      <c r="BL295" s="15" t="s">
        <v>320</v>
      </c>
      <c r="BM295" t="s">
        <v>321</v>
      </c>
      <c r="BP295">
        <v>2008</v>
      </c>
      <c r="BT295" s="15" t="s">
        <v>24</v>
      </c>
      <c r="BY295" s="15" t="s">
        <v>322</v>
      </c>
      <c r="CA295">
        <v>3</v>
      </c>
      <c r="CC295" s="15">
        <v>98</v>
      </c>
      <c r="CD295" t="s">
        <v>323</v>
      </c>
    </row>
    <row r="296" spans="1:82" s="48" customFormat="1" x14ac:dyDescent="0.2">
      <c r="A296" s="44" t="s">
        <v>317</v>
      </c>
      <c r="B296" s="45" t="s">
        <v>319</v>
      </c>
      <c r="C296" s="44" t="s">
        <v>318</v>
      </c>
      <c r="D296" s="44" t="s">
        <v>316</v>
      </c>
      <c r="L296" s="66">
        <f>1.4*1000/(60*60)</f>
        <v>0.3888888888888889</v>
      </c>
      <c r="P296" s="66">
        <f>5.4*1000</f>
        <v>5400</v>
      </c>
      <c r="R296" s="66">
        <f>2*1000</f>
        <v>2000</v>
      </c>
      <c r="T296" s="66">
        <f>1.7*60*60</f>
        <v>6120</v>
      </c>
      <c r="V296" s="66">
        <f>0.15*60</f>
        <v>9</v>
      </c>
      <c r="X296" s="66">
        <f>3.2*60*60</f>
        <v>11520</v>
      </c>
      <c r="AA296" s="66">
        <v>50</v>
      </c>
      <c r="AE296" s="46" t="s">
        <v>114</v>
      </c>
      <c r="AH296" s="48" t="s">
        <v>40</v>
      </c>
      <c r="AJ296" s="48" t="s">
        <v>324</v>
      </c>
      <c r="AK296" s="46">
        <v>23</v>
      </c>
      <c r="AL296" s="48">
        <v>90</v>
      </c>
      <c r="AM296" s="70">
        <v>1.6666666666666666E-2</v>
      </c>
      <c r="AN296" s="48" t="s">
        <v>109</v>
      </c>
      <c r="BH296" s="44" t="s">
        <v>133</v>
      </c>
      <c r="BI296" s="44">
        <v>2011</v>
      </c>
      <c r="BL296" s="46" t="s">
        <v>320</v>
      </c>
      <c r="BM296" s="48" t="s">
        <v>321</v>
      </c>
      <c r="BP296" s="48">
        <v>2008</v>
      </c>
      <c r="BT296" s="46" t="s">
        <v>24</v>
      </c>
      <c r="BY296" s="46" t="s">
        <v>322</v>
      </c>
      <c r="CA296" s="48">
        <v>3</v>
      </c>
      <c r="CC296" s="46">
        <v>98</v>
      </c>
      <c r="CD296" s="48" t="s">
        <v>323</v>
      </c>
    </row>
    <row r="297" spans="1:82" x14ac:dyDescent="0.2">
      <c r="A297" s="20" t="s">
        <v>329</v>
      </c>
      <c r="B297" s="21" t="s">
        <v>188</v>
      </c>
      <c r="C297" s="20" t="s">
        <v>126</v>
      </c>
      <c r="D297" s="20" t="s">
        <v>330</v>
      </c>
      <c r="AE297" s="15" t="s">
        <v>114</v>
      </c>
      <c r="AJ297" t="s">
        <v>309</v>
      </c>
      <c r="AK297" s="15">
        <v>23</v>
      </c>
      <c r="AL297" s="15">
        <v>60</v>
      </c>
      <c r="AM297" s="59">
        <v>0.67222222222222217</v>
      </c>
      <c r="AN297" s="15" t="s">
        <v>109</v>
      </c>
      <c r="BL297" s="15" t="s">
        <v>333</v>
      </c>
      <c r="BT297" s="15" t="s">
        <v>24</v>
      </c>
      <c r="BU297" t="s">
        <v>335</v>
      </c>
      <c r="BW297" t="s">
        <v>331</v>
      </c>
      <c r="BX297" t="s">
        <v>332</v>
      </c>
      <c r="BY297" s="15" t="s">
        <v>336</v>
      </c>
    </row>
  </sheetData>
  <pageMargins left="0.7" right="0.7" top="0.75" bottom="0.75" header="0.3" footer="0.3"/>
  <ignoredErrors>
    <ignoredError sqref="U175:U176 Y176 Q177 R176 R178 S177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50E8-A82A-9046-8F71-59514E76F247}">
  <dimension ref="A1:L7"/>
  <sheetViews>
    <sheetView workbookViewId="0">
      <selection activeCell="C9" sqref="C9"/>
    </sheetView>
  </sheetViews>
  <sheetFormatPr baseColWidth="10" defaultRowHeight="16" x14ac:dyDescent="0.2"/>
  <cols>
    <col min="1" max="1" width="19" bestFit="1" customWidth="1"/>
    <col min="3" max="3" width="17.6640625" bestFit="1" customWidth="1"/>
    <col min="6" max="6" width="16.6640625" bestFit="1" customWidth="1"/>
    <col min="7" max="7" width="22.5" bestFit="1" customWidth="1"/>
  </cols>
  <sheetData>
    <row r="1" spans="1:12" x14ac:dyDescent="0.2">
      <c r="A1" s="74" t="s">
        <v>245</v>
      </c>
      <c r="B1" s="74" t="s">
        <v>2</v>
      </c>
      <c r="C1" s="74" t="s">
        <v>19</v>
      </c>
      <c r="D1" s="74" t="s">
        <v>0</v>
      </c>
      <c r="E1" s="74" t="s">
        <v>1</v>
      </c>
      <c r="F1" s="74" t="s">
        <v>16</v>
      </c>
      <c r="G1" s="74" t="s">
        <v>325</v>
      </c>
      <c r="H1" s="74" t="s">
        <v>39</v>
      </c>
      <c r="I1" s="74" t="s">
        <v>40</v>
      </c>
    </row>
    <row r="2" spans="1:12" x14ac:dyDescent="0.2">
      <c r="A2" s="20" t="s">
        <v>195</v>
      </c>
      <c r="B2" s="20">
        <v>2014</v>
      </c>
      <c r="C2" s="20" t="s">
        <v>187</v>
      </c>
      <c r="D2" s="21" t="s">
        <v>188</v>
      </c>
      <c r="E2" s="20" t="s">
        <v>126</v>
      </c>
      <c r="F2" s="20" t="s">
        <v>184</v>
      </c>
      <c r="G2" s="20" t="s">
        <v>120</v>
      </c>
      <c r="H2" s="73">
        <v>1</v>
      </c>
      <c r="I2" s="90">
        <v>0</v>
      </c>
      <c r="K2" t="s">
        <v>246</v>
      </c>
    </row>
    <row r="3" spans="1:12" x14ac:dyDescent="0.2">
      <c r="A3" t="s">
        <v>292</v>
      </c>
      <c r="B3" s="89">
        <v>2020</v>
      </c>
      <c r="C3" t="s">
        <v>281</v>
      </c>
      <c r="D3" s="21" t="s">
        <v>186</v>
      </c>
      <c r="E3" s="20" t="s">
        <v>126</v>
      </c>
      <c r="F3" t="s">
        <v>282</v>
      </c>
      <c r="G3" s="41" t="s">
        <v>120</v>
      </c>
      <c r="H3">
        <v>0</v>
      </c>
      <c r="I3" s="91">
        <v>0</v>
      </c>
      <c r="K3" s="73"/>
      <c r="L3" t="s">
        <v>247</v>
      </c>
    </row>
    <row r="4" spans="1:12" x14ac:dyDescent="0.2">
      <c r="A4" s="92" t="s">
        <v>306</v>
      </c>
      <c r="B4" s="93">
        <v>2020</v>
      </c>
      <c r="C4" s="94" t="s">
        <v>299</v>
      </c>
      <c r="D4" s="95" t="s">
        <v>298</v>
      </c>
      <c r="E4" s="94" t="s">
        <v>78</v>
      </c>
      <c r="F4" s="94" t="s">
        <v>300</v>
      </c>
      <c r="G4" s="94" t="s">
        <v>120</v>
      </c>
      <c r="H4" s="92">
        <v>0</v>
      </c>
      <c r="I4" s="96">
        <v>0</v>
      </c>
      <c r="K4" s="75"/>
      <c r="L4" t="s">
        <v>248</v>
      </c>
    </row>
    <row r="5" spans="1:12" x14ac:dyDescent="0.2">
      <c r="A5" s="20" t="s">
        <v>133</v>
      </c>
      <c r="B5" s="20">
        <v>2011</v>
      </c>
      <c r="C5" s="20" t="s">
        <v>317</v>
      </c>
      <c r="D5" s="21" t="s">
        <v>319</v>
      </c>
      <c r="E5" s="20" t="s">
        <v>318</v>
      </c>
      <c r="F5" s="20" t="s">
        <v>316</v>
      </c>
      <c r="G5" s="41" t="s">
        <v>328</v>
      </c>
      <c r="H5" s="75">
        <v>1</v>
      </c>
      <c r="I5">
        <v>0</v>
      </c>
      <c r="K5" s="76"/>
      <c r="L5" t="s">
        <v>247</v>
      </c>
    </row>
    <row r="6" spans="1:12" x14ac:dyDescent="0.2">
      <c r="A6" s="20" t="s">
        <v>133</v>
      </c>
      <c r="B6" s="20">
        <v>2011</v>
      </c>
      <c r="C6" s="20" t="s">
        <v>317</v>
      </c>
      <c r="D6" s="21" t="s">
        <v>319</v>
      </c>
      <c r="E6" s="20" t="s">
        <v>318</v>
      </c>
      <c r="F6" s="20" t="s">
        <v>316</v>
      </c>
      <c r="G6" s="20" t="s">
        <v>327</v>
      </c>
      <c r="H6">
        <v>0</v>
      </c>
      <c r="I6" s="77">
        <v>1</v>
      </c>
      <c r="K6" s="77"/>
      <c r="L6" t="s">
        <v>248</v>
      </c>
    </row>
    <row r="7" spans="1:12" x14ac:dyDescent="0.2">
      <c r="A7" s="20" t="s">
        <v>133</v>
      </c>
      <c r="B7" s="20">
        <v>2011</v>
      </c>
      <c r="C7" s="20" t="s">
        <v>317</v>
      </c>
      <c r="D7" s="21" t="s">
        <v>319</v>
      </c>
      <c r="E7" s="20" t="s">
        <v>318</v>
      </c>
      <c r="F7" s="20" t="s">
        <v>316</v>
      </c>
      <c r="G7" s="41" t="s">
        <v>326</v>
      </c>
      <c r="H7">
        <v>0</v>
      </c>
      <c r="I7" s="77">
        <v>1</v>
      </c>
      <c r="L7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4066-84FC-0E44-B1F1-768DCCE74659}">
  <dimension ref="A1:E3"/>
  <sheetViews>
    <sheetView workbookViewId="0">
      <selection activeCell="D6" sqref="D6"/>
    </sheetView>
  </sheetViews>
  <sheetFormatPr baseColWidth="10" defaultRowHeight="16" x14ac:dyDescent="0.2"/>
  <cols>
    <col min="1" max="1" width="18.33203125" bestFit="1" customWidth="1"/>
    <col min="2" max="2" width="35.83203125" bestFit="1" customWidth="1"/>
    <col min="3" max="3" width="39" bestFit="1" customWidth="1"/>
    <col min="4" max="4" width="35.5" bestFit="1" customWidth="1"/>
    <col min="5" max="5" width="32.5" customWidth="1"/>
  </cols>
  <sheetData>
    <row r="1" spans="1:5" x14ac:dyDescent="0.2">
      <c r="A1" s="80" t="s">
        <v>273</v>
      </c>
    </row>
    <row r="2" spans="1:5" x14ac:dyDescent="0.2">
      <c r="A2" s="81" t="s">
        <v>19</v>
      </c>
      <c r="B2" s="81" t="s">
        <v>278</v>
      </c>
      <c r="C2" s="81" t="s">
        <v>277</v>
      </c>
      <c r="D2" s="81" t="s">
        <v>276</v>
      </c>
      <c r="E2" s="82"/>
    </row>
    <row r="3" spans="1:5" x14ac:dyDescent="0.2">
      <c r="A3" s="20" t="s">
        <v>265</v>
      </c>
      <c r="B3" t="s">
        <v>274</v>
      </c>
      <c r="C3" t="s">
        <v>275</v>
      </c>
      <c r="D3" t="s">
        <v>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FFCA-AA3F-0E48-9FEA-58FF558DCA0C}">
  <dimension ref="B3:C5"/>
  <sheetViews>
    <sheetView workbookViewId="0">
      <selection activeCell="D9" sqref="D9"/>
    </sheetView>
  </sheetViews>
  <sheetFormatPr baseColWidth="10" defaultRowHeight="16" x14ac:dyDescent="0.2"/>
  <sheetData>
    <row r="3" spans="2:3" x14ac:dyDescent="0.2">
      <c r="B3" s="62"/>
      <c r="C3" t="s">
        <v>50</v>
      </c>
    </row>
    <row r="4" spans="2:3" x14ac:dyDescent="0.2">
      <c r="B4" s="63"/>
      <c r="C4" t="s">
        <v>162</v>
      </c>
    </row>
    <row r="5" spans="2:3" x14ac:dyDescent="0.2">
      <c r="B5" s="66"/>
      <c r="C5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data</vt:lpstr>
      <vt:lpstr>sex data</vt:lpstr>
      <vt:lpstr>correlations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2020-09-22T19:16:42Z</dcterms:created>
  <dcterms:modified xsi:type="dcterms:W3CDTF">2020-12-14T18:47:06Z</dcterms:modified>
</cp:coreProperties>
</file>